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汇总表" sheetId="6" r:id="rId11"/>
    <sheet name="数据-基础表" sheetId="3" r:id="rId12"/>
    <sheet name="抵押物清单（分楼）" sheetId="42" state="hidden"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sheetId="33" r:id="rId31"/>
    <sheet name="不动产收益法" sheetId="15" r:id="rId32"/>
    <sheet name="酒店收入计算" sheetId="57" state="hidden" r:id="rId33"/>
    <sheet name="成本逼近法" sheetId="11"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清单"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8">'比较法-住宅、综合'!$A$1:$K$55</definedName>
    <definedName name="_xlnm.Print_Area" localSheetId="30">'不动产比较法-商业'!$A$1:$K$54</definedName>
    <definedName name="_xlnm.Print_Area" localSheetId="29">'不动产比较法-住宅'!$A$1:$K$54</definedName>
    <definedName name="_xlnm.Print_Area" localSheetId="31">不动产收益法!$A$1:$F$43</definedName>
    <definedName name="_xlnm.Print_Area" localSheetId="16">结果表!$A$1:$I$59</definedName>
    <definedName name="_xlnm.Print_Area" localSheetId="28">'剩余法-待开发'!$A$1:$K$36</definedName>
    <definedName name="_xlnm.Print_Area" localSheetId="10">'数据-汇总表'!$A$1:$I$32</definedName>
    <definedName name="_xlnm.Print_Area" localSheetId="11">'数据-基础表'!$AV$1:$BT$14</definedName>
    <definedName name="_xlnm.Print_Area" localSheetId="13">'数据-取费表'!$A$1:$AM$59</definedName>
    <definedName name="_xlnm.Print_Area" localSheetId="9">项目基本情况!$A$1:$I$43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Q53" i="33"/>
  <c r="R53" i="33"/>
  <c r="Q54" i="33" s="1"/>
  <c r="E93" i="33"/>
  <c r="E43" i="21"/>
  <c r="E40" i="21"/>
  <c r="E39" i="21"/>
  <c r="E38" i="21"/>
  <c r="E36" i="21"/>
  <c r="E35" i="21"/>
  <c r="E34" i="21"/>
  <c r="E32" i="21"/>
  <c r="C24" i="21"/>
  <c r="C24" i="33" s="1"/>
  <c r="C22" i="21"/>
  <c r="C22" i="33" s="1"/>
  <c r="C20" i="21"/>
  <c r="C20" i="33" s="1"/>
  <c r="C18" i="21"/>
  <c r="C18" i="33" s="1"/>
  <c r="C16" i="21"/>
  <c r="C9" i="21"/>
  <c r="E18" i="21" l="1"/>
  <c r="E22" i="21"/>
  <c r="E20" i="21"/>
  <c r="E24" i="21"/>
  <c r="I48" i="39" l="1"/>
  <c r="G48" i="39"/>
  <c r="E48" i="39"/>
  <c r="I40" i="39"/>
  <c r="G40" i="39"/>
  <c r="E40" i="39"/>
  <c r="I9" i="39" l="1"/>
  <c r="G9" i="39"/>
  <c r="E9" i="39"/>
  <c r="C8" i="39"/>
  <c r="C6" i="21" s="1"/>
  <c r="C6" i="33" s="1"/>
  <c r="C7" i="39"/>
  <c r="C5" i="21" s="1"/>
  <c r="C5" i="33" s="1"/>
  <c r="I8" i="39"/>
  <c r="I7" i="39"/>
  <c r="G8" i="39"/>
  <c r="G7" i="39"/>
  <c r="E8" i="39"/>
  <c r="E7" i="39"/>
  <c r="AD14" i="3" l="1"/>
  <c r="AD13" i="3"/>
  <c r="A3" i="3"/>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8" i="51"/>
  <c r="A27" i="51"/>
  <c r="D5" i="46" l="1"/>
  <c r="Q7" i="59" l="1"/>
  <c r="O7" i="59"/>
  <c r="N8" i="59"/>
  <c r="O8" i="59"/>
  <c r="P8" i="59"/>
  <c r="Q8" i="59"/>
  <c r="N7" i="59"/>
  <c r="P7" i="59"/>
  <c r="B9" i="67"/>
  <c r="F13" i="67"/>
  <c r="B13" i="67"/>
  <c r="F11" i="67"/>
  <c r="F12" i="67"/>
  <c r="F8" i="67"/>
  <c r="E11" i="67"/>
  <c r="B11" i="67"/>
  <c r="F14" i="67"/>
  <c r="B14" i="67"/>
  <c r="E12" i="67"/>
  <c r="F10" i="67"/>
  <c r="B12" i="67"/>
  <c r="E13" i="67"/>
  <c r="B10" i="67"/>
  <c r="E8" i="67"/>
  <c r="E14" i="67"/>
  <c r="B8" i="67"/>
  <c r="E9" i="67"/>
  <c r="E10"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I3" i="65"/>
  <c r="I6" i="65"/>
  <c r="N6" i="65"/>
  <c r="I4" i="65"/>
  <c r="I7" i="65"/>
  <c r="J4" i="65"/>
  <c r="J6" i="65"/>
  <c r="J3" i="65"/>
  <c r="J5" i="65"/>
  <c r="J7" i="65"/>
  <c r="N4" i="65"/>
  <c r="I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B97" i="35"/>
  <c r="H34" i="35" s="1"/>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AB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H42" i="21"/>
  <c r="AB42"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J29" i="21" s="1"/>
  <c r="AC29" i="21" s="1"/>
  <c r="B92" i="21"/>
  <c r="B90" i="21"/>
  <c r="F27" i="21" s="1"/>
  <c r="AA27" i="21" s="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F38" i="12" s="1"/>
  <c r="G9" i="12"/>
  <c r="K5" i="3"/>
  <c r="J5" i="3"/>
  <c r="BE10" i="3"/>
  <c r="BD13" i="3"/>
  <c r="BE13" i="3"/>
  <c r="BE5" i="3" s="1"/>
  <c r="G22" i="6" s="1"/>
  <c r="E22" i="6" s="1"/>
  <c r="BF13" i="3"/>
  <c r="BG13" i="3"/>
  <c r="BG5" i="3" s="1"/>
  <c r="BH13" i="3"/>
  <c r="BI13" i="3"/>
  <c r="BI5" i="3" s="1"/>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J40" i="21"/>
  <c r="W40" i="21" s="1"/>
  <c r="J8" i="21"/>
  <c r="J9" i="21"/>
  <c r="AC9" i="21" s="1"/>
  <c r="H8" i="21"/>
  <c r="U8" i="21" s="1"/>
  <c r="H9" i="21"/>
  <c r="AB9" i="21" s="1"/>
  <c r="H10" i="21"/>
  <c r="U10" i="21" s="1"/>
  <c r="J34" i="21"/>
  <c r="W34" i="21" s="1"/>
  <c r="H36" i="21"/>
  <c r="U36" i="21" s="1"/>
  <c r="J33" i="21"/>
  <c r="W33" i="21" s="1"/>
  <c r="H33" i="21"/>
  <c r="U33" i="21" s="1"/>
  <c r="F33" i="21"/>
  <c r="J10" i="21"/>
  <c r="AC10" i="21" s="1"/>
  <c r="H26" i="21"/>
  <c r="F19" i="21"/>
  <c r="AA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F36" i="34"/>
  <c r="S36" i="34" s="1"/>
  <c r="S34" i="34"/>
  <c r="W39" i="34"/>
  <c r="H39" i="33"/>
  <c r="AB39" i="33" s="1"/>
  <c r="F26" i="33"/>
  <c r="AA26" i="33" s="1"/>
  <c r="S40" i="33"/>
  <c r="S33" i="33"/>
  <c r="W33" i="33"/>
  <c r="H39" i="37"/>
  <c r="AB39" i="37" s="1"/>
  <c r="S10" i="40"/>
  <c r="W10" i="40"/>
  <c r="S11" i="40"/>
  <c r="U11" i="40"/>
  <c r="S36" i="40"/>
  <c r="U36" i="40"/>
  <c r="S40" i="39"/>
  <c r="S36" i="39"/>
  <c r="U36" i="39"/>
  <c r="F100" i="40"/>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9" i="33"/>
  <c r="S19" i="33" s="1"/>
  <c r="J19" i="33"/>
  <c r="AC19" i="33" s="1"/>
  <c r="F125" i="21"/>
  <c r="G125" i="21" s="1"/>
  <c r="AB30" i="36"/>
  <c r="S22" i="35"/>
  <c r="H29" i="35"/>
  <c r="U34" i="37"/>
  <c r="S34" i="37"/>
  <c r="AA34" i="37"/>
  <c r="AB42"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9" i="21"/>
  <c r="U29" i="21" s="1"/>
  <c r="J45" i="21"/>
  <c r="W45" i="21" s="1"/>
  <c r="F45" i="21"/>
  <c r="AA45" i="21" s="1"/>
  <c r="H45" i="21"/>
  <c r="U45" i="21" s="1"/>
  <c r="J27" i="33"/>
  <c r="AC27" i="33" s="1"/>
  <c r="F27" i="33"/>
  <c r="S27" i="33" s="1"/>
  <c r="J29" i="33"/>
  <c r="W29" i="33" s="1"/>
  <c r="J31" i="33"/>
  <c r="AC31" i="33" s="1"/>
  <c r="H31" i="33"/>
  <c r="U31" i="33" s="1"/>
  <c r="S31" i="33"/>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J36" i="37"/>
  <c r="AC36" i="37" s="1"/>
  <c r="G105" i="37"/>
  <c r="AB28" i="36"/>
  <c r="U46" i="21"/>
  <c r="AC14" i="21"/>
  <c r="W31" i="34"/>
  <c r="U36" i="37"/>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W23" i="35"/>
  <c r="AC23" i="37"/>
  <c r="S27" i="37"/>
  <c r="U39" i="37"/>
  <c r="AC8" i="37"/>
  <c r="S25" i="37"/>
  <c r="AC36" i="34"/>
  <c r="AB8" i="34"/>
  <c r="AC33" i="21"/>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AB17" i="37"/>
  <c r="AZ516" i="3"/>
  <c r="AZ524" i="3"/>
  <c r="AZ532" i="3"/>
  <c r="AZ546" i="3"/>
  <c r="AC11" i="36"/>
  <c r="AC10" i="36"/>
  <c r="AB45" i="34"/>
  <c r="AC14" i="37"/>
  <c r="AB35" i="35"/>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H66" i="33"/>
  <c r="F10" i="33"/>
  <c r="AA10" i="33" s="1"/>
  <c r="J15" i="33"/>
  <c r="W15" i="33" s="1"/>
  <c r="H19" i="33"/>
  <c r="AB19" i="33" s="1"/>
  <c r="F35" i="33"/>
  <c r="AA35" i="33" s="1"/>
  <c r="AB39" i="34"/>
  <c r="F11" i="34"/>
  <c r="S11" i="34" s="1"/>
  <c r="E80" i="34"/>
  <c r="F80" i="34"/>
  <c r="H17" i="34"/>
  <c r="AB17" i="34" s="1"/>
  <c r="AC27" i="34"/>
  <c r="W27" i="34"/>
  <c r="S12" i="35"/>
  <c r="AB28" i="35"/>
  <c r="U28" i="35"/>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14" i="21"/>
  <c r="AA44" i="34"/>
  <c r="AB29" i="35"/>
  <c r="U29" i="35"/>
  <c r="U43" i="34"/>
  <c r="AB43" i="34"/>
  <c r="AC34" i="37"/>
  <c r="S35" i="37"/>
  <c r="AA35" i="37"/>
  <c r="AB10" i="35"/>
  <c r="BL571" i="3"/>
  <c r="BA571" i="3"/>
  <c r="AZ571" i="3" s="1"/>
  <c r="BL570"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17" i="39"/>
  <c r="W17" i="39" s="1"/>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E19" i="6"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21"/>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17" i="34"/>
  <c r="AA11" i="34"/>
  <c r="H15" i="33"/>
  <c r="U15" i="33" s="1"/>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F106" i="33"/>
  <c r="G106" i="33"/>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0" i="33"/>
  <c r="U10" i="33" s="1"/>
  <c r="I66" i="33"/>
  <c r="J10" i="33"/>
  <c r="AC10" i="33" s="1"/>
  <c r="U11" i="37"/>
  <c r="AC16" i="35"/>
  <c r="AC13" i="40"/>
  <c r="J11" i="34"/>
  <c r="W11" i="34" s="1"/>
  <c r="S17" i="34"/>
  <c r="F25" i="40"/>
  <c r="AA25" i="40" s="1"/>
  <c r="H33" i="37"/>
  <c r="AB33" i="37" s="1"/>
  <c r="W15" i="34"/>
  <c r="AC15" i="34"/>
  <c r="U20" i="35"/>
  <c r="AB20" i="35"/>
  <c r="W23" i="40"/>
  <c r="D73" i="9"/>
  <c r="N73" i="9" s="1"/>
  <c r="AP11" i="1"/>
  <c r="J51" i="15"/>
  <c r="B11" i="1"/>
  <c r="E11" i="1" s="1"/>
  <c r="K11" i="1"/>
  <c r="M11" i="1" s="1"/>
  <c r="B9" i="1"/>
  <c r="E9" i="1" s="1"/>
  <c r="K9" i="1"/>
  <c r="M9" i="1" s="1"/>
  <c r="B7" i="1"/>
  <c r="E7" i="1" s="1"/>
  <c r="C20" i="43"/>
  <c r="E2" i="65"/>
  <c r="AZ520" i="3" l="1"/>
  <c r="D9" i="12"/>
  <c r="AC8" i="21"/>
  <c r="W8" i="21"/>
  <c r="AC5" i="3"/>
  <c r="E108" i="21"/>
  <c r="F108" i="21" s="1"/>
  <c r="G108" i="21" s="1"/>
  <c r="H108" i="21" s="1"/>
  <c r="I108" i="21" s="1"/>
  <c r="J108" i="21" s="1"/>
  <c r="K108" i="21" s="1"/>
  <c r="L108" i="21" s="1"/>
  <c r="M108" i="21" s="1"/>
  <c r="J35" i="21"/>
  <c r="W35" i="21" s="1"/>
  <c r="H35" i="21"/>
  <c r="AB35" i="21" s="1"/>
  <c r="E117" i="21"/>
  <c r="F117" i="21" s="1"/>
  <c r="G117" i="21" s="1"/>
  <c r="J39" i="21"/>
  <c r="AC39" i="21" s="1"/>
  <c r="F39" i="21"/>
  <c r="AA39" i="21" s="1"/>
  <c r="H39" i="21"/>
  <c r="AB39" i="21" s="1"/>
  <c r="B73" i="46"/>
  <c r="C29" i="39"/>
  <c r="AC38" i="33"/>
  <c r="W38" i="33"/>
  <c r="AC9" i="34"/>
  <c r="W9" i="34"/>
  <c r="AB34" i="35"/>
  <c r="U34" i="35"/>
  <c r="U27" i="35"/>
  <c r="AB27" i="35"/>
  <c r="AC39" i="37"/>
  <c r="W39" i="37"/>
  <c r="J17" i="40"/>
  <c r="F86" i="40"/>
  <c r="G86" i="40" s="1"/>
  <c r="AZ392" i="3"/>
  <c r="AZ397" i="3"/>
  <c r="AZ408" i="3"/>
  <c r="AZ413" i="3"/>
  <c r="AZ424" i="3"/>
  <c r="AZ437" i="3"/>
  <c r="AZ457" i="3"/>
  <c r="AZ470" i="3"/>
  <c r="AZ473" i="3"/>
  <c r="AZ318" i="3"/>
  <c r="AZ334" i="3"/>
  <c r="AZ350" i="3"/>
  <c r="U31" i="37"/>
  <c r="S10" i="35"/>
  <c r="D3" i="21"/>
  <c r="AC13" i="36"/>
  <c r="W30" i="21"/>
  <c r="AB13" i="21"/>
  <c r="AB40" i="37"/>
  <c r="AB13" i="35"/>
  <c r="AA38" i="37"/>
  <c r="W34" i="36"/>
  <c r="AC34" i="36"/>
  <c r="C23" i="39"/>
  <c r="U9" i="33"/>
  <c r="F35" i="21"/>
  <c r="AA35" i="21" s="1"/>
  <c r="BA570" i="3"/>
  <c r="AZ570" i="3" s="1"/>
  <c r="S28" i="34"/>
  <c r="AA28" i="34"/>
  <c r="U40" i="34"/>
  <c r="AB40" i="34"/>
  <c r="F34" i="35"/>
  <c r="AZ447" i="3"/>
  <c r="F9" i="1"/>
  <c r="H5" i="3"/>
  <c r="BF5" i="3"/>
  <c r="H24" i="36"/>
  <c r="J25" i="37"/>
  <c r="G15" i="3"/>
  <c r="F8" i="1"/>
  <c r="AZ368" i="3"/>
  <c r="AZ384" i="3"/>
  <c r="AZ386" i="3"/>
  <c r="AZ214" i="3"/>
  <c r="AZ218" i="3"/>
  <c r="AZ230" i="3"/>
  <c r="AZ234" i="3"/>
  <c r="AZ246" i="3"/>
  <c r="AZ250" i="3"/>
  <c r="AZ262" i="3"/>
  <c r="AZ266" i="3"/>
  <c r="AZ280" i="3"/>
  <c r="AZ293" i="3"/>
  <c r="AZ117" i="3"/>
  <c r="AZ120" i="3"/>
  <c r="AZ133" i="3"/>
  <c r="AZ136" i="3"/>
  <c r="AZ149" i="3"/>
  <c r="AZ160" i="3"/>
  <c r="AZ163" i="3"/>
  <c r="AZ176" i="3"/>
  <c r="AZ182" i="3"/>
  <c r="AZ190" i="3"/>
  <c r="AZ198" i="3"/>
  <c r="AZ204" i="3"/>
  <c r="AZ26" i="3"/>
  <c r="AZ22" i="3"/>
  <c r="AZ42" i="3"/>
  <c r="AZ45" i="3"/>
  <c r="AZ52" i="3"/>
  <c r="AZ58" i="3"/>
  <c r="AZ61" i="3"/>
  <c r="AZ67" i="3"/>
  <c r="G22" i="3"/>
  <c r="AZ29" i="3"/>
  <c r="AZ33" i="3"/>
  <c r="AZ36" i="3"/>
  <c r="AZ38" i="3"/>
  <c r="AZ111" i="3"/>
  <c r="D1" i="57"/>
  <c r="E10" i="57" s="1"/>
  <c r="AZ72" i="3"/>
  <c r="AZ75" i="3"/>
  <c r="AZ77" i="3"/>
  <c r="AZ81" i="3"/>
  <c r="AZ88" i="3"/>
  <c r="AZ92" i="3"/>
  <c r="AZ95" i="3"/>
  <c r="AZ97" i="3"/>
  <c r="AZ108" i="3"/>
  <c r="K13" i="1"/>
  <c r="M13" i="1" s="1"/>
  <c r="U10" i="39"/>
  <c r="C92" i="9"/>
  <c r="D23" i="15"/>
  <c r="W9" i="33"/>
  <c r="AC8" i="33"/>
  <c r="U8" i="33"/>
  <c r="H111" i="33"/>
  <c r="I111" i="33" s="1"/>
  <c r="J111" i="33" s="1"/>
  <c r="K111" i="33" s="1"/>
  <c r="L111" i="33" s="1"/>
  <c r="M111" i="33" s="1"/>
  <c r="J36" i="33"/>
  <c r="W36" i="33" s="1"/>
  <c r="F36" i="33"/>
  <c r="S36" i="33" s="1"/>
  <c r="H36" i="33"/>
  <c r="AB36" i="33" s="1"/>
  <c r="H101" i="33"/>
  <c r="I101" i="33" s="1"/>
  <c r="J101" i="33" s="1"/>
  <c r="K101" i="33" s="1"/>
  <c r="L101" i="33" s="1"/>
  <c r="M101" i="33" s="1"/>
  <c r="F32" i="33"/>
  <c r="AA32" i="33" s="1"/>
  <c r="H32" i="33"/>
  <c r="AB32" i="33" s="1"/>
  <c r="J32" i="33"/>
  <c r="AC32" i="33" s="1"/>
  <c r="AB43" i="33"/>
  <c r="U38" i="33"/>
  <c r="AA27" i="33"/>
  <c r="S8" i="33"/>
  <c r="W40" i="33"/>
  <c r="AC36" i="33"/>
  <c r="S42" i="33"/>
  <c r="W42" i="33"/>
  <c r="W41" i="33"/>
  <c r="AA41" i="33"/>
  <c r="S39" i="33"/>
  <c r="S38" i="33"/>
  <c r="S37" i="33"/>
  <c r="AC37" i="33"/>
  <c r="AA34" i="33"/>
  <c r="U33" i="33"/>
  <c r="AB31" i="33"/>
  <c r="S28" i="33"/>
  <c r="AC28" i="33"/>
  <c r="U28" i="33"/>
  <c r="W27" i="33"/>
  <c r="AB27" i="33"/>
  <c r="U45" i="33"/>
  <c r="AB45" i="33"/>
  <c r="J45" i="33"/>
  <c r="AA45" i="33"/>
  <c r="S46" i="33"/>
  <c r="W19" i="33"/>
  <c r="AC15" i="33"/>
  <c r="S13" i="33"/>
  <c r="AA13" i="33"/>
  <c r="J13" i="33"/>
  <c r="AB29" i="33"/>
  <c r="U29" i="33"/>
  <c r="F29" i="33"/>
  <c r="AA29" i="33" s="1"/>
  <c r="AC29" i="33"/>
  <c r="U30" i="33"/>
  <c r="S28" i="21"/>
  <c r="F31" i="21"/>
  <c r="S31" i="21" s="1"/>
  <c r="J27" i="21"/>
  <c r="W27" i="21" s="1"/>
  <c r="J31" i="21"/>
  <c r="AC31" i="21" s="1"/>
  <c r="H27" i="21"/>
  <c r="AB27" i="21" s="1"/>
  <c r="H113" i="21"/>
  <c r="J37" i="21"/>
  <c r="W37" i="21" s="1"/>
  <c r="H37" i="21"/>
  <c r="U37" i="21" s="1"/>
  <c r="F37" i="21"/>
  <c r="S37" i="21" s="1"/>
  <c r="AB14" i="21"/>
  <c r="S46" i="21"/>
  <c r="J38" i="21"/>
  <c r="W38" i="21" s="1"/>
  <c r="J36" i="21"/>
  <c r="W36" i="21" s="1"/>
  <c r="AB44" i="21"/>
  <c r="U43" i="21"/>
  <c r="H19" i="21"/>
  <c r="AB19" i="21" s="1"/>
  <c r="F123" i="21"/>
  <c r="G123" i="21" s="1"/>
  <c r="H123" i="21" s="1"/>
  <c r="I123" i="21" s="1"/>
  <c r="J123" i="21" s="1"/>
  <c r="K123" i="21" s="1"/>
  <c r="L123" i="21" s="1"/>
  <c r="M123" i="21" s="1"/>
  <c r="F42" i="21"/>
  <c r="AA42" i="21" s="1"/>
  <c r="S19" i="21"/>
  <c r="S8" i="21"/>
  <c r="AA43" i="21"/>
  <c r="U42" i="21"/>
  <c r="W42" i="21"/>
  <c r="AC40" i="21"/>
  <c r="U40" i="21"/>
  <c r="AA40" i="21"/>
  <c r="U39" i="21"/>
  <c r="AA38" i="21"/>
  <c r="U38" i="21"/>
  <c r="AB36" i="21"/>
  <c r="AA36" i="21"/>
  <c r="S35" i="21"/>
  <c r="AC35" i="21"/>
  <c r="S34" i="21"/>
  <c r="AB34" i="21"/>
  <c r="S32" i="21"/>
  <c r="U17" i="21"/>
  <c r="S10" i="21"/>
  <c r="AB10" i="21"/>
  <c r="AA9" i="21"/>
  <c r="U9" i="21"/>
  <c r="W9" i="21"/>
  <c r="U34" i="39"/>
  <c r="W33" i="39"/>
  <c r="F91" i="39"/>
  <c r="G91" i="39" s="1"/>
  <c r="H17" i="39"/>
  <c r="U17" i="39" s="1"/>
  <c r="F17" i="39"/>
  <c r="AA17" i="39" s="1"/>
  <c r="AB44" i="39"/>
  <c r="S43" i="39"/>
  <c r="S42" i="39"/>
  <c r="W43" i="39"/>
  <c r="AB29" i="39"/>
  <c r="W27" i="39"/>
  <c r="U27" i="39"/>
  <c r="AB25" i="39"/>
  <c r="S23" i="39"/>
  <c r="AA19" i="39"/>
  <c r="U19" i="39"/>
  <c r="S17" i="39"/>
  <c r="W14" i="39"/>
  <c r="U31" i="21"/>
  <c r="AB31" i="21"/>
  <c r="AB30" i="21"/>
  <c r="F29" i="21"/>
  <c r="S29" i="21" s="1"/>
  <c r="C18" i="9"/>
  <c r="D18" i="9" s="1"/>
  <c r="M44" i="9" s="1"/>
  <c r="A30" i="64"/>
  <c r="A30" i="51"/>
  <c r="G14" i="3"/>
  <c r="BL13"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F21" i="6" s="1"/>
  <c r="E21" i="6" s="1"/>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28" i="44"/>
  <c r="F43" i="44"/>
  <c r="F38" i="44"/>
  <c r="M8" i="44"/>
  <c r="F18" i="44"/>
  <c r="F39" i="44"/>
  <c r="F28" i="44"/>
  <c r="F8" i="15"/>
  <c r="L48" i="44"/>
  <c r="J17" i="44"/>
  <c r="M28" i="15"/>
  <c r="M10" i="44"/>
  <c r="L48" i="15"/>
  <c r="M29" i="44"/>
  <c r="M8" i="15"/>
  <c r="F11" i="44"/>
  <c r="F16" i="15"/>
  <c r="M9" i="15"/>
  <c r="M29" i="15"/>
  <c r="F15" i="44"/>
  <c r="L49" i="44"/>
  <c r="M24" i="44"/>
  <c r="F8" i="44"/>
  <c r="M11" i="44"/>
  <c r="M25" i="44"/>
  <c r="F9" i="44"/>
  <c r="F9" i="15"/>
  <c r="M26" i="15"/>
  <c r="M30" i="44"/>
  <c r="M31" i="44"/>
  <c r="F10" i="44"/>
  <c r="F40" i="44"/>
  <c r="M27" i="15"/>
  <c r="M24" i="15"/>
  <c r="L47" i="15"/>
  <c r="F6" i="15"/>
  <c r="M23" i="15"/>
  <c r="F45" i="44"/>
  <c r="K8" i="1" l="1"/>
  <c r="M8" i="1" s="1"/>
  <c r="O8" i="1" s="1"/>
  <c r="P8" i="1" s="1"/>
  <c r="D3" i="33"/>
  <c r="E9" i="12"/>
  <c r="AB17" i="39"/>
  <c r="AB24" i="36"/>
  <c r="U24" i="36"/>
  <c r="E8" i="6"/>
  <c r="F20" i="6"/>
  <c r="E20" i="6" s="1"/>
  <c r="W25" i="37"/>
  <c r="AC25" i="37"/>
  <c r="AA34" i="35"/>
  <c r="S34" i="35"/>
  <c r="M43" i="9"/>
  <c r="AP6" i="1"/>
  <c r="C12" i="39"/>
  <c r="W32" i="33"/>
  <c r="S32" i="33"/>
  <c r="U32" i="33"/>
  <c r="AC25" i="33"/>
  <c r="U25" i="33"/>
  <c r="W45" i="33"/>
  <c r="AC45" i="33"/>
  <c r="W13" i="33"/>
  <c r="AC13" i="33"/>
  <c r="S29" i="33"/>
  <c r="C16" i="46"/>
  <c r="C5" i="46" s="1"/>
  <c r="W31" i="21"/>
  <c r="AC36" i="21"/>
  <c r="U19" i="21"/>
  <c r="S42" i="21"/>
  <c r="AC23" i="21"/>
  <c r="AA15"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U7" i="33"/>
  <c r="AB7" i="33"/>
  <c r="D67" i="40"/>
  <c r="E65" i="40"/>
  <c r="S7" i="33"/>
  <c r="AA7" i="33"/>
  <c r="C39" i="46"/>
  <c r="G39" i="46" s="1"/>
  <c r="I39" i="46" s="1"/>
  <c r="E36" i="46"/>
  <c r="C37" i="46"/>
  <c r="G37" i="46" s="1"/>
  <c r="I37" i="46" s="1"/>
  <c r="E4" i="4"/>
  <c r="C4" i="4"/>
  <c r="F50" i="15"/>
  <c r="L56" i="15"/>
  <c r="J57" i="15"/>
  <c r="J55" i="15" s="1"/>
  <c r="J58" i="15" s="1"/>
  <c r="Q51" i="15" s="1"/>
  <c r="G66" i="36"/>
  <c r="J18" i="36"/>
  <c r="AE7" i="1"/>
  <c r="AE6" i="1"/>
  <c r="F33" i="44"/>
  <c r="F31" i="15"/>
  <c r="M17" i="15"/>
  <c r="F58" i="15"/>
  <c r="M19" i="44"/>
  <c r="AE8" i="1"/>
  <c r="F38" i="15"/>
  <c r="F37" i="15"/>
  <c r="F40" i="15"/>
  <c r="M6" i="15"/>
  <c r="F43" i="15"/>
  <c r="F13" i="15"/>
  <c r="C16" i="15"/>
  <c r="AE9" i="1"/>
  <c r="J15" i="15"/>
  <c r="F42" i="15"/>
  <c r="M22" i="15"/>
  <c r="F36" i="15"/>
  <c r="J36" i="15"/>
  <c r="F26" i="15"/>
  <c r="F7" i="15"/>
  <c r="C18" i="44"/>
  <c r="F46" i="44"/>
  <c r="M7" i="15" l="1"/>
  <c r="J6" i="15" s="1"/>
  <c r="J5" i="15" s="1"/>
  <c r="J18" i="15" s="1"/>
  <c r="F49" i="15"/>
  <c r="C6" i="15"/>
  <c r="C27" i="15"/>
  <c r="F70" i="15"/>
  <c r="Q72" i="15"/>
  <c r="F63" i="15"/>
  <c r="F67" i="15"/>
  <c r="F64" i="15"/>
  <c r="F65" i="15"/>
  <c r="K7" i="1"/>
  <c r="C9" i="12"/>
  <c r="C10" i="12" s="1"/>
  <c r="E32" i="6"/>
  <c r="J7" i="36"/>
  <c r="W7" i="36" s="1"/>
  <c r="F7" i="36"/>
  <c r="H7" i="35"/>
  <c r="AB7" i="35" s="1"/>
  <c r="T38" i="35" s="1"/>
  <c r="G38" i="35" s="1"/>
  <c r="G42" i="35" s="1"/>
  <c r="H42" i="35" s="1"/>
  <c r="F7" i="35"/>
  <c r="H7" i="34"/>
  <c r="AB7" i="34" s="1"/>
  <c r="T49" i="34" s="1"/>
  <c r="G49" i="34" s="1"/>
  <c r="G53" i="34" s="1"/>
  <c r="H53" i="34" s="1"/>
  <c r="J7" i="34"/>
  <c r="G16" i="1"/>
  <c r="J12" i="40" s="1"/>
  <c r="C29" i="46"/>
  <c r="E29" i="46" s="1"/>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C115" i="46"/>
  <c r="H12" i="40"/>
  <c r="AB12" i="40" s="1"/>
  <c r="AG6" i="1"/>
  <c r="H12" i="39"/>
  <c r="U12" i="39" s="1"/>
  <c r="F12" i="39"/>
  <c r="AA12" i="39" s="1"/>
  <c r="F31" i="6"/>
  <c r="I7" i="6" s="1"/>
  <c r="C13" i="39" s="1"/>
  <c r="C11" i="21" s="1"/>
  <c r="F12" i="40"/>
  <c r="AA12" i="40" s="1"/>
  <c r="J12" i="39"/>
  <c r="AC12" i="39" s="1"/>
  <c r="AC6" i="3"/>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K17" i="1" s="1"/>
  <c r="M17" i="1"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I53" i="34"/>
  <c r="J53" i="34" s="1"/>
  <c r="Q61" i="15"/>
  <c r="Q62" i="15"/>
  <c r="Q53" i="15"/>
  <c r="C48" i="15"/>
  <c r="AC12" i="40"/>
  <c r="W12" i="40"/>
  <c r="E46" i="37"/>
  <c r="F46" i="37" s="1"/>
  <c r="F41" i="15"/>
  <c r="F7" i="67"/>
  <c r="L52" i="44"/>
  <c r="F68" i="15" l="1"/>
  <c r="C11" i="33"/>
  <c r="J11" i="21"/>
  <c r="H11" i="21"/>
  <c r="F11" i="21"/>
  <c r="M7" i="1"/>
  <c r="H16" i="1"/>
  <c r="Q16" i="1"/>
  <c r="AP16" i="1"/>
  <c r="F22" i="11" s="1"/>
  <c r="F13" i="39"/>
  <c r="H13" i="39"/>
  <c r="J13" i="39"/>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7" i="15"/>
  <c r="E7" i="67"/>
  <c r="C19" i="44"/>
  <c r="F18" i="11" l="1"/>
  <c r="C18" i="11" s="1"/>
  <c r="C19" i="11" s="1"/>
  <c r="C20" i="11" s="1"/>
  <c r="C21" i="11" s="1"/>
  <c r="C22" i="11" s="1"/>
  <c r="C23" i="11" s="1"/>
  <c r="B2" i="11" s="1"/>
  <c r="B3" i="11" s="1"/>
  <c r="F24" i="43"/>
  <c r="C26" i="43" s="1"/>
  <c r="D24" i="43" s="1"/>
  <c r="F33" i="12"/>
  <c r="C34" i="12" s="1"/>
  <c r="D33" i="12" s="1"/>
  <c r="O7" i="1"/>
  <c r="P7" i="1" s="1"/>
  <c r="C15" i="12" s="1"/>
  <c r="C15" i="43"/>
  <c r="U11" i="21"/>
  <c r="AB11" i="21"/>
  <c r="T48" i="21" s="1"/>
  <c r="G48" i="21" s="1"/>
  <c r="G52" i="21" s="1"/>
  <c r="H52" i="21" s="1"/>
  <c r="F11" i="33"/>
  <c r="H11" i="33"/>
  <c r="J11" i="33"/>
  <c r="S11" i="21"/>
  <c r="AA11" i="21"/>
  <c r="R48" i="21" s="1"/>
  <c r="W11" i="21"/>
  <c r="AC11" i="21"/>
  <c r="V48" i="21" s="1"/>
  <c r="I48" i="21" s="1"/>
  <c r="AB13" i="39"/>
  <c r="U13" i="39"/>
  <c r="AC13" i="39"/>
  <c r="W13" i="39"/>
  <c r="AA13" i="39"/>
  <c r="S13" i="39"/>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I52" i="21" l="1"/>
  <c r="J52" i="21" s="1"/>
  <c r="G53" i="21"/>
  <c r="H53" i="21" s="1"/>
  <c r="E48" i="21"/>
  <c r="R49" i="21"/>
  <c r="U11" i="33"/>
  <c r="AB11" i="33"/>
  <c r="T48" i="33" s="1"/>
  <c r="G48" i="33" s="1"/>
  <c r="W11" i="33"/>
  <c r="AC11" i="33"/>
  <c r="V48" i="33" s="1"/>
  <c r="I48" i="33" s="1"/>
  <c r="S11" i="33"/>
  <c r="AA11" i="33"/>
  <c r="R48" i="33"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D8" i="12" s="1"/>
  <c r="I53" i="21"/>
  <c r="J53" i="21" s="1"/>
  <c r="I70" i="39"/>
  <c r="H72" i="39"/>
  <c r="I65" i="40"/>
  <c r="H67" i="40"/>
  <c r="C14" i="15"/>
  <c r="C16" i="44"/>
  <c r="R49" i="33" l="1"/>
  <c r="E48" i="33"/>
  <c r="I52" i="33"/>
  <c r="J52" i="33" s="1"/>
  <c r="I53" i="33"/>
  <c r="J53" i="33" s="1"/>
  <c r="G53" i="33"/>
  <c r="H53" i="33" s="1"/>
  <c r="G52" i="33"/>
  <c r="H52" i="33" s="1"/>
  <c r="B2" i="21"/>
  <c r="D1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E52" i="33" l="1"/>
  <c r="F52" i="33" s="1"/>
  <c r="E53" i="33"/>
  <c r="F53" i="33" s="1"/>
  <c r="C49" i="33"/>
  <c r="B3" i="33" s="1"/>
  <c r="C48" i="33"/>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E8" i="12" l="1"/>
  <c r="B2" i="33"/>
  <c r="E10" i="12" s="1"/>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C44" i="15" s="1"/>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8" i="12" l="1"/>
  <c r="F68" i="39"/>
  <c r="B2" i="39" s="1"/>
  <c r="F63" i="40"/>
  <c r="B2" i="40" s="1"/>
  <c r="C19" i="9"/>
  <c r="C6" i="12" l="1"/>
  <c r="C29" i="12" s="1"/>
  <c r="F39" i="12"/>
  <c r="L43" i="9"/>
  <c r="B3" i="40"/>
  <c r="B4" i="40"/>
  <c r="B5" i="40"/>
  <c r="B3" i="39"/>
  <c r="B4" i="39"/>
  <c r="B5" i="39"/>
  <c r="C20" i="9"/>
  <c r="C21" i="9"/>
  <c r="C24" i="12" l="1"/>
  <c r="C35" i="12" s="1"/>
  <c r="C33" i="12" s="1"/>
  <c r="C45" i="9"/>
  <c r="H14" i="66" s="1"/>
  <c r="B7" i="66" s="1"/>
  <c r="C28" i="12" l="1"/>
  <c r="C26" i="12" s="1"/>
  <c r="C31" i="12" s="1"/>
  <c r="C30" i="12" s="1"/>
  <c r="C36" i="12" s="1"/>
  <c r="B2" i="12" s="1"/>
  <c r="B4" i="12" s="1"/>
  <c r="D7" i="66"/>
  <c r="C7" i="66"/>
  <c r="D19" i="9"/>
  <c r="D21" i="9"/>
  <c r="L44" i="9" l="1"/>
  <c r="G19" i="9"/>
  <c r="L20" i="9" s="1"/>
  <c r="D22" i="9"/>
  <c r="B3" i="12"/>
  <c r="B5" i="12"/>
  <c r="G21" i="9"/>
  <c r="C44" i="9"/>
  <c r="G14" i="66" s="1"/>
  <c r="B6" i="66" s="1"/>
  <c r="D45" i="9"/>
  <c r="E45" i="9"/>
  <c r="O40" i="9"/>
  <c r="F45" i="9"/>
  <c r="D20" i="9"/>
  <c r="C32" i="9" l="1"/>
  <c r="C34" i="9" s="1"/>
  <c r="N43" i="9"/>
  <c r="G22" i="9"/>
  <c r="G20" i="9"/>
  <c r="D6" i="66"/>
  <c r="C6" i="66"/>
  <c r="K31" i="9"/>
  <c r="K32" i="9" s="1"/>
  <c r="R7" i="54"/>
  <c r="B52" i="63" s="1"/>
  <c r="N69" i="9"/>
  <c r="O39" i="9"/>
  <c r="K29" i="9" s="1"/>
  <c r="D44" i="9"/>
  <c r="E44" i="9"/>
  <c r="F44" i="9"/>
  <c r="M38" i="9" l="1"/>
  <c r="K27" i="9" s="1"/>
  <c r="E42" i="9"/>
  <c r="P5" i="54" s="1"/>
  <c r="B46" i="63" s="1"/>
  <c r="C33" i="9"/>
  <c r="C35" i="9"/>
  <c r="F42" i="9" s="1"/>
  <c r="O43" i="9"/>
  <c r="O38" i="9"/>
  <c r="C42" i="9"/>
  <c r="D63" i="9" s="1"/>
  <c r="C111" i="9" s="1"/>
  <c r="C104" i="9" s="1"/>
  <c r="M86" i="9"/>
  <c r="N86" i="9" s="1"/>
  <c r="M84" i="9"/>
  <c r="N84" i="9" s="1"/>
  <c r="M88" i="9"/>
  <c r="N88" i="9" s="1"/>
  <c r="M87" i="9"/>
  <c r="N87" i="9" s="1"/>
  <c r="M85" i="9"/>
  <c r="N85" i="9" s="1"/>
  <c r="M83" i="9"/>
  <c r="N83" i="9" s="1"/>
  <c r="K30" i="9"/>
  <c r="R6" i="54"/>
  <c r="B50" i="63" s="1"/>
  <c r="D71" i="9" l="1"/>
  <c r="D66" i="9" s="1"/>
  <c r="N72" i="9" s="1"/>
  <c r="C103" i="9"/>
  <c r="C113" i="9" s="1"/>
  <c r="C114" i="9" s="1"/>
  <c r="E114" i="9" s="1"/>
  <c r="E115" i="9" s="1"/>
  <c r="C82" i="9"/>
  <c r="C81" i="9" s="1"/>
  <c r="C85" i="9" s="1"/>
  <c r="C86" i="9" s="1"/>
  <c r="D72" i="9" s="1"/>
  <c r="C96" i="9"/>
  <c r="C91" i="9" s="1"/>
  <c r="D70" i="9"/>
  <c r="C90" i="9"/>
  <c r="D14" i="66"/>
  <c r="E14" i="66" s="1"/>
  <c r="D77" i="9"/>
  <c r="N75" i="9" s="1"/>
  <c r="R5" i="54"/>
  <c r="B48" i="63" s="1"/>
  <c r="N68" i="9"/>
  <c r="K25" i="9"/>
  <c r="K26" i="9"/>
  <c r="N38" i="9"/>
  <c r="K28" i="9" s="1"/>
  <c r="D42" i="9"/>
  <c r="Q5" i="54" s="1"/>
  <c r="B47" i="63" s="1"/>
  <c r="F14" i="66"/>
  <c r="N89" i="9"/>
  <c r="C115" i="9" l="1"/>
  <c r="D76" i="9" s="1"/>
  <c r="D74" i="9" s="1"/>
  <c r="N74" i="9" s="1"/>
  <c r="B5" i="66"/>
  <c r="D5" i="66" s="1"/>
  <c r="C97" i="9"/>
  <c r="O89" i="9"/>
  <c r="N76" i="9"/>
  <c r="O77" i="9" l="1"/>
  <c r="O78" i="9" s="1"/>
  <c r="C5" i="66"/>
  <c r="C98" i="9"/>
  <c r="E98" i="9" s="1"/>
  <c r="E99" i="9" s="1"/>
  <c r="O79" i="9" l="1"/>
  <c r="C46" i="9" s="1"/>
  <c r="K33" i="9" s="1"/>
  <c r="Q77" i="9"/>
  <c r="C99" i="9"/>
  <c r="F46" i="9"/>
  <c r="O41" i="9"/>
  <c r="R8" i="54" s="1"/>
  <c r="B54" i="63" s="1"/>
  <c r="I14" i="66"/>
  <c r="B8" i="66" s="1"/>
  <c r="C8" i="66" s="1"/>
  <c r="E46" i="9"/>
  <c r="D46" i="9"/>
  <c r="K34" i="9"/>
  <c r="D8" i="66"/>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<sst xmlns="http://schemas.openxmlformats.org/spreadsheetml/2006/main" count="7239" uniqueCount="3226">
  <si>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</si>
  <si>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</si>
  <si>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</si>
  <si>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</si>
  <si>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</si>
  <si>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</si>
  <si>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</si>
  <si>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</si>
  <si>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</si>
  <si>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</si>
  <si>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</si>
  <si>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</si>
  <si>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</si>
  <si>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</si>
  <si>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</si>
  <si>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</si>
  <si>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</si>
  <si>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</si>
  <si>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</si>
  <si>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</si>
  <si>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</si>
  <si>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</si>
  <si>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</si>
  <si>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</si>
  <si>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</si>
  <si>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</si>
  <si>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</si>
  <si>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</si>
  <si>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</si>
  <si>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</si>
  <si>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</si>
  <si>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</si>
  <si>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</si>
  <si>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</si>
  <si>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</si>
  <si>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</si>
  <si>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</si>
  <si>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</si>
  <si>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</si>
  <si>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</si>
  <si>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</si>
  <si>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</si>
  <si>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</si>
  <si>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</si>
  <si>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</si>
  <si>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</si>
  <si>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</si>
  <si>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</si>
  <si>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</si>
  <si>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</si>
  <si>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</si>
  <si>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</si>
  <si>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</si>
  <si>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</si>
  <si>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</si>
  <si>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</si>
  <si>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</si>
  <si>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</si>
  <si>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</si>
  <si>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</si>
  <si>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</si>
  <si>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</si>
  <si>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</si>
  <si>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</si>
  <si>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</si>
  <si>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</si>
  <si>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</si>
  <si>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</si>
  <si>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</si>
  <si>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</si>
  <si>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</si>
  <si>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</si>
  <si>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</si>
  <si>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</si>
  <si>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</si>
  <si>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</si>
  <si>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</si>
  <si>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</si>
  <si>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</si>
  <si>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</si>
  <si>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</si>
  <si>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</si>
  <si>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</si>
  <si>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</si>
  <si>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</si>
  <si>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</si>
  <si>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</si>
  <si>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</si>
  <si>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</si>
  <si>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</si>
  <si>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</si>
  <si>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</si>
  <si>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</si>
  <si>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</si>
  <si>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</si>
  <si>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</si>
  <si>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</si>
  <si>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</si>
  <si>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</si>
  <si>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</si>
  <si>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</si>
  <si>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</si>
  <si>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</si>
  <si>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</si>
  <si>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</si>
  <si>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</si>
  <si>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</si>
  <si>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</si>
  <si>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</si>
  <si>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</si>
  <si>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</si>
  <si>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</si>
  <si>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</si>
  <si>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</si>
  <si>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</si>
  <si>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</si>
  <si>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</si>
  <si>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</si>
  <si>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</si>
  <si>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</si>
  <si>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</si>
  <si>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</si>
  <si>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</si>
  <si>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</si>
  <si>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</si>
  <si>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</si>
  <si>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</si>
  <si>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</si>
  <si>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</si>
  <si>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</si>
  <si>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</si>
  <si>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</si>
  <si>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</si>
  <si>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</si>
  <si>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</si>
  <si>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</si>
  <si>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</si>
  <si>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</si>
  <si>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</si>
  <si>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</si>
  <si>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</si>
  <si>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</si>
  <si>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</si>
  <si>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</si>
  <si>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</si>
  <si>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</si>
  <si>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</si>
  <si>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</si>
  <si>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</si>
  <si>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</si>
  <si>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</si>
  <si>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</si>
  <si>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</si>
  <si>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</si>
  <si>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</si>
  <si>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</si>
  <si>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</si>
  <si>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</si>
  <si>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</si>
  <si>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</si>
  <si>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</si>
  <si>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</si>
  <si>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</si>
  <si>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</si>
  <si>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</si>
  <si>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</si>
  <si>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</si>
  <si>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</si>
  <si>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</si>
  <si>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</si>
  <si>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</si>
  <si>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</si>
  <si>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</si>
  <si>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</si>
  <si>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</si>
  <si>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</si>
  <si>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</si>
  <si>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</si>
  <si>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</si>
  <si>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</si>
  <si>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</si>
  <si>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</si>
  <si>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</si>
  <si>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</si>
  <si>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</si>
  <si>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</si>
  <si>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</si>
  <si>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</si>
  <si>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</si>
  <si>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</si>
  <si>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</si>
  <si>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</si>
  <si>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</si>
  <si>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</si>
  <si>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</si>
  <si>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</si>
  <si>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</si>
  <si>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</si>
  <si>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</si>
  <si>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</si>
  <si>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</si>
  <si>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</si>
  <si>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</si>
  <si>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</si>
  <si>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</si>
  <si>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</si>
  <si>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</si>
  <si>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</si>
  <si>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</si>
  <si>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</si>
  <si>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</si>
  <si>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</si>
  <si>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</si>
  <si>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</si>
  <si>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</si>
  <si>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</si>
  <si>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</si>
  <si>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</si>
  <si>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</si>
  <si>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</si>
  <si>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</si>
  <si>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</si>
  <si>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</si>
  <si>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</si>
  <si>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</si>
  <si>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</si>
  <si>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</si>
  <si>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</si>
  <si>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</si>
  <si>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</si>
  <si>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</si>
  <si>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</si>
  <si>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</si>
  <si>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</si>
  <si>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</si>
  <si>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</si>
  <si>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</si>
  <si>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</si>
  <si>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</si>
  <si>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</si>
  <si>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</si>
  <si>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</si>
  <si>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</si>
  <si>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</si>
  <si>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</si>
  <si>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</si>
  <si>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</si>
  <si>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</si>
  <si>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</si>
  <si>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</si>
  <si>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</si>
  <si>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</si>
  <si>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</si>
  <si>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</si>
  <si>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</si>
  <si>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</si>
  <si>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</si>
  <si>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</si>
  <si>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</si>
  <si>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</si>
  <si>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</si>
  <si>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</si>
  <si>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</si>
  <si>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</si>
  <si>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</si>
  <si>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</si>
  <si>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</si>
  <si>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</si>
  <si>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</si>
  <si>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</si>
  <si>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</si>
  <si>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</si>
  <si>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</si>
  <si>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</si>
  <si>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</si>
  <si>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</si>
  <si>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</si>
  <si>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</si>
  <si>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</si>
  <si>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</si>
  <si>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</si>
  <si>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</si>
  <si>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</si>
  <si>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</si>
  <si>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</si>
  <si>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</si>
  <si>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</si>
  <si>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</si>
  <si>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</si>
  <si>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</si>
  <si>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</si>
  <si>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</si>
  <si>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</si>
  <si>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</si>
  <si>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</si>
  <si>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</si>
  <si>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</si>
  <si>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</si>
  <si>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</si>
  <si>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</si>
  <si>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</si>
  <si>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</si>
  <si>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</si>
  <si>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</si>
  <si>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</si>
  <si>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</si>
  <si>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</si>
  <si>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</si>
  <si>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</si>
  <si>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</si>
  <si>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</si>
  <si>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</si>
  <si>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</si>
  <si>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</si>
  <si>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</si>
  <si>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</si>
  <si>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</si>
  <si>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</si>
  <si>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</si>
  <si>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</si>
  <si>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</si>
  <si>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</si>
  <si>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</si>
  <si>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</si>
  <si>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</si>
  <si>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</si>
  <si>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</si>
  <si>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</si>
  <si>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</si>
  <si>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</si>
  <si>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</si>
  <si>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</si>
  <si>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</si>
  <si>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</si>
  <si>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</si>
  <si>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</si>
  <si>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</si>
  <si>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</si>
  <si>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</si>
  <si>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</si>
  <si>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</si>
  <si>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</si>
  <si>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</si>
  <si>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</si>
  <si>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</si>
  <si>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</si>
  <si>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</si>
  <si>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</si>
  <si>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</si>
  <si>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</si>
  <si>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</si>
  <si>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</si>
  <si>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</si>
  <si>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</si>
  <si>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</si>
  <si>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</si>
  <si>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</si>
  <si>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</si>
  <si>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</si>
  <si>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</si>
  <si>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</si>
  <si>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</si>
  <si>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</si>
  <si>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</si>
  <si>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</si>
  <si>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</si>
  <si>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</si>
  <si>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</si>
  <si>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</si>
  <si>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</si>
  <si>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</si>
  <si>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</si>
  <si>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</si>
  <si>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</si>
  <si>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</si>
  <si>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</si>
  <si>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</si>
  <si>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</si>
  <si>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</si>
  <si>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</si>
  <si>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</si>
  <si>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</si>
  <si>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</si>
  <si>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</si>
  <si>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</si>
  <si>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</si>
  <si>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</si>
  <si>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</si>
  <si>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</si>
  <si>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</si>
  <si>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</si>
  <si>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</si>
  <si>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</si>
  <si>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</si>
  <si>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</si>
  <si>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</si>
  <si>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</si>
  <si>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</si>
  <si>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</si>
  <si>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</si>
  <si>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</si>
  <si>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</si>
  <si>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</si>
  <si>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</si>
  <si>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</si>
  <si>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</si>
  <si>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</si>
  <si>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</si>
  <si>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</si>
  <si>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</si>
  <si>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</si>
  <si>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</si>
  <si>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</si>
  <si>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</si>
  <si>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</si>
  <si>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</si>
  <si>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</si>
  <si>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</si>
  <si>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</si>
  <si>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</si>
  <si>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</si>
  <si>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</si>
  <si>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</si>
  <si>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</si>
  <si>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</si>
  <si>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</si>
  <si>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</si>
  <si>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</si>
  <si>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</si>
  <si>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</si>
  <si>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</si>
  <si>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</si>
  <si>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</si>
  <si>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</si>
  <si>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</si>
  <si>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</si>
  <si>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</si>
  <si>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</si>
  <si>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</si>
  <si>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</si>
  <si>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</si>
  <si>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</si>
  <si>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</si>
  <si>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</si>
  <si>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</si>
  <si>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</si>
  <si>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</si>
  <si>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</si>
  <si>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</si>
  <si>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</si>
  <si>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</si>
  <si>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</si>
  <si>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</si>
  <si>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</si>
  <si>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</si>
  <si>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</si>
  <si>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</si>
  <si>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</si>
  <si>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</si>
  <si>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</si>
  <si>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</si>
  <si>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</si>
  <si>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</si>
  <si>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</si>
  <si>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</si>
  <si>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</si>
  <si>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</si>
  <si>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</si>
  <si>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</si>
  <si>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</si>
  <si>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</si>
  <si>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</si>
  <si>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</si>
  <si>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</si>
  <si>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</si>
  <si>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</si>
  <si>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</si>
  <si>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</si>
  <si>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</si>
  <si>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</si>
  <si>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</si>
  <si>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</si>
  <si>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</si>
  <si>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</si>
  <si>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</si>
  <si>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</si>
  <si>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</si>
  <si>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</si>
  <si>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</si>
  <si>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</si>
  <si>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</si>
  <si>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</si>
  <si>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</si>
  <si>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</si>
  <si>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</si>
  <si>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</si>
  <si>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</si>
  <si>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</si>
  <si>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</si>
  <si>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</si>
  <si>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</si>
  <si>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</si>
  <si>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</si>
  <si>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</si>
  <si>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</si>
  <si>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</si>
  <si>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</si>
  <si>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</si>
  <si>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</si>
  <si>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</si>
  <si>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</si>
  <si>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</si>
  <si>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</si>
  <si>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</si>
  <si>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</si>
  <si>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</si>
  <si>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</si>
  <si>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</si>
  <si>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</si>
  <si>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</si>
  <si>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</si>
  <si>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</si>
  <si>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</si>
  <si>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</si>
  <si>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</si>
  <si>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</si>
  <si>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</si>
  <si>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</si>
  <si>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</si>
  <si>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</si>
  <si>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</si>
  <si>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</si>
  <si>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</si>
  <si>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</si>
  <si>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</si>
  <si>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</si>
  <si>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</si>
  <si>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</si>
  <si>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</si>
  <si>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</si>
  <si>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</si>
  <si>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</si>
  <si>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</si>
  <si>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</si>
  <si>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</si>
  <si>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</si>
  <si>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</si>
  <si>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</si>
  <si>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</si>
  <si>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</si>
  <si>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</si>
  <si>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</si>
  <si>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</si>
  <si>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</si>
  <si>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</si>
  <si>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</si>
  <si>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</si>
  <si>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</si>
  <si>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</si>
  <si>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</si>
  <si>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</si>
  <si>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</si>
  <si>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</si>
  <si>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</si>
  <si>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</si>
  <si>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</si>
  <si>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</si>
  <si>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</si>
  <si>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</si>
  <si>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</si>
  <si>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</si>
  <si>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</si>
  <si>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</si>
  <si>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</si>
  <si>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</si>
  <si>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</si>
  <si>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</si>
  <si>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</si>
  <si>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</si>
  <si>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</si>
  <si>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</si>
  <si>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</si>
  <si>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</si>
  <si>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</si>
  <si>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</si>
  <si>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</si>
  <si>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</si>
  <si>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</si>
  <si>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</si>
  <si>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</si>
  <si>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</si>
  <si>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</si>
  <si>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</si>
  <si>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</si>
  <si>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</si>
  <si>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</si>
  <si>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</si>
  <si>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</si>
  <si>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</si>
  <si>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</si>
  <si>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</si>
  <si>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</si>
  <si>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</si>
  <si>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</si>
  <si>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</si>
  <si>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</si>
  <si>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</si>
  <si>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</si>
  <si>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</si>
  <si>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</si>
  <si>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</si>
  <si>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</si>
  <si>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</si>
  <si>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</si>
  <si>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</si>
  <si>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</si>
  <si>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</si>
  <si>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</si>
  <si>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</si>
  <si>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</si>
  <si>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</si>
  <si>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</si>
  <si>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</si>
  <si>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</si>
  <si>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</si>
  <si>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</si>
  <si>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</si>
  <si>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</si>
  <si>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</si>
  <si>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</si>
  <si>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</si>
  <si>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</si>
  <si>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</si>
  <si>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</si>
  <si>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</si>
  <si>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</si>
  <si>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</si>
  <si>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</si>
  <si>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</si>
  <si>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</si>
  <si>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</si>
  <si>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</si>
  <si>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</si>
  <si>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</si>
  <si>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</si>
  <si>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</si>
  <si>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</si>
  <si>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</si>
  <si>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</si>
  <si>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</si>
  <si>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</si>
  <si>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</si>
  <si>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</si>
  <si>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</si>
  <si>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</si>
  <si>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</si>
  <si>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</si>
  <si>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</si>
  <si>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</si>
  <si>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</si>
  <si>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</si>
  <si>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</si>
  <si>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</si>
  <si>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</si>
  <si>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</si>
  <si>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</si>
  <si>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</si>
  <si>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</si>
  <si>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</si>
  <si>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</si>
  <si>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</si>
  <si>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</si>
  <si>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</si>
  <si>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</si>
  <si>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</si>
  <si>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</si>
  <si>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</si>
  <si>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</si>
  <si>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</si>
  <si>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</si>
  <si>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</si>
  <si>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</si>
  <si>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</si>
  <si>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</si>
  <si>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</si>
  <si>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</si>
  <si>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</si>
  <si>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</si>
  <si>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</si>
  <si>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</si>
  <si>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</si>
  <si>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</si>
  <si>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</si>
  <si>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</si>
  <si>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</si>
  <si>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</si>
  <si>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</si>
  <si>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</si>
  <si>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</si>
  <si>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</si>
  <si>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</si>
  <si>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</si>
  <si>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</si>
  <si>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</si>
  <si>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</si>
  <si>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</si>
  <si>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</si>
  <si>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</si>
  <si>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</si>
  <si>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</si>
  <si>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</si>
  <si>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</si>
  <si>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</si>
  <si>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</si>
  <si>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</si>
  <si>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</si>
  <si>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</si>
  <si>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</si>
  <si>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</si>
  <si>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</si>
  <si>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</si>
  <si>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</si>
  <si>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</si>
  <si>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</si>
  <si>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</si>
  <si>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</si>
  <si>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</si>
  <si>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</si>
  <si>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</si>
  <si>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</si>
  <si>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</si>
  <si>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</si>
  <si>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</si>
  <si>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</si>
  <si>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</si>
  <si>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</si>
  <si>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</si>
  <si>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</si>
  <si>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</si>
  <si>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</si>
  <si>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</si>
  <si>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</si>
  <si>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</si>
  <si>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</si>
  <si>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</si>
  <si>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</si>
  <si>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</si>
  <si>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</si>
  <si>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</si>
  <si>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</si>
  <si>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</si>
  <si>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</si>
  <si>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</si>
  <si>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</si>
  <si>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</si>
  <si>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</si>
  <si>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</si>
  <si>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</si>
  <si>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</si>
  <si>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</si>
  <si>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</si>
  <si>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</si>
  <si>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</si>
  <si>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</si>
  <si>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</si>
  <si>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</si>
  <si>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</si>
  <si>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</si>
  <si>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</si>
  <si>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</si>
  <si>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</si>
  <si>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</si>
  <si>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</si>
  <si>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</si>
  <si>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</si>
  <si>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</si>
  <si>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</si>
  <si>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</si>
  <si>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</si>
  <si>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</si>
  <si>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</si>
  <si>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</si>
  <si>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</si>
  <si>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</si>
  <si>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</si>
  <si>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</si>
  <si>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</si>
  <si>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</si>
  <si>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</si>
  <si>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</si>
  <si>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</si>
  <si>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</si>
  <si>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</si>
  <si>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</si>
  <si>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</si>
  <si>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</si>
  <si>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</si>
  <si>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</si>
  <si>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</si>
  <si>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</si>
  <si>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</si>
  <si>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</si>
  <si>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</si>
  <si>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</si>
  <si>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</si>
  <si>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</si>
  <si>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</si>
  <si>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</si>
  <si>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</si>
  <si>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</si>
  <si>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</si>
  <si>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</si>
  <si>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</si>
  <si>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</si>
  <si>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</si>
  <si>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</si>
  <si>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</si>
  <si>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</si>
  <si>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</si>
  <si>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</si>
  <si>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</si>
  <si>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</si>
  <si>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</si>
  <si>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</si>
  <si>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</si>
  <si>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</si>
  <si>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</si>
  <si>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</si>
  <si>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</si>
  <si>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</si>
  <si>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</si>
  <si>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</si>
  <si>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</si>
  <si>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</si>
  <si>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</si>
  <si>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</si>
  <si>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</si>
  <si>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</si>
  <si>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</si>
  <si>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</si>
  <si>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</si>
  <si>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</si>
  <si>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</si>
  <si>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</si>
  <si>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</si>
  <si>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</si>
  <si>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</si>
  <si>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</si>
  <si>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</si>
  <si>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</si>
  <si>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</si>
  <si>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</si>
  <si>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</si>
  <si>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</si>
  <si>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</si>
  <si>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</si>
  <si>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</si>
  <si>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</si>
  <si>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</si>
  <si>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</si>
  <si>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</si>
  <si>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</si>
  <si>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</si>
  <si>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</si>
  <si>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</si>
  <si>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</si>
  <si>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</si>
  <si>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</si>
  <si>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</si>
  <si>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</si>
  <si>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</si>
  <si>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</si>
  <si>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</si>
  <si>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</si>
  <si>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</si>
  <si>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</si>
  <si>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</si>
  <si>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</si>
  <si>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</si>
  <si>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</si>
  <si>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</si>
  <si>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</si>
  <si>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</si>
  <si>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</si>
  <si>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</si>
  <si>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</si>
  <si>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</si>
  <si>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</si>
  <si>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</si>
  <si>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</si>
  <si>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</si>
  <si>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</si>
  <si>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</si>
  <si>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</si>
  <si>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</si>
  <si>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</si>
  <si>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</si>
  <si>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</si>
  <si>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</si>
  <si>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</si>
  <si>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</si>
  <si>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</si>
  <si>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</si>
  <si>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</si>
  <si>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</si>
  <si>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</si>
  <si>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</si>
  <si>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</si>
  <si>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</si>
  <si>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</si>
  <si>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</si>
  <si>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</si>
  <si>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</si>
  <si>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</si>
  <si>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</si>
  <si>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</si>
  <si>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</si>
  <si>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</si>
  <si>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</si>
  <si>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</si>
  <si>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</si>
  <si>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</si>
  <si>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</si>
  <si>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</si>
  <si>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</si>
  <si>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</si>
  <si>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</si>
  <si>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</si>
  <si>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</si>
  <si>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</si>
  <si>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</si>
  <si>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</si>
  <si>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</si>
  <si>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</si>
  <si>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</si>
  <si>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</si>
  <si>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</si>
  <si>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</si>
  <si>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</si>
  <si>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</si>
  <si>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</si>
  <si>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</si>
  <si>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</si>
  <si>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</si>
  <si>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</si>
  <si>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</si>
  <si>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</si>
  <si>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</si>
  <si>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</si>
  <si>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</si>
  <si>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</si>
  <si>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</si>
  <si>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</si>
  <si>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</si>
  <si>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</si>
  <si>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</si>
  <si>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</si>
  <si>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</si>
  <si>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</si>
  <si>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</si>
  <si>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</si>
  <si>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</si>
  <si>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</si>
  <si>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</si>
  <si>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</si>
  <si>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</si>
  <si>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</si>
  <si>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</si>
  <si>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</si>
  <si>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</si>
  <si>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</si>
  <si>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</si>
  <si>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</si>
  <si>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</si>
  <si>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</si>
  <si>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</si>
  <si>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</si>
  <si>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</si>
  <si>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</si>
  <si>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</si>
  <si>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</si>
  <si>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</si>
  <si>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</si>
  <si>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</si>
  <si>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</si>
  <si>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</si>
  <si>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</si>
  <si>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</si>
  <si>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</si>
  <si>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</si>
  <si>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</si>
  <si>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</si>
  <si>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</si>
  <si>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</si>
  <si>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</si>
  <si>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</si>
  <si>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</si>
  <si>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</si>
  <si>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</si>
  <si>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</si>
  <si>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</si>
  <si>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</si>
  <si>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</si>
  <si>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</si>
  <si>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</si>
  <si>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</si>
  <si>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</si>
  <si>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</si>
  <si>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</si>
  <si>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</si>
  <si>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</si>
  <si>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</si>
  <si>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</si>
  <si>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</si>
  <si>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</si>
  <si>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</si>
  <si>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</si>
  <si>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</si>
  <si>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</si>
  <si>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</si>
  <si>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</si>
  <si>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</si>
  <si>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</si>
  <si>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</si>
  <si>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</si>
  <si>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</si>
  <si>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</si>
  <si>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</si>
  <si>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</si>
  <si>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</si>
  <si>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</si>
  <si>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</si>
  <si>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</si>
  <si>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</si>
  <si>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</si>
  <si>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</si>
  <si>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</si>
  <si>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</si>
  <si>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</si>
  <si>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</si>
  <si>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</si>
  <si>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</si>
  <si>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</si>
  <si>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</si>
  <si>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</si>
  <si>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</si>
  <si>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</si>
  <si>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</si>
  <si>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</si>
  <si>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</si>
  <si>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</si>
  <si>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</si>
  <si>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</si>
  <si>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</si>
  <si>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</si>
  <si>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</si>
  <si>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</si>
  <si>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</si>
  <si>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</si>
  <si>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</si>
  <si>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</si>
  <si>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</si>
  <si>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</si>
  <si>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</si>
  <si>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</si>
  <si>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</si>
  <si>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</si>
  <si>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</si>
  <si>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</si>
  <si>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</si>
  <si>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</si>
  <si>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</si>
  <si>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</si>
  <si>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</si>
  <si>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</si>
  <si>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</si>
  <si>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</si>
  <si>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</si>
  <si>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</si>
  <si>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</si>
  <si>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</si>
  <si>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</si>
  <si>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</si>
  <si>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</si>
  <si>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</si>
  <si>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</si>
  <si>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</si>
  <si>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</si>
  <si>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</si>
  <si>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</si>
  <si>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</si>
  <si>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</si>
  <si>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</si>
  <si>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</si>
  <si>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</si>
  <si>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</si>
  <si>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</si>
  <si>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</si>
  <si>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</si>
  <si>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</si>
  <si>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</si>
  <si>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</si>
  <si>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</si>
  <si>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</si>
  <si>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</si>
  <si>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</si>
  <si>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</si>
  <si>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</si>
  <si>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</si>
  <si>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</si>
  <si>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</si>
  <si>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</si>
  <si>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</si>
  <si>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</si>
  <si>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</si>
  <si>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</si>
  <si>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</si>
  <si>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</si>
  <si>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</si>
  <si>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</si>
  <si>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</si>
  <si>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</si>
  <si>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</si>
  <si>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</si>
  <si>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</si>
  <si>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</si>
  <si>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</si>
  <si>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</si>
  <si>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</si>
  <si>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</si>
  <si>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</si>
  <si>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</si>
  <si>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</si>
  <si>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</si>
  <si>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</si>
  <si>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</si>
  <si>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</si>
  <si>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</si>
  <si>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</si>
  <si>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</si>
  <si>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</si>
  <si>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</si>
  <si>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</si>
  <si>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</si>
  <si>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</si>
  <si>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</si>
  <si>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</si>
  <si>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</si>
  <si>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</si>
  <si>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</si>
  <si>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</si>
  <si>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</si>
  <si>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</si>
  <si>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</si>
  <si>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</si>
  <si>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</si>
  <si>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</si>
  <si>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</si>
  <si>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</si>
  <si>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</si>
  <si>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</si>
  <si>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</si>
  <si>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</si>
  <si>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</si>
  <si>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</si>
  <si>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</si>
  <si>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</si>
  <si>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</si>
  <si>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</si>
  <si>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</si>
  <si>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</si>
  <si>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</si>
  <si>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</si>
  <si>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</si>
  <si>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</si>
  <si>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</si>
  <si>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</si>
  <si>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</si>
  <si>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</si>
  <si>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</si>
  <si>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</si>
  <si>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</si>
  <si>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</si>
  <si>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</si>
  <si>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</si>
  <si>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</si>
  <si>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</si>
  <si>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</si>
  <si>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</si>
  <si>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</si>
  <si>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</si>
  <si>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</si>
  <si>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</si>
  <si>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</si>
  <si>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</si>
  <si>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</si>
  <si>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</si>
  <si>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</si>
  <si>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</si>
  <si>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</si>
  <si>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</si>
  <si>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</si>
  <si>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</si>
  <si>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</si>
  <si>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</si>
  <si>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</si>
  <si>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</si>
  <si>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</si>
  <si>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</si>
  <si>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</si>
  <si>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</si>
  <si>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</si>
  <si>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</si>
  <si>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</si>
  <si>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</si>
  <si>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</si>
  <si>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</si>
  <si>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</si>
  <si>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</si>
  <si>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</si>
  <si>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</si>
  <si>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</si>
  <si>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</si>
  <si>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</si>
  <si>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</si>
  <si>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</si>
  <si>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</si>
  <si>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</si>
  <si>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</si>
  <si>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</si>
  <si>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</si>
  <si>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</si>
  <si>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</si>
  <si>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</si>
  <si>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</si>
  <si>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</si>
  <si>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</si>
  <si>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</si>
  <si>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</si>
  <si>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</si>
  <si>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</si>
  <si>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</si>
  <si>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</si>
  <si>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</si>
  <si>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</si>
  <si>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</si>
  <si>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</si>
  <si>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</si>
  <si>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</si>
  <si>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</si>
  <si>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</si>
  <si>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</si>
  <si>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</si>
  <si>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</si>
  <si>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</si>
  <si>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</si>
  <si>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</si>
  <si>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</si>
  <si>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</si>
  <si>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</si>
  <si>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</si>
  <si>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</si>
  <si>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</si>
  <si>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</si>
  <si>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</si>
  <si>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</si>
  <si>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</si>
  <si>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</si>
  <si>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</si>
  <si>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</si>
  <si>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</si>
  <si>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</si>
  <si>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</si>
  <si>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</si>
  <si>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</si>
  <si>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</si>
  <si>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</si>
  <si>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</si>
  <si>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</si>
  <si>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</si>
  <si>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</si>
  <si>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</si>
  <si>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</si>
  <si>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</si>
  <si>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</si>
  <si>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</si>
  <si>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</si>
  <si>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</si>
  <si>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</si>
  <si>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</si>
  <si>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</si>
  <si>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</si>
  <si>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</si>
  <si>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</si>
  <si>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</si>
  <si>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</si>
  <si>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</si>
  <si>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</si>
  <si>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</si>
  <si>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</si>
  <si>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</si>
  <si>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</si>
  <si>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</si>
  <si>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</si>
  <si>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</si>
  <si>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</si>
  <si>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</si>
  <si>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</si>
  <si>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</si>
  <si>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</si>
  <si>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</si>
  <si>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</si>
  <si>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</si>
  <si>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</si>
  <si>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</si>
  <si>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</si>
  <si>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</si>
  <si>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</si>
  <si>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</si>
  <si>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</si>
  <si>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</si>
  <si>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</si>
  <si>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</si>
  <si>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</si>
  <si>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</si>
  <si>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</si>
  <si>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</si>
  <si>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</si>
  <si>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</si>
  <si>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</si>
  <si>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</si>
  <si>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</si>
  <si>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</si>
  <si>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</si>
  <si>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</si>
  <si>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</si>
  <si>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</si>
  <si>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</si>
  <si>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</si>
  <si>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</si>
  <si>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</si>
  <si>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</si>
  <si>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</si>
  <si>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</si>
  <si>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</si>
  <si>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</si>
  <si>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</si>
  <si>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</si>
  <si>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</si>
  <si>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</si>
  <si>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</si>
  <si>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</si>
  <si>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</si>
  <si>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</si>
  <si>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</si>
  <si>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</si>
  <si>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</si>
  <si>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</si>
  <si>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</si>
  <si>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</si>
  <si>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</si>
  <si>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</si>
  <si>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</si>
  <si>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</si>
  <si>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</si>
  <si>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</si>
  <si>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</si>
  <si>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</si>
  <si>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</si>
  <si>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</si>
  <si>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</si>
  <si>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</si>
  <si>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</si>
  <si>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</si>
  <si>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</si>
  <si>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</si>
  <si>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</si>
  <si>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</si>
  <si>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</si>
  <si>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</si>
  <si>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</si>
  <si>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</si>
  <si>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</si>
  <si>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</si>
  <si>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</si>
  <si>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</si>
  <si>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</si>
  <si>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</si>
  <si>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</si>
  <si>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</si>
  <si>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</si>
  <si>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</si>
  <si>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</si>
  <si>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</si>
  <si>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</si>
  <si>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</si>
  <si>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</si>
  <si>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</si>
  <si>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</si>
  <si>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</si>
  <si>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</si>
  <si>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</si>
  <si>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</si>
  <si>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</si>
  <si>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</si>
  <si>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</si>
  <si>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</si>
  <si>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</si>
  <si>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</si>
  <si>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</si>
  <si>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</si>
  <si>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</si>
  <si>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</si>
  <si>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</si>
  <si>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</si>
  <si>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</si>
  <si>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</si>
  <si>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</si>
  <si>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</si>
  <si>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</si>
  <si>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</si>
  <si>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</si>
  <si>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</si>
  <si>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</si>
  <si>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</si>
  <si>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</si>
  <si>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</si>
  <si>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</si>
  <si>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</si>
  <si>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</si>
  <si>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</si>
  <si>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</si>
  <si>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</si>
  <si>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</si>
  <si>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</si>
  <si>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</si>
  <si>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</si>
  <si>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</si>
  <si>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</si>
  <si>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</si>
  <si>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</si>
  <si>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</si>
  <si>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</si>
  <si>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</si>
  <si>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</si>
  <si>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</si>
  <si>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</si>
  <si>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</si>
  <si>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</si>
  <si>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</si>
  <si>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</si>
  <si>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</si>
  <si>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</si>
  <si>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</si>
  <si>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</si>
  <si>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</si>
  <si>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</si>
  <si>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</si>
  <si>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</si>
  <si>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</si>
  <si>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</si>
  <si>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</si>
  <si>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</si>
  <si>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</si>
  <si>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</si>
  <si>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</si>
  <si>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</si>
  <si>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</si>
  <si>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</si>
  <si>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</si>
  <si>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</si>
  <si>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</si>
  <si>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</si>
  <si>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</si>
  <si>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</si>
  <si>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</si>
  <si>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</si>
  <si>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</si>
  <si>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</si>
  <si>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</si>
  <si>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</si>
  <si>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</si>
  <si>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</si>
  <si>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</si>
  <si>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</si>
  <si>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</si>
  <si>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</si>
  <si>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</si>
  <si>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</si>
  <si>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</si>
  <si>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</si>
  <si>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</si>
  <si>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</si>
  <si>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</si>
  <si>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</si>
  <si>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</si>
  <si>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</si>
  <si>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</si>
  <si>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</si>
  <si>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</si>
  <si>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</si>
  <si>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</si>
  <si>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</si>
  <si>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</si>
  <si>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</si>
  <si>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</si>
  <si>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</si>
  <si>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</si>
  <si>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</si>
  <si>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</si>
  <si>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</si>
  <si>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</si>
  <si>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</si>
  <si>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</si>
  <si>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</si>
  <si>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</si>
  <si>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</si>
  <si>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</si>
  <si>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</si>
  <si>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</si>
  <si>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</si>
  <si>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</si>
  <si>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</si>
  <si>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</si>
  <si>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</si>
  <si>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</si>
  <si>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</si>
  <si>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</si>
  <si>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</si>
  <si>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</si>
  <si>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</si>
  <si>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</si>
  <si>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</si>
  <si>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</si>
  <si>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</si>
  <si>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</si>
  <si>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</si>
  <si>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</si>
  <si>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</si>
  <si>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</si>
  <si>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</si>
  <si>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</si>
  <si>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</si>
  <si>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</si>
  <si>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</si>
  <si>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</si>
  <si>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</si>
  <si>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</si>
  <si>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</si>
  <si>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</si>
  <si>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</si>
  <si>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</si>
  <si>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</si>
  <si>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</si>
  <si>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</si>
  <si>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</si>
  <si>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</si>
  <si>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</si>
  <si>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</si>
  <si>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</si>
  <si>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</si>
  <si>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</si>
  <si>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</si>
  <si>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</si>
  <si>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</si>
  <si>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</si>
  <si>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</si>
  <si>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</si>
  <si>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</si>
  <si>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</si>
  <si>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</si>
  <si>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</si>
  <si>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</si>
  <si>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</si>
  <si>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</si>
  <si>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</si>
  <si>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</si>
  <si>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</si>
  <si>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</si>
  <si>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</si>
  <si>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</si>
  <si>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</si>
  <si>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</si>
  <si>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</si>
  <si>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</si>
  <si>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</si>
  <si>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</si>
  <si>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</si>
  <si>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</si>
  <si>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</si>
  <si>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</si>
  <si>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</si>
  <si>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</si>
  <si>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</si>
  <si>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</si>
  <si>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</si>
  <si>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</si>
  <si>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</si>
  <si>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</si>
  <si>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</si>
  <si>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</si>
  <si>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</si>
  <si>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</si>
  <si>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</si>
  <si>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</si>
  <si>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</si>
  <si>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</si>
  <si>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</si>
  <si>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</si>
  <si>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</si>
  <si>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</si>
  <si>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</si>
  <si>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</si>
  <si>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</si>
  <si>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</si>
  <si>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</si>
  <si>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</si>
  <si>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</si>
  <si>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</si>
  <si>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</si>
  <si>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</si>
  <si>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</si>
  <si>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</si>
  <si>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</si>
  <si>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</si>
  <si>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</si>
  <si>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</si>
  <si>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</si>
  <si>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</si>
  <si>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</si>
  <si>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</si>
  <si>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</si>
  <si>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</si>
  <si>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</si>
  <si>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</si>
  <si>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</si>
  <si>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</si>
  <si>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</si>
  <si>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</si>
  <si>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</si>
  <si>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</si>
  <si>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</si>
  <si>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</si>
  <si>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</si>
  <si>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</si>
  <si>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</si>
  <si>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</si>
  <si>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</si>
  <si>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</si>
  <si>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</si>
  <si>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</si>
  <si>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</si>
  <si>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</si>
  <si>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</si>
  <si>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</si>
  <si>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</si>
  <si>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</si>
  <si>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</si>
  <si>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</si>
  <si>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</si>
  <si>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</si>
  <si>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</si>
  <si>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</si>
  <si>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</si>
  <si>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</si>
  <si>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</si>
  <si>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</si>
  <si>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</si>
  <si>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</si>
  <si>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</si>
  <si>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</si>
  <si>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</si>
  <si>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</si>
  <si>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</si>
  <si>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</si>
  <si>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</si>
  <si>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</si>
  <si>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</si>
  <si>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</si>
  <si>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</si>
  <si>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</si>
  <si>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</si>
  <si>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</si>
  <si>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</si>
  <si>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</si>
  <si>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</si>
  <si>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</si>
  <si>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</si>
  <si>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</si>
  <si>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</si>
  <si>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</si>
  <si>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</si>
  <si>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</si>
  <si>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</si>
  <si>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</si>
  <si>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</si>
  <si>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</si>
  <si>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</si>
  <si>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</si>
  <si>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</si>
  <si>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</si>
  <si>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</si>
  <si>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</si>
  <si>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</si>
  <si>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</si>
  <si>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</si>
  <si>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</si>
  <si>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</si>
  <si>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</si>
  <si>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</si>
  <si>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</si>
  <si>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</si>
  <si>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</si>
  <si>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</si>
  <si>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</si>
  <si>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</si>
  <si>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</si>
  <si>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</si>
  <si>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</si>
  <si>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</si>
  <si>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</si>
  <si>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</si>
  <si>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</si>
  <si>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</si>
  <si>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</si>
  <si>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</si>
  <si>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</si>
  <si>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</si>
  <si>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</si>
  <si>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</si>
  <si>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</si>
  <si>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</si>
  <si>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</si>
  <si>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</si>
  <si>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</si>
  <si>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</si>
  <si>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</si>
  <si>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</si>
  <si>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</si>
  <si>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</si>
  <si>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</si>
  <si>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</si>
  <si>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</si>
  <si>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</si>
  <si>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</si>
  <si>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</si>
  <si>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</si>
  <si>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</si>
  <si>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</si>
  <si>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</si>
  <si>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</si>
  <si>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</si>
  <si>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</si>
  <si>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</si>
  <si>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</si>
  <si>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</si>
  <si>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</si>
  <si>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</si>
  <si>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</si>
  <si>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</si>
  <si>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</si>
  <si>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</si>
  <si>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</si>
  <si>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</si>
  <si>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</si>
  <si>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</si>
  <si>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</si>
  <si>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</si>
  <si>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</si>
  <si>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</si>
  <si>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</si>
  <si>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</si>
  <si>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</si>
  <si>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</si>
  <si>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</si>
  <si>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</si>
  <si>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</si>
  <si>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</si>
  <si>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</si>
  <si>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</si>
  <si>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</si>
  <si>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</si>
  <si>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</si>
  <si>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</si>
  <si>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</si>
  <si>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</si>
  <si>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</si>
  <si>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</si>
  <si>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</si>
  <si>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</si>
  <si>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</si>
  <si>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</si>
  <si>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</si>
  <si>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</si>
  <si>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</si>
  <si>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</si>
  <si>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</si>
  <si>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</si>
  <si>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</si>
  <si>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</si>
  <si>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</si>
  <si>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</si>
  <si>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</si>
  <si>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</si>
  <si>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</si>
  <si>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</si>
  <si>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</si>
  <si>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</si>
  <si>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</si>
  <si>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</si>
  <si>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</si>
  <si>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</si>
  <si>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</si>
  <si>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</si>
  <si>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</si>
  <si>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</si>
  <si>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</si>
  <si>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</si>
  <si>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</si>
  <si>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</si>
  <si>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</si>
  <si>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</si>
  <si>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</si>
  <si>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</si>
  <si>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</si>
  <si>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</si>
  <si>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</si>
  <si>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</si>
  <si>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</si>
  <si>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</si>
  <si>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</si>
  <si>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</si>
  <si>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</si>
  <si>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</si>
  <si>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</si>
  <si>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</si>
  <si>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</si>
  <si>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</si>
  <si>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</si>
  <si>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</si>
  <si>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</si>
  <si>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</si>
  <si>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</si>
  <si>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</si>
  <si>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</si>
  <si>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</si>
  <si>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</si>
  <si>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</si>
  <si>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</si>
  <si>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</si>
  <si>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</si>
  <si>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</si>
  <si>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</si>
  <si>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</si>
  <si>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</si>
  <si>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</si>
  <si>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</si>
  <si>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</si>
  <si>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</si>
  <si>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</si>
  <si>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</si>
  <si>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</si>
  <si>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</si>
  <si>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</si>
  <si>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</si>
  <si>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</si>
  <si>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</si>
  <si>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</si>
  <si>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</si>
  <si>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</si>
  <si>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</si>
  <si>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</si>
  <si>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</si>
  <si>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</si>
  <si>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</si>
  <si>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</si>
  <si>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</si>
  <si>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</si>
  <si>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</si>
  <si>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</si>
  <si>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</si>
  <si>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</si>
  <si>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</si>
  <si>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</si>
  <si>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</si>
  <si>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</si>
  <si>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</si>
  <si>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</si>
  <si>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</si>
  <si>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</si>
  <si>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</si>
  <si>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</si>
  <si>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</si>
  <si>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</si>
  <si>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</si>
  <si>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</si>
  <si>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</si>
  <si>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</si>
  <si>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</si>
  <si>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</si>
  <si>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</si>
  <si>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</si>
  <si>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</si>
  <si>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</si>
  <si>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</si>
  <si>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</si>
  <si>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</si>
  <si>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</si>
  <si>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</si>
  <si>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</si>
  <si>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</si>
  <si>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</si>
  <si>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</si>
  <si>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</si>
  <si>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</si>
  <si>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</si>
  <si>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</si>
  <si>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</si>
  <si>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</si>
  <si>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</si>
  <si>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</si>
  <si>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</si>
  <si>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</si>
  <si>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</si>
  <si>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</si>
  <si>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</si>
  <si>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</si>
  <si>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</si>
  <si>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</si>
  <si>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</si>
  <si>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</si>
  <si>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</si>
  <si>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</si>
  <si>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</si>
  <si>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</si>
  <si>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</si>
  <si>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</si>
  <si>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</si>
  <si>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</si>
  <si>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</si>
  <si>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</si>
  <si>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</si>
  <si>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</si>
  <si>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</si>
  <si>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</si>
  <si>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</si>
  <si>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</si>
  <si>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</si>
  <si>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</si>
  <si>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</si>
  <si>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</si>
  <si>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</si>
  <si>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</si>
  <si>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</si>
  <si>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</si>
  <si>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</si>
  <si>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</si>
  <si>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</si>
  <si>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</si>
  <si>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</si>
  <si>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</si>
  <si>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</si>
  <si>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</si>
  <si>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</si>
  <si>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</si>
  <si>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</si>
  <si>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</si>
  <si>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</si>
  <si>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</si>
  <si>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</si>
  <si>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</si>
  <si>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</si>
  <si>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</si>
  <si>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</si>
  <si>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</si>
  <si>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</si>
  <si>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</si>
  <si>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</si>
  <si>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</si>
  <si>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</si>
  <si>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</si>
  <si>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</si>
  <si>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</si>
  <si>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</si>
  <si>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</si>
  <si>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</si>
  <si>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</si>
  <si>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</si>
  <si>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</si>
  <si>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</si>
  <si>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</si>
  <si>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</si>
  <si>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</si>
  <si>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</si>
  <si>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</si>
  <si>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</si>
  <si>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</si>
  <si>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</si>
  <si>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</si>
  <si>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</si>
  <si>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</si>
  <si>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</si>
  <si>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</si>
  <si>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</si>
  <si>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</si>
  <si>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</si>
  <si>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</si>
  <si>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</si>
  <si>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</si>
  <si>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</si>
  <si>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</si>
  <si>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</si>
  <si>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</si>
  <si>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</si>
  <si>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</si>
  <si>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</si>
  <si>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</si>
  <si>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</si>
  <si>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</si>
  <si>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</si>
  <si>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</si>
  <si>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</si>
  <si>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</si>
  <si>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</si>
  <si>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</si>
  <si>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</si>
  <si>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</si>
  <si>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</si>
  <si>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</si>
  <si>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</si>
  <si>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</si>
  <si>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</si>
  <si>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</si>
  <si>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</si>
  <si>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</si>
  <si>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</si>
  <si>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</si>
  <si>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</si>
  <si>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</si>
  <si>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</si>
  <si>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</si>
  <si>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</si>
  <si>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</si>
  <si>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</si>
  <si>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</si>
  <si>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</si>
  <si>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</si>
  <si>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</si>
  <si>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</si>
  <si>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</si>
  <si>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</si>
  <si>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</si>
  <si>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</si>
  <si>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</si>
  <si>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</si>
  <si>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</si>
  <si>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</si>
  <si>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</si>
  <si>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</si>
  <si>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</si>
  <si>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</si>
  <si>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</si>
  <si>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</si>
  <si>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</si>
  <si>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</si>
  <si>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</si>
  <si>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</si>
  <si>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</si>
  <si>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</si>
  <si>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</si>
  <si>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</si>
  <si>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</si>
  <si>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</si>
  <si>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</si>
  <si>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</si>
  <si>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</si>
  <si>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</si>
  <si>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</si>
  <si>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</si>
  <si>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</si>
  <si>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</si>
  <si>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</si>
  <si>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</si>
  <si>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</si>
  <si>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</si>
  <si>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</si>
  <si>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</si>
  <si>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</si>
  <si>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</si>
  <si>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</si>
  <si>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</si>
  <si>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</si>
  <si>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</si>
  <si>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</si>
  <si>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</si>
  <si>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</si>
  <si>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</si>
  <si>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</si>
  <si>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</si>
  <si>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</si>
  <si>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</si>
  <si>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</si>
  <si>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</si>
  <si>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</si>
  <si>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</si>
  <si>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</si>
  <si>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</si>
  <si>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</si>
  <si>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</si>
  <si>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</si>
  <si>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</si>
  <si>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</si>
  <si>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</si>
  <si>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</si>
  <si>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</si>
  <si>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</si>
  <si>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</si>
  <si>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</si>
  <si>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</si>
  <si>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</si>
  <si>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</si>
  <si>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</si>
  <si>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</si>
  <si>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</si>
  <si>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</si>
  <si>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</si>
  <si>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</si>
  <si>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</si>
  <si>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</si>
  <si>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</si>
  <si>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</si>
  <si>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</si>
  <si>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</si>
  <si>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</si>
  <si>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</si>
  <si>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</si>
  <si>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</si>
  <si>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</si>
  <si>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</si>
  <si>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</si>
  <si>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</si>
  <si>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</si>
  <si>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</si>
  <si>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</si>
  <si>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</si>
  <si>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</si>
  <si>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</si>
  <si>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</si>
  <si>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</si>
  <si>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</si>
  <si>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</si>
  <si>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</si>
  <si>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</si>
  <si>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</si>
  <si>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</si>
  <si>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</si>
  <si>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</si>
  <si>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</si>
  <si>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</si>
  <si>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</si>
  <si>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</si>
  <si>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</si>
  <si>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</si>
  <si>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</si>
  <si>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</si>
  <si>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</si>
  <si>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</si>
  <si>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</si>
  <si>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</si>
  <si>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</si>
  <si>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</si>
  <si>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</si>
  <si>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</si>
  <si>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</si>
  <si>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</si>
  <si>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</si>
  <si>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</si>
  <si>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</si>
  <si>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</si>
  <si>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</si>
  <si>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</si>
  <si>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</si>
  <si>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</si>
  <si>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</si>
  <si>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</si>
  <si>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</si>
  <si>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</si>
  <si>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</si>
  <si>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</si>
  <si>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</si>
  <si>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</si>
  <si>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</si>
  <si>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</si>
  <si>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</si>
  <si>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</si>
  <si>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</si>
  <si>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</si>
  <si>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</si>
  <si>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</si>
  <si>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</si>
  <si>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</si>
  <si>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</si>
  <si>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</si>
  <si>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</si>
  <si>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</si>
  <si>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</si>
  <si>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</si>
  <si>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</si>
  <si>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</si>
  <si>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</si>
  <si>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</si>
  <si>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</si>
  <si>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</si>
  <si>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</si>
  <si>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</si>
  <si>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</si>
  <si>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</si>
  <si>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</si>
  <si>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</si>
  <si>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</si>
  <si>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</si>
  <si>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</si>
  <si>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</si>
  <si>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</si>
  <si>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</si>
  <si>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</si>
  <si>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</si>
  <si>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</si>
  <si>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</si>
  <si>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</si>
  <si>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</si>
  <si>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</si>
  <si>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</si>
  <si>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</si>
  <si>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</si>
  <si>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</si>
  <si>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</si>
  <si>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</si>
  <si>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</si>
  <si>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</si>
  <si>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</si>
  <si>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</si>
  <si>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</si>
  <si>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</si>
  <si>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</si>
  <si>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</si>
  <si>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</si>
  <si>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</si>
  <si>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</si>
  <si>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</si>
  <si>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</si>
  <si>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</si>
  <si>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</si>
  <si>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</si>
  <si>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</si>
  <si>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</si>
  <si>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</si>
  <si>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</si>
  <si>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</si>
  <si>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</si>
  <si>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</si>
  <si>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</si>
  <si>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</si>
  <si>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</si>
  <si>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</si>
  <si>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</si>
  <si>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</si>
  <si>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</si>
  <si>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</si>
  <si>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</si>
  <si>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</si>
  <si>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</si>
  <si>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</si>
  <si>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</si>
  <si>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</si>
  <si>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</si>
  <si>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</si>
  <si>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</si>
  <si>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</si>
  <si>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</si>
  <si>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</si>
  <si>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</si>
  <si>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</si>
  <si>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</si>
  <si>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</si>
  <si>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</si>
  <si>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</si>
  <si>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</si>
  <si>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</si>
  <si>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</si>
  <si>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</si>
  <si>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</si>
  <si>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</si>
  <si>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</si>
  <si>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</si>
  <si>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</si>
  <si>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</si>
  <si>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</si>
  <si>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</si>
  <si>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</si>
  <si>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</si>
  <si>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</si>
  <si>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</si>
  <si>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</si>
  <si>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</si>
  <si>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</si>
  <si>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</si>
  <si>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</si>
  <si>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</si>
  <si>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</si>
  <si>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</si>
  <si>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</si>
  <si>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</si>
  <si>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</si>
  <si>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</si>
  <si>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</si>
  <si>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</si>
  <si>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</si>
  <si>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</si>
  <si>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</si>
  <si>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</si>
  <si>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</si>
  <si>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</si>
  <si>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</si>
  <si>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</si>
  <si>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</si>
  <si>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</si>
  <si>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</si>
  <si>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</si>
  <si>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</si>
  <si>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</si>
  <si>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</si>
  <si>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</si>
  <si>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</si>
  <si>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</si>
  <si>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</si>
  <si>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</si>
  <si>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</si>
  <si>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</si>
  <si>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</si>
  <si>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</si>
  <si>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</si>
  <si>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</si>
  <si>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</si>
  <si>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</si>
  <si>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</si>
  <si>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</si>
  <si>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</si>
  <si>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</si>
  <si>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</si>
  <si>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</si>
  <si>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</si>
  <si>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</si>
  <si>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</si>
  <si>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</si>
  <si>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</si>
  <si>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</si>
  <si>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</si>
  <si>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</si>
  <si>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</si>
  <si>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</si>
  <si>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</si>
  <si>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</si>
  <si>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</si>
  <si>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</si>
  <si>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</si>
  <si>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</si>
  <si>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</si>
  <si>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</si>
  <si>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</si>
  <si>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</si>
  <si>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</si>
  <si>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</si>
  <si>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</si>
  <si>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</si>
  <si>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</si>
  <si>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</si>
  <si>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</si>
  <si>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</si>
  <si>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</si>
  <si>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</si>
  <si>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</si>
  <si>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</si>
  <si>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</si>
  <si>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</si>
  <si>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</si>
  <si>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</si>
  <si>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</si>
  <si>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</si>
  <si>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</si>
  <si>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</si>
  <si>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</si>
  <si>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</si>
  <si>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</si>
  <si>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</si>
  <si>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</si>
  <si>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</si>
  <si>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</si>
  <si>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</si>
  <si>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</si>
  <si>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</si>
  <si>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</si>
  <si>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</si>
  <si>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</si>
  <si>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</si>
  <si>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</si>
  <si>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</si>
  <si>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</si>
  <si>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</si>
  <si>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</si>
  <si>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</si>
  <si>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</si>
  <si>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</si>
  <si>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</si>
  <si>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</si>
  <si>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</si>
  <si>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</si>
  <si>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</si>
  <si>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</si>
  <si>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</si>
  <si>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</si>
  <si>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</si>
  <si>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</si>
  <si>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</si>
  <si>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</si>
  <si>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</si>
  <si>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</si>
  <si>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</si>
  <si>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</si>
  <si>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</si>
  <si>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</si>
  <si>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</si>
  <si>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</si>
  <si>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</si>
  <si>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</si>
  <si>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</si>
  <si>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</si>
  <si>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</si>
  <si>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</si>
  <si>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</si>
  <si>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</si>
  <si>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</si>
  <si>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</si>
  <si>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</si>
  <si>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</si>
  <si>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</si>
  <si>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</si>
  <si>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</si>
  <si>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</si>
  <si>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</si>
  <si>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</si>
  <si>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</si>
  <si>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</si>
  <si>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</si>
  <si>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</si>
  <si>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</si>
  <si>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</si>
  <si>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</si>
  <si>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</si>
  <si>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</si>
  <si>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</si>
  <si>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</si>
  <si>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</si>
  <si>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</si>
  <si>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</si>
  <si>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</si>
  <si>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</si>
  <si>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</si>
  <si>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</si>
  <si>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</si>
  <si>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</si>
  <si>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</si>
  <si>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</si>
  <si>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</si>
  <si>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</si>
  <si>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</si>
  <si>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</si>
  <si>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</si>
  <si>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</si>
  <si>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</si>
  <si>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</si>
  <si>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</si>
  <si>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</si>
  <si>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</si>
  <si>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</si>
  <si>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</si>
  <si>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</si>
  <si>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</si>
  <si>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</si>
  <si>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</si>
  <si>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</si>
  <si>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</si>
  <si>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</si>
  <si>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</si>
  <si>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</si>
  <si>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</si>
  <si>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</si>
  <si>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</si>
  <si>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</si>
  <si>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</si>
  <si>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</si>
  <si>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</si>
  <si>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</si>
  <si>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</si>
  <si>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</si>
  <si>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</si>
  <si>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</si>
  <si>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</si>
  <si>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</si>
  <si>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</si>
  <si>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</si>
  <si>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</si>
  <si>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</si>
  <si>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</si>
  <si>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</si>
  <si>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</si>
  <si>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</si>
  <si>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</si>
  <si>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</si>
  <si>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</si>
  <si>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</si>
  <si>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</si>
  <si>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</si>
  <si>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</si>
  <si>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</si>
  <si>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</si>
  <si>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</si>
  <si>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</si>
  <si>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</si>
  <si>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</si>
  <si>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</si>
  <si>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</si>
  <si>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</si>
  <si>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</si>
  <si>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</si>
  <si>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</si>
  <si>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</si>
  <si>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</si>
  <si>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</si>
  <si>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</si>
  <si>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</si>
  <si>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</si>
  <si>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</si>
  <si>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</si>
  <si>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</si>
  <si>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</si>
  <si>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</si>
  <si>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</si>
  <si>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</si>
  <si>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</si>
  <si>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</si>
  <si>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</si>
  <si>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</si>
  <si>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</si>
  <si>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</si>
  <si>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</si>
  <si>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</si>
  <si>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</si>
  <si>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</si>
  <si>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</si>
  <si>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</si>
  <si>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</si>
  <si>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</si>
  <si>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</si>
  <si>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</si>
  <si>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</si>
  <si>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</si>
  <si>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</si>
  <si>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</si>
  <si>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</si>
  <si>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</si>
  <si>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</si>
  <si>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</si>
  <si>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</si>
  <si>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</si>
  <si>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</si>
  <si>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</si>
  <si>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</si>
  <si>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</si>
  <si>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</si>
  <si>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</si>
  <si>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</si>
  <si>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</si>
  <si>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</si>
  <si>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</si>
  <si>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</si>
  <si>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</si>
  <si>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</si>
  <si>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</si>
  <si>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</si>
  <si>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</si>
  <si>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</si>
  <si>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</si>
  <si>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</si>
  <si>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</si>
  <si>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</si>
  <si>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</si>
  <si>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</si>
  <si>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</si>
  <si>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</si>
  <si>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</si>
  <si>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</si>
  <si>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</si>
  <si>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</si>
  <si>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</si>
  <si>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</si>
  <si>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</si>
  <si>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</si>
  <si>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</si>
  <si>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</si>
  <si>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</si>
  <si>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</si>
  <si>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</si>
  <si>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</si>
  <si>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</si>
  <si>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</si>
  <si>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</si>
  <si>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</si>
  <si>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</si>
  <si>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</si>
  <si>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</si>
  <si>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</si>
  <si>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</si>
  <si>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</si>
  <si>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</si>
  <si>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</si>
  <si>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</si>
  <si>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</si>
  <si>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</si>
  <si>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</si>
  <si>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</si>
  <si>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</si>
  <si>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</si>
  <si>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</si>
  <si>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</si>
  <si>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</si>
  <si>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</si>
  <si>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</si>
  <si>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</si>
  <si>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</si>
  <si>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</si>
  <si>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</si>
  <si>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</si>
  <si>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</si>
  <si>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</si>
  <si>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</si>
  <si>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</si>
  <si>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</si>
  <si>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</si>
  <si>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</si>
  <si>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</si>
  <si>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</si>
  <si>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</si>
  <si>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</si>
  <si>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</si>
  <si>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</si>
  <si>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</si>
  <si>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</si>
  <si>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</si>
  <si>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</si>
  <si>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</si>
  <si>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</si>
  <si>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</si>
  <si>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</si>
  <si>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</si>
  <si>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</si>
  <si>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</si>
  <si>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</si>
  <si>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</si>
  <si>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</si>
  <si>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</si>
  <si>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</si>
  <si>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</si>
  <si>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</si>
  <si>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</si>
  <si>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</si>
  <si>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</si>
  <si>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</si>
  <si>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</si>
  <si>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</si>
  <si>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</si>
  <si>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</si>
  <si>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</si>
  <si>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</si>
  <si>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</si>
  <si>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</si>
  <si>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</si>
  <si>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</si>
  <si>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</si>
  <si>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</si>
  <si>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</si>
  <si>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</si>
  <si>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</si>
  <si>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</si>
  <si>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</si>
  <si>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</si>
  <si>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</si>
  <si>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</si>
  <si>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</si>
  <si>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</si>
  <si>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</si>
  <si>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</si>
  <si>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</si>
  <si>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</si>
  <si>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</si>
  <si>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</si>
  <si>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</si>
  <si>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</si>
  <si>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</si>
  <si>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</si>
  <si>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</si>
  <si>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</si>
  <si>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</si>
  <si>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</si>
  <si>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</si>
  <si>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</si>
  <si>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</si>
  <si>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</si>
  <si>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</si>
  <si>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</si>
  <si>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</si>
  <si>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</si>
  <si>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</si>
  <si>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</si>
  <si>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</si>
  <si>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</si>
  <si>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</si>
  <si>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</si>
  <si>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</si>
  <si>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</si>
  <si>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</si>
  <si>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</si>
  <si>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</si>
  <si>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</si>
  <si>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</si>
  <si>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</si>
  <si>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</si>
  <si>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</si>
  <si>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</si>
  <si>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</si>
  <si>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</si>
  <si>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</si>
  <si>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</si>
  <si>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</si>
  <si>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</si>
  <si>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</si>
  <si>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</si>
  <si>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</si>
  <si>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</si>
  <si>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</si>
  <si>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</si>
  <si>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</si>
  <si>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</si>
  <si>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</si>
  <si>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</si>
  <si>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</si>
  <si>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</si>
  <si>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</si>
  <si>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</si>
  <si>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</si>
  <si>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</si>
  <si>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</si>
  <si>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</si>
  <si>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</si>
  <si>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</si>
  <si>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</si>
  <si>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</si>
  <si>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</si>
  <si>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</si>
  <si>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</si>
  <si>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</si>
  <si>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</si>
  <si>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</si>
  <si>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</si>
  <si>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</si>
  <si>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</si>
  <si>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</si>
  <si>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</si>
  <si>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</si>
  <si>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</si>
  <si>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</si>
  <si>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</si>
  <si>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</si>
  <si>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</si>
  <si>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</si>
  <si>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</si>
  <si>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</si>
  <si>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</si>
  <si>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</si>
  <si>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</si>
  <si>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</si>
  <si>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</si>
  <si>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</si>
  <si>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</si>
  <si>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</si>
  <si>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</si>
  <si>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</si>
  <si>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</si>
  <si>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</si>
  <si>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</si>
  <si>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</si>
  <si>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</si>
  <si>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</si>
  <si>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</si>
  <si>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</si>
  <si>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</si>
  <si>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</si>
  <si>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</si>
  <si>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</si>
  <si>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</si>
  <si>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</si>
  <si>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</si>
  <si>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</si>
  <si>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</si>
  <si>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</si>
  <si>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</si>
  <si>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</si>
  <si>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</si>
  <si>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</si>
  <si>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</si>
  <si>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</si>
  <si>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</si>
  <si>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</si>
  <si>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</si>
  <si>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</si>
  <si>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</si>
  <si>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</si>
  <si>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</si>
  <si>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</si>
  <si>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</si>
  <si>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</si>
  <si>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</si>
  <si>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</si>
  <si>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</si>
  <si>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</si>
  <si>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</si>
  <si>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</si>
  <si>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</si>
  <si>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</si>
  <si>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</si>
  <si>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</si>
  <si>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</si>
  <si>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</si>
  <si>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</si>
  <si>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</si>
  <si>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</si>
  <si>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</si>
  <si>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</si>
  <si>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</si>
  <si>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</si>
  <si>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</si>
  <si>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</si>
  <si>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</si>
  <si>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</si>
  <si>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</si>
  <si>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</si>
  <si>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</si>
  <si>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</si>
  <si>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</si>
  <si>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</si>
  <si>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</si>
  <si>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</si>
  <si>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</si>
  <si>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</si>
  <si>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</si>
  <si>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</si>
  <si>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</si>
  <si>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</si>
  <si>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</si>
  <si>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</si>
  <si>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</si>
  <si>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</si>
  <si>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</si>
  <si>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</si>
  <si>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</si>
  <si>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</si>
  <si>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</si>
  <si>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</si>
  <si>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</si>
  <si>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</si>
  <si>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</si>
  <si>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</si>
  <si>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</si>
  <si>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</si>
  <si>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</si>
  <si>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</si>
  <si>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</si>
  <si>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</si>
  <si>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</si>
  <si>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</si>
  <si>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</si>
  <si>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</si>
  <si>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</si>
  <si>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</si>
  <si>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</si>
  <si>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</si>
  <si>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</si>
  <si>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</si>
  <si>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</si>
  <si>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</si>
  <si>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</si>
  <si>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</si>
  <si>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</si>
  <si>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</si>
  <si>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</si>
  <si>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</si>
  <si>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</si>
  <si>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</si>
  <si>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</si>
  <si>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</si>
  <si>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</si>
  <si>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</si>
  <si>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</si>
  <si>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</si>
  <si>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</si>
  <si>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</si>
  <si>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</si>
  <si>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</si>
  <si>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</si>
  <si>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</si>
  <si>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</si>
  <si>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</si>
  <si>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</si>
  <si>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</si>
  <si>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</si>
  <si>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</si>
  <si>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</si>
  <si>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</si>
  <si>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</si>
  <si>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</si>
  <si>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</si>
  <si>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</si>
  <si>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</si>
  <si>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</si>
  <si>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</si>
  <si>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</si>
  <si>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</si>
  <si>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</si>
  <si>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</si>
  <si>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</si>
  <si>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</si>
  <si>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</si>
  <si>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</si>
  <si>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</si>
  <si>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</si>
  <si>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</si>
  <si>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</si>
  <si>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</si>
  <si>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</si>
  <si>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</si>
  <si>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</si>
  <si>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</si>
  <si>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</si>
  <si>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</si>
  <si>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</si>
  <si>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</si>
  <si>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</si>
  <si>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</si>
  <si>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</si>
  <si>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</si>
  <si>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</si>
  <si>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</si>
  <si>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</si>
  <si>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</si>
  <si>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</si>
  <si>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王鹏</t>
  </si>
  <si>
    <t>郑燚</t>
  </si>
  <si>
    <t>中信信托有限责任公司</t>
    <phoneticPr fontId="6" type="noConversion"/>
  </si>
  <si>
    <t>武汉鸿源锦置业有限公司</t>
    <phoneticPr fontId="6" type="noConversion"/>
  </si>
  <si>
    <t>其他：</t>
  </si>
  <si>
    <t>武汉市</t>
    <phoneticPr fontId="6" type="noConversion"/>
  </si>
  <si>
    <t>企业</t>
  </si>
  <si>
    <t>江夏区纸坊街齐心村</t>
    <phoneticPr fontId="6" type="noConversion"/>
  </si>
  <si>
    <t>居住</t>
  </si>
  <si>
    <t>居住</t>
    <phoneticPr fontId="6" type="noConversion"/>
  </si>
  <si>
    <t>《国有建设用地使用权出让合同》[电子监管号：4201152018B00066]</t>
    <phoneticPr fontId="6" type="noConversion"/>
  </si>
  <si>
    <t>不一致</t>
  </si>
  <si>
    <t>符合</t>
  </si>
  <si>
    <t>出让</t>
  </si>
  <si>
    <t>商业</t>
  </si>
  <si>
    <t>住宅、商业</t>
    <phoneticPr fontId="6" type="noConversion"/>
  </si>
  <si>
    <t>《武汉市江夏区009号齐心村地块投资分析报告》</t>
    <phoneticPr fontId="3" type="noConversion"/>
  </si>
  <si>
    <t>《国有建设用地使用权出让合同》[电子监管号：4201152018B00066]</t>
    <phoneticPr fontId="3" type="noConversion"/>
  </si>
  <si>
    <t>《武汉市江夏区009号齐心村地块投资分析报告》</t>
    <phoneticPr fontId="6" type="noConversion"/>
  </si>
  <si>
    <t>核定资产</t>
  </si>
  <si>
    <t>市场价格</t>
  </si>
  <si>
    <t>否</t>
  </si>
  <si>
    <t>居住项目</t>
  </si>
  <si>
    <t>含保障性住房</t>
  </si>
  <si>
    <t>场地平整</t>
  </si>
  <si>
    <t>平整</t>
  </si>
  <si>
    <t>通路</t>
  </si>
  <si>
    <t>通上水</t>
  </si>
  <si>
    <t>通电</t>
  </si>
  <si>
    <t>回迁房</t>
    <phoneticPr fontId="6" type="noConversion"/>
  </si>
  <si>
    <t>A地块</t>
    <phoneticPr fontId="3" type="noConversion"/>
  </si>
  <si>
    <t>B地块</t>
    <phoneticPr fontId="3" type="noConversion"/>
  </si>
  <si>
    <t>同前</t>
    <phoneticPr fontId="3" type="noConversion"/>
  </si>
  <si>
    <t>同前</t>
    <phoneticPr fontId="3" type="noConversion"/>
  </si>
  <si>
    <t>未取得</t>
    <phoneticPr fontId="3" type="noConversion"/>
  </si>
  <si>
    <t>地上</t>
  </si>
  <si>
    <t>平层住宅</t>
  </si>
  <si>
    <t>底商</t>
  </si>
  <si>
    <t>地下</t>
  </si>
  <si>
    <t>车库—商业</t>
  </si>
  <si>
    <t>车库</t>
  </si>
  <si>
    <t>架空层、避难层</t>
    <phoneticPr fontId="3" type="noConversion"/>
  </si>
  <si>
    <t>住宅</t>
    <phoneticPr fontId="7" type="noConversion"/>
  </si>
  <si>
    <t>回购住宅</t>
  </si>
  <si>
    <t>回购住宅</t>
    <phoneticPr fontId="7" type="noConversion"/>
  </si>
  <si>
    <t>商业</t>
    <phoneticPr fontId="7" type="noConversion"/>
  </si>
  <si>
    <t>地下车库</t>
    <phoneticPr fontId="7" type="noConversion"/>
  </si>
  <si>
    <t>省会市名称</t>
  </si>
  <si>
    <t>建筑型式</t>
  </si>
  <si>
    <t>多层</t>
  </si>
  <si>
    <t>小高层</t>
  </si>
  <si>
    <t>高层</t>
  </si>
  <si>
    <t>武汉</t>
    <phoneticPr fontId="3" type="noConversion"/>
  </si>
  <si>
    <t>不动产收益法</t>
  </si>
  <si>
    <t>项目全部</t>
  </si>
  <si>
    <t>土地</t>
  </si>
  <si>
    <t>比较法-住宅、综合</t>
  </si>
  <si>
    <t>剩余法-待开发</t>
  </si>
  <si>
    <t>土地（套用方法）</t>
  </si>
  <si>
    <t>钢混</t>
  </si>
  <si>
    <t>按租金收入计税</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</si>
  <si>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</si>
  <si>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楼面地价</t>
  </si>
  <si>
    <t>2018-02-13</t>
  </si>
  <si>
    <t>2017-10-10</t>
  </si>
  <si>
    <t>2017-09-14</t>
  </si>
  <si>
    <t>2017-09-13</t>
  </si>
  <si>
    <t>2017-08-29</t>
  </si>
  <si>
    <t>1.0-2.55</t>
  </si>
  <si>
    <t>2017-02-07</t>
  </si>
  <si>
    <t>1.0-3.0</t>
  </si>
  <si>
    <t>2016-12-27</t>
  </si>
  <si>
    <t>1.0-2.1</t>
  </si>
  <si>
    <t>2016-08-23</t>
  </si>
  <si>
    <t>1.0-4.78</t>
  </si>
  <si>
    <r>
      <t>P(2018)009</t>
    </r>
    <r>
      <rPr>
        <sz val="10"/>
        <rFont val="宋体"/>
        <family val="3"/>
        <charset val="134"/>
      </rPr>
      <t>号</t>
    </r>
    <phoneticPr fontId="3" type="noConversion"/>
  </si>
  <si>
    <r>
      <t>P(2017)081</t>
    </r>
    <r>
      <rPr>
        <sz val="10"/>
        <rFont val="宋体"/>
        <family val="3"/>
        <charset val="134"/>
      </rPr>
      <t>号</t>
    </r>
    <phoneticPr fontId="3" type="noConversion"/>
  </si>
  <si>
    <t>P(2017)096号</t>
    <phoneticPr fontId="3" type="noConversion"/>
  </si>
  <si>
    <t>P(2017)082号</t>
    <phoneticPr fontId="3" type="noConversion"/>
  </si>
  <si>
    <t>P(2017)078号</t>
    <phoneticPr fontId="3" type="noConversion"/>
  </si>
  <si>
    <t>P(2017)080号</t>
    <phoneticPr fontId="3" type="noConversion"/>
  </si>
  <si>
    <t>P(2017)079号</t>
    <phoneticPr fontId="3" type="noConversion"/>
  </si>
  <si>
    <t>P(2017)071号</t>
    <phoneticPr fontId="3" type="noConversion"/>
  </si>
  <si>
    <t>P(2017)010号</t>
    <phoneticPr fontId="3" type="noConversion"/>
  </si>
  <si>
    <t>P(2016)132号</t>
    <phoneticPr fontId="3" type="noConversion"/>
  </si>
  <si>
    <t>P(2016)133号</t>
    <phoneticPr fontId="3" type="noConversion"/>
  </si>
  <si>
    <t>P(2016)131号</t>
    <phoneticPr fontId="3" type="noConversion"/>
  </si>
  <si>
    <t>P(2016)085号</t>
    <phoneticPr fontId="3" type="noConversion"/>
  </si>
  <si>
    <r>
      <rPr>
        <sz val="11"/>
        <color theme="1"/>
        <rFont val="宋体"/>
        <family val="3"/>
        <charset val="134"/>
      </rPr>
      <t>地块名称</t>
    </r>
  </si>
  <si>
    <r>
      <rPr>
        <sz val="11"/>
        <color theme="1"/>
        <rFont val="宋体"/>
        <family val="3"/>
        <charset val="134"/>
      </rPr>
      <t>用地性质</t>
    </r>
  </si>
  <si>
    <r>
      <rPr>
        <sz val="11"/>
        <color theme="1"/>
        <rFont val="宋体"/>
        <family val="3"/>
        <charset val="134"/>
      </rPr>
      <t>出让方式</t>
    </r>
  </si>
  <si>
    <r>
      <rPr>
        <sz val="11"/>
        <color theme="1"/>
        <rFont val="宋体"/>
        <family val="3"/>
        <charset val="134"/>
      </rPr>
      <t>地块编号</t>
    </r>
  </si>
  <si>
    <r>
      <rPr>
        <sz val="11"/>
        <color theme="1"/>
        <rFont val="宋体"/>
        <family val="3"/>
        <charset val="134"/>
      </rPr>
      <t>建设用地面积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</si>
  <si>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规划建筑面积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</si>
  <si>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容积率</t>
    </r>
  </si>
  <si>
    <r>
      <rPr>
        <sz val="11"/>
        <color theme="1"/>
        <rFont val="宋体"/>
        <family val="3"/>
        <charset val="134"/>
      </rPr>
      <t>成交日期</t>
    </r>
  </si>
  <si>
    <r>
      <rPr>
        <sz val="11"/>
        <color theme="1"/>
        <rFont val="宋体"/>
        <family val="3"/>
        <charset val="134"/>
      </rPr>
      <t>受让单位</t>
    </r>
  </si>
  <si>
    <r>
      <rPr>
        <sz val="11"/>
        <color theme="1"/>
        <rFont val="宋体"/>
        <family val="3"/>
        <charset val="134"/>
      </rPr>
      <t>成交价</t>
    </r>
    <r>
      <rPr>
        <sz val="11"/>
        <color theme="1"/>
        <rFont val="Arial"/>
        <family val="2"/>
      </rPr>
      <t>(</t>
    </r>
    <r>
      <rPr>
        <sz val="11"/>
        <color theme="1"/>
        <rFont val="宋体"/>
        <family val="3"/>
        <charset val="134"/>
      </rPr>
      <t>万元</t>
    </r>
    <r>
      <rPr>
        <sz val="11"/>
        <color theme="1"/>
        <rFont val="Arial"/>
        <family val="2"/>
      </rPr>
      <t>)</t>
    </r>
  </si>
  <si>
    <r>
      <rPr>
        <sz val="11"/>
        <color theme="1"/>
        <rFont val="宋体"/>
        <family val="3"/>
        <charset val="134"/>
      </rPr>
      <t>成交楼面价</t>
    </r>
    <r>
      <rPr>
        <sz val="11"/>
        <color theme="1"/>
        <rFont val="Arial"/>
        <family val="2"/>
      </rPr>
      <t>(</t>
    </r>
    <r>
      <rPr>
        <sz val="11"/>
        <color theme="1"/>
        <rFont val="宋体"/>
        <family val="3"/>
        <charset val="134"/>
      </rPr>
      <t>元</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</si>
  <si>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溢价率</t>
    </r>
  </si>
  <si>
    <r>
      <rPr>
        <sz val="11"/>
        <color theme="1"/>
        <rFont val="宋体"/>
        <family val="3"/>
        <charset val="134"/>
      </rPr>
      <t>出让年限</t>
    </r>
  </si>
  <si>
    <r>
      <rPr>
        <sz val="11"/>
        <color theme="1"/>
        <rFont val="宋体"/>
        <family val="3"/>
        <charset val="134"/>
      </rPr>
      <t>江夏区纸坊街齐心村</t>
    </r>
  </si>
  <si>
    <r>
      <rPr>
        <sz val="11"/>
        <color theme="1"/>
        <rFont val="宋体"/>
        <family val="3"/>
        <charset val="134"/>
      </rPr>
      <t>住宅用地</t>
    </r>
  </si>
  <si>
    <r>
      <rPr>
        <sz val="11"/>
        <color theme="1"/>
        <rFont val="宋体"/>
        <family val="3"/>
        <charset val="134"/>
      </rPr>
      <t>挂牌</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</si>
  <si>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3.5</t>
    </r>
  </si>
  <si>
    <r>
      <rPr>
        <sz val="11"/>
        <color theme="1"/>
        <rFont val="宋体"/>
        <family val="3"/>
        <charset val="134"/>
      </rPr>
      <t>武汉鸿源锦置业有限公司</t>
    </r>
  </si>
  <si>
    <r>
      <rPr>
        <sz val="11"/>
        <color theme="1"/>
        <rFont val="宋体"/>
        <family val="3"/>
        <charset val="134"/>
      </rPr>
      <t>住宅</t>
    </r>
    <r>
      <rPr>
        <sz val="11"/>
        <color theme="1"/>
        <rFont val="Arial"/>
        <family val="2"/>
      </rPr>
      <t>70</t>
    </r>
    <r>
      <rPr>
        <sz val="11"/>
        <color theme="1"/>
        <rFont val="宋体"/>
        <family val="3"/>
        <charset val="134"/>
      </rPr>
      <t>年</t>
    </r>
  </si>
  <si>
    <r>
      <rPr>
        <sz val="11"/>
        <color theme="1"/>
        <rFont val="宋体"/>
        <family val="3"/>
        <charset val="134"/>
      </rPr>
      <t>江夏区庙山办事处普安村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</si>
  <si>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3.8</t>
    </r>
  </si>
  <si>
    <r>
      <rPr>
        <sz val="11"/>
        <color theme="1"/>
        <rFont val="宋体"/>
        <family val="3"/>
        <charset val="134"/>
      </rPr>
      <t>武汉汉桓置业有限公司</t>
    </r>
  </si>
  <si>
    <r>
      <rPr>
        <sz val="11"/>
        <color theme="1"/>
        <rFont val="宋体"/>
        <family val="3"/>
        <charset val="134"/>
      </rPr>
      <t>江夏区大桥新区豹山村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</si>
  <si>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2.4</t>
    </r>
  </si>
  <si>
    <r>
      <rPr>
        <sz val="11"/>
        <color theme="1"/>
        <rFont val="宋体"/>
        <family val="3"/>
        <charset val="134"/>
      </rPr>
      <t>北京盛世广业投资管理有限公司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</si>
  <si>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2.9</t>
    </r>
  </si>
  <si>
    <r>
      <rPr>
        <sz val="11"/>
        <color theme="1"/>
        <rFont val="宋体"/>
        <family val="3"/>
        <charset val="134"/>
      </rPr>
      <t>武汉联洪置业有限公司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</si>
  <si>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2.8</t>
    </r>
  </si>
  <si>
    <r>
      <rPr>
        <sz val="11"/>
        <color theme="1"/>
        <rFont val="宋体"/>
        <family val="3"/>
        <charset val="134"/>
      </rPr>
      <t>武汉保利金夏房地产有限公司</t>
    </r>
  </si>
  <si>
    <r>
      <rPr>
        <sz val="11"/>
        <color theme="1"/>
        <rFont val="宋体"/>
        <family val="3"/>
        <charset val="134"/>
      </rPr>
      <t>江夏区五里界街毛家畈村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</si>
  <si>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1.5</t>
    </r>
  </si>
  <si>
    <r>
      <rPr>
        <sz val="11"/>
        <color theme="1"/>
        <rFont val="宋体"/>
        <family val="3"/>
        <charset val="134"/>
      </rPr>
      <t>华润置地</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发展有限公司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</si>
  <si>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1.8</t>
    </r>
  </si>
  <si>
    <r>
      <rPr>
        <sz val="11"/>
        <color theme="1"/>
        <rFont val="宋体"/>
        <family val="3"/>
        <charset val="134"/>
      </rPr>
      <t>武汉恒融置业有限公司</t>
    </r>
  </si>
  <si>
    <r>
      <rPr>
        <sz val="11"/>
        <color theme="1"/>
        <rFont val="宋体"/>
        <family val="3"/>
        <charset val="134"/>
      </rPr>
      <t>大连招源房地产有限公司</t>
    </r>
  </si>
  <si>
    <r>
      <rPr>
        <sz val="11"/>
        <color theme="1"/>
        <rFont val="宋体"/>
        <family val="3"/>
        <charset val="134"/>
      </rPr>
      <t>江夏区大桥新区办事处柏木岭村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</si>
  <si>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1.42</t>
    </r>
  </si>
  <si>
    <r>
      <rPr>
        <sz val="11"/>
        <color theme="1"/>
        <rFont val="宋体"/>
        <family val="3"/>
        <charset val="134"/>
      </rPr>
      <t>保利</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房地产开发有限公司</t>
    </r>
  </si>
  <si>
    <r>
      <rPr>
        <sz val="11"/>
        <color theme="1"/>
        <rFont val="宋体"/>
        <family val="3"/>
        <charset val="134"/>
      </rPr>
      <t>江夏区大桥新区柏木岭村</t>
    </r>
  </si>
  <si>
    <r>
      <t>70</t>
    </r>
    <r>
      <rPr>
        <sz val="11"/>
        <color theme="1"/>
        <rFont val="宋体"/>
        <family val="3"/>
        <charset val="134"/>
      </rPr>
      <t>年</t>
    </r>
  </si>
  <si>
    <r>
      <rPr>
        <sz val="11"/>
        <color theme="1"/>
        <rFont val="宋体"/>
        <family val="3"/>
        <charset val="134"/>
      </rPr>
      <t>江夏区藏龙岛梁山头村</t>
    </r>
  </si>
  <si>
    <r>
      <rPr>
        <sz val="11"/>
        <color theme="1"/>
        <rFont val="宋体"/>
        <family val="3"/>
        <charset val="134"/>
      </rPr>
      <t>佛山海裕房地产开发有限公司</t>
    </r>
  </si>
  <si>
    <r>
      <rPr>
        <sz val="11"/>
        <color theme="1"/>
        <rFont val="宋体"/>
        <family val="3"/>
        <charset val="134"/>
      </rPr>
      <t>深圳联新投资管理有限公司</t>
    </r>
  </si>
  <si>
    <r>
      <rPr>
        <sz val="11"/>
        <color theme="1"/>
        <rFont val="宋体"/>
        <family val="3"/>
        <charset val="134"/>
      </rPr>
      <t>江夏区金口街永胜村</t>
    </r>
  </si>
  <si>
    <r>
      <rPr>
        <sz val="11"/>
        <color theme="1"/>
        <rFont val="宋体"/>
        <family val="3"/>
        <charset val="134"/>
      </rPr>
      <t>武汉祥悦房地产开发有限公司</t>
    </r>
  </si>
  <si>
    <r>
      <rPr>
        <sz val="11"/>
        <color theme="1"/>
        <rFont val="宋体"/>
        <family val="3"/>
        <charset val="134"/>
      </rPr>
      <t>苏州中锐尚城置业有限公司</t>
    </r>
  </si>
  <si>
    <r>
      <rPr>
        <sz val="11"/>
        <color theme="1"/>
        <rFont val="宋体"/>
        <family val="3"/>
        <charset val="134"/>
      </rPr>
      <t>江夏区纸坊街复江道</t>
    </r>
  </si>
  <si>
    <r>
      <rPr>
        <sz val="11"/>
        <color theme="1"/>
        <rFont val="宋体"/>
        <family val="3"/>
        <charset val="134"/>
      </rPr>
      <t>武汉市江夏城投集团有限公司</t>
    </r>
  </si>
  <si>
    <t>正常</t>
  </si>
  <si>
    <t>居住</t>
    <phoneticPr fontId="26" type="noConversion"/>
  </si>
  <si>
    <t>70</t>
    <phoneticPr fontId="26" type="noConversion"/>
  </si>
  <si>
    <t>回迁房</t>
    <phoneticPr fontId="26" type="noConversion"/>
  </si>
  <si>
    <t>无</t>
    <phoneticPr fontId="26" type="noConversion"/>
  </si>
  <si>
    <t>较好</t>
  </si>
  <si>
    <t>一般</t>
  </si>
  <si>
    <t>较差</t>
  </si>
  <si>
    <t>好</t>
  </si>
  <si>
    <t>六通</t>
  </si>
  <si>
    <t>高速公路</t>
    <phoneticPr fontId="26" type="noConversion"/>
  </si>
  <si>
    <r>
      <rPr>
        <sz val="11"/>
        <color indexed="8"/>
        <rFont val="宋体"/>
        <family val="3"/>
        <charset val="134"/>
      </rPr>
      <t>城市主干道</t>
    </r>
    <r>
      <rPr>
        <sz val="11"/>
        <color indexed="8"/>
        <rFont val="Arial"/>
        <family val="2"/>
      </rPr>
      <t>/</t>
    </r>
    <r>
      <rPr>
        <sz val="11"/>
        <color indexed="8"/>
        <rFont val="宋体"/>
        <family val="3"/>
        <charset val="134"/>
      </rPr>
      <t>快速路</t>
    </r>
    <phoneticPr fontId="26" type="noConversion"/>
  </si>
  <si>
    <t>城市次干道</t>
  </si>
  <si>
    <t>城市次干道</t>
    <phoneticPr fontId="26" type="noConversion"/>
  </si>
  <si>
    <t>城市支路</t>
  </si>
  <si>
    <t>城市支路</t>
    <phoneticPr fontId="26" type="noConversion"/>
  </si>
  <si>
    <t>规划道路</t>
    <phoneticPr fontId="26" type="noConversion"/>
  </si>
  <si>
    <t>近似规则</t>
  </si>
  <si>
    <t>近似规则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</si>
  <si>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</si>
  <si>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</si>
  <si>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</si>
  <si>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</si>
  <si>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</si>
  <si>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</si>
  <si>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</si>
  <si>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</si>
  <si>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</si>
  <si>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60-70（含）</t>
  </si>
  <si>
    <t>高层</t>
    <phoneticPr fontId="21" type="noConversion"/>
  </si>
  <si>
    <t>洋房</t>
  </si>
  <si>
    <t>洋房</t>
    <phoneticPr fontId="21" type="noConversion"/>
  </si>
  <si>
    <t>联排</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</si>
  <si>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</si>
  <si>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</si>
  <si>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</si>
  <si>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</si>
  <si>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</si>
  <si>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</si>
  <si>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豪华装修</t>
    <phoneticPr fontId="21" type="noConversion"/>
  </si>
  <si>
    <t>精装修</t>
  </si>
  <si>
    <t>精装修</t>
    <phoneticPr fontId="21" type="noConversion"/>
  </si>
  <si>
    <t>普通装修</t>
    <phoneticPr fontId="21" type="noConversion"/>
  </si>
  <si>
    <t>专业</t>
  </si>
  <si>
    <t>专业</t>
    <phoneticPr fontId="21" type="noConversion"/>
  </si>
  <si>
    <t>品牌</t>
    <phoneticPr fontId="21" type="noConversion"/>
  </si>
  <si>
    <t>自管</t>
    <phoneticPr fontId="21" type="noConversion"/>
  </si>
  <si>
    <t>复式</t>
  </si>
  <si>
    <t>复式</t>
    <phoneticPr fontId="21" type="noConversion"/>
  </si>
  <si>
    <t>平层</t>
  </si>
  <si>
    <t>平层</t>
    <phoneticPr fontId="21" type="noConversion"/>
  </si>
  <si>
    <t>毛坯</t>
  </si>
  <si>
    <t>毛坯</t>
    <phoneticPr fontId="21" type="noConversion"/>
  </si>
  <si>
    <t>尾盘</t>
    <phoneticPr fontId="21" type="noConversion"/>
  </si>
  <si>
    <t>万豪世纪天街</t>
    <phoneticPr fontId="3" type="noConversion"/>
  </si>
  <si>
    <t>谭鑫培路与马山路交汇处</t>
    <phoneticPr fontId="3" type="noConversion"/>
  </si>
  <si>
    <t>售价</t>
  </si>
  <si>
    <t>珞狮南路延长线文化大道</t>
    <phoneticPr fontId="3" type="noConversion"/>
  </si>
  <si>
    <t>腾讯大道与金龙大街交汇处</t>
    <phoneticPr fontId="3" type="noConversion"/>
  </si>
  <si>
    <t>“叠拼洋房”</t>
    <phoneticPr fontId="21" type="noConversion"/>
  </si>
  <si>
    <t>装修2500</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</si>
  <si>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底商</t>
    </r>
    <phoneticPr fontId="14" type="noConversion"/>
  </si>
  <si>
    <t>商业</t>
    <phoneticPr fontId="26" type="noConversion"/>
  </si>
  <si>
    <t>30-40（含）</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</si>
  <si>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</si>
  <si>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</si>
  <si>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</si>
  <si>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</si>
  <si>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</si>
  <si>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</si>
  <si>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</si>
  <si>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</si>
  <si>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</si>
  <si>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大</t>
  </si>
  <si>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</si>
  <si>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</si>
  <si>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</si>
  <si>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</si>
  <si>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</si>
  <si>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</si>
  <si>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</si>
  <si>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</si>
  <si>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r>
      <t>3</t>
    </r>
    <r>
      <rPr>
        <sz val="11"/>
        <color indexed="8"/>
        <rFont val="宋体"/>
        <family val="3"/>
        <charset val="134"/>
      </rPr>
      <t>层</t>
    </r>
    <phoneticPr fontId="26" type="noConversion"/>
  </si>
  <si>
    <t>综合商业体</t>
    <phoneticPr fontId="26" type="noConversion"/>
  </si>
  <si>
    <t>独立商业</t>
    <phoneticPr fontId="26" type="noConversion"/>
  </si>
  <si>
    <t>商业街商铺</t>
    <phoneticPr fontId="26" type="noConversion"/>
  </si>
  <si>
    <t>写字楼底商</t>
    <phoneticPr fontId="26" type="noConversion"/>
  </si>
  <si>
    <t>住宅配套</t>
  </si>
  <si>
    <t>住宅配套</t>
    <phoneticPr fontId="26" type="noConversion"/>
  </si>
  <si>
    <t>钢混</t>
    <phoneticPr fontId="26" type="noConversion"/>
  </si>
  <si>
    <t>精装修</t>
    <phoneticPr fontId="26" type="noConversion"/>
  </si>
  <si>
    <t>毛坯</t>
    <phoneticPr fontId="26" type="noConversion"/>
  </si>
  <si>
    <t>普通装修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</si>
  <si>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</si>
  <si>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</si>
  <si>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</si>
  <si>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</si>
  <si>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</si>
  <si>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无限制</t>
    <phoneticPr fontId="26" type="noConversion"/>
  </si>
  <si>
    <t>禁止餐饮</t>
    <phoneticPr fontId="26" type="noConversion"/>
  </si>
  <si>
    <t>标准</t>
  </si>
  <si>
    <t>标准</t>
    <phoneticPr fontId="26" type="noConversion"/>
  </si>
  <si>
    <t>挑高</t>
    <phoneticPr fontId="26" type="noConversion"/>
  </si>
  <si>
    <t>江夏区文化大道与金龙大道交汇处</t>
    <phoneticPr fontId="3" type="noConversion"/>
  </si>
  <si>
    <t>1-2层</t>
  </si>
  <si>
    <t>江夏区大道与沙羡街交汇处</t>
    <phoneticPr fontId="3" type="noConversion"/>
  </si>
  <si>
    <t>尾盘，仅两套</t>
    <phoneticPr fontId="26" type="noConversion"/>
  </si>
  <si>
    <t>北华街新法院旁</t>
    <phoneticPr fontId="3"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</si>
  <si>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</si>
  <si>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</si>
  <si>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t>有</t>
  </si>
  <si>
    <r>
      <t>3.</t>
    </r>
    <r>
      <rPr>
        <b/>
        <sz val="12"/>
        <color rgb="FFFF0000"/>
        <rFont val="宋体"/>
        <family val="3"/>
        <charset val="134"/>
      </rPr>
      <t>地下车库暂不明确是否能取得不动产权证书，沟通后，信托希望纳入开发完成后收益；</t>
    </r>
    <phoneticPr fontId="9" type="noConversion"/>
  </si>
  <si>
    <r>
      <t>2.</t>
    </r>
    <r>
      <rPr>
        <b/>
        <sz val="12"/>
        <color rgb="FFFF0000"/>
        <rFont val="宋体"/>
        <family val="3"/>
        <charset val="134"/>
      </rPr>
      <t>项目回购价房占比</t>
    </r>
    <r>
      <rPr>
        <b/>
        <sz val="12"/>
        <color rgb="FFFF0000"/>
        <rFont val="Arial"/>
        <family val="2"/>
      </rPr>
      <t>35%</t>
    </r>
    <r>
      <rPr>
        <b/>
        <sz val="12"/>
        <color rgb="FFFF0000"/>
        <rFont val="宋体"/>
        <family val="3"/>
        <charset val="134"/>
      </rPr>
      <t>，普通商品房实际可备案售价约</t>
    </r>
    <r>
      <rPr>
        <b/>
        <sz val="12"/>
        <color rgb="FFFF0000"/>
        <rFont val="Arial"/>
        <family val="2"/>
      </rPr>
      <t>11000</t>
    </r>
    <r>
      <rPr>
        <b/>
        <sz val="12"/>
        <color rgb="FFFF0000"/>
        <rFont val="宋体"/>
        <family val="3"/>
        <charset val="134"/>
      </rPr>
      <t>，当前同期同类在售售价约</t>
    </r>
    <r>
      <rPr>
        <b/>
        <sz val="12"/>
        <color rgb="FFFF0000"/>
        <rFont val="Arial"/>
        <family val="2"/>
      </rPr>
      <t>10000</t>
    </r>
    <r>
      <rPr>
        <b/>
        <sz val="12"/>
        <color rgb="FFFF0000"/>
        <rFont val="宋体"/>
        <family val="3"/>
        <charset val="134"/>
      </rPr>
      <t>（带装修）；</t>
    </r>
    <phoneticPr fontId="9" type="noConversion"/>
  </si>
  <si>
    <r>
      <t>1.</t>
    </r>
    <r>
      <rPr>
        <b/>
        <sz val="12"/>
        <color rgb="FFFF0000"/>
        <rFont val="宋体"/>
        <family val="3"/>
        <charset val="134"/>
      </rPr>
      <t>项目以</t>
    </r>
    <r>
      <rPr>
        <b/>
        <sz val="12"/>
        <color rgb="FFFF0000"/>
        <rFont val="Arial"/>
        <family val="2"/>
      </rPr>
      <t>16</t>
    </r>
    <r>
      <rPr>
        <b/>
        <sz val="12"/>
        <color rgb="FFFF0000"/>
        <rFont val="宋体"/>
        <family val="3"/>
        <charset val="134"/>
      </rPr>
      <t>亿于</t>
    </r>
    <r>
      <rPr>
        <b/>
        <sz val="12"/>
        <color rgb="FFFF0000"/>
        <rFont val="Arial"/>
        <family val="2"/>
      </rPr>
      <t>2018</t>
    </r>
    <r>
      <rPr>
        <b/>
        <sz val="12"/>
        <color rgb="FFFF0000"/>
        <rFont val="宋体"/>
        <family val="3"/>
        <charset val="134"/>
      </rPr>
      <t>年</t>
    </r>
    <r>
      <rPr>
        <b/>
        <sz val="12"/>
        <color rgb="FFFF0000"/>
        <rFont val="Arial"/>
        <family val="2"/>
      </rPr>
      <t>2</t>
    </r>
    <r>
      <rPr>
        <b/>
        <sz val="12"/>
        <color rgb="FFFF0000"/>
        <rFont val="宋体"/>
        <family val="3"/>
        <charset val="134"/>
      </rPr>
      <t>月</t>
    </r>
    <r>
      <rPr>
        <b/>
        <sz val="12"/>
        <color rgb="FFFF0000"/>
        <rFont val="Arial"/>
        <family val="2"/>
      </rPr>
      <t>24</t>
    </r>
    <r>
      <rPr>
        <b/>
        <sz val="12"/>
        <color rgb="FFFF0000"/>
        <rFont val="宋体"/>
        <family val="3"/>
        <charset val="134"/>
      </rPr>
      <t>日拿地，信托需求不低于</t>
    </r>
    <r>
      <rPr>
        <b/>
        <sz val="12"/>
        <color rgb="FFFF0000"/>
        <rFont val="Arial"/>
        <family val="2"/>
      </rPr>
      <t>22</t>
    </r>
    <r>
      <rPr>
        <b/>
        <sz val="12"/>
        <color rgb="FFFF0000"/>
        <rFont val="宋体"/>
        <family val="3"/>
        <charset val="134"/>
      </rPr>
      <t>亿（</t>
    </r>
    <r>
      <rPr>
        <b/>
        <sz val="12"/>
        <color rgb="FFFF0000"/>
        <rFont val="Arial"/>
        <family val="2"/>
      </rPr>
      <t>16</t>
    </r>
    <r>
      <rPr>
        <b/>
        <sz val="12"/>
        <color rgb="FFFF0000"/>
        <rFont val="宋体"/>
        <family val="3"/>
        <charset val="134"/>
      </rPr>
      <t>亿地价款</t>
    </r>
    <r>
      <rPr>
        <b/>
        <sz val="12"/>
        <color rgb="FFFF0000"/>
        <rFont val="Arial"/>
        <family val="2"/>
      </rPr>
      <t>+</t>
    </r>
    <r>
      <rPr>
        <b/>
        <sz val="12"/>
        <color rgb="FFFF0000"/>
        <rFont val="宋体"/>
        <family val="3"/>
        <charset val="134"/>
      </rPr>
      <t>契税印花</t>
    </r>
    <r>
      <rPr>
        <b/>
        <sz val="12"/>
        <color rgb="FFFF0000"/>
        <rFont val="Arial"/>
        <family val="2"/>
      </rPr>
      <t>+5</t>
    </r>
    <r>
      <rPr>
        <b/>
        <sz val="12"/>
        <color rgb="FFFF0000"/>
        <rFont val="宋体"/>
        <family val="3"/>
        <charset val="134"/>
      </rPr>
      <t>亿股权收购）；</t>
    </r>
    <phoneticPr fontId="9" type="noConversion"/>
  </si>
  <si>
    <r>
      <t>4.</t>
    </r>
    <r>
      <rPr>
        <b/>
        <sz val="12"/>
        <color rgb="FFFF0000"/>
        <rFont val="宋体"/>
        <family val="3"/>
        <charset val="134"/>
      </rPr>
      <t>正常评估价值约为</t>
    </r>
    <r>
      <rPr>
        <b/>
        <sz val="12"/>
        <color rgb="FFFF0000"/>
        <rFont val="Arial"/>
        <family val="2"/>
      </rPr>
      <t>16.2</t>
    </r>
    <r>
      <rPr>
        <b/>
        <sz val="12"/>
        <color rgb="FFFF0000"/>
        <rFont val="宋体"/>
        <family val="3"/>
        <charset val="134"/>
      </rPr>
      <t>亿元左右，信托需求价值高约</t>
    </r>
    <r>
      <rPr>
        <b/>
        <sz val="12"/>
        <color rgb="FFFF0000"/>
        <rFont val="Arial"/>
        <family val="2"/>
      </rPr>
      <t>40%</t>
    </r>
    <r>
      <rPr>
        <b/>
        <sz val="12"/>
        <color rgb="FFFF0000"/>
        <rFont val="宋体"/>
        <family val="3"/>
        <charset val="134"/>
      </rPr>
      <t>。</t>
    </r>
    <phoneticPr fontId="9" type="noConversion"/>
  </si>
  <si>
    <t>江南新天地</t>
    <phoneticPr fontId="3" type="noConversion"/>
  </si>
  <si>
    <t>水墨江郡·秀水街</t>
    <phoneticPr fontId="3" type="noConversion"/>
  </si>
  <si>
    <t>北华壹號</t>
    <phoneticPr fontId="3" type="noConversion"/>
  </si>
  <si>
    <t>中锐滨湖尚城</t>
    <phoneticPr fontId="3" type="noConversion"/>
  </si>
  <si>
    <t>鸿发世纪城</t>
    <phoneticPr fontId="3" type="noConversion"/>
  </si>
  <si>
    <r>
      <t>P(2017)083</t>
    </r>
    <r>
      <rPr>
        <sz val="10"/>
        <rFont val="宋体"/>
        <family val="3"/>
        <charset val="134"/>
      </rPr>
      <t>号</t>
    </r>
    <phoneticPr fontId="3" type="noConversion"/>
  </si>
  <si>
    <r>
      <t>P(2016)084</t>
    </r>
    <r>
      <rPr>
        <sz val="10"/>
        <rFont val="宋体"/>
        <family val="3"/>
        <charset val="134"/>
      </rPr>
      <t>号</t>
    </r>
    <phoneticPr fontId="3" type="noConversion"/>
  </si>
  <si>
    <t>省物价局省财政厅关于武汉市建制镇城市基础设施配套费收费标准的批复</t>
    <phoneticPr fontId="3" type="noConversion"/>
  </si>
  <si>
    <t xml:space="preserve">请录依据文件名称：鄂价工服规[2012]57号 </t>
    <phoneticPr fontId="3" type="noConversion"/>
  </si>
  <si>
    <t>地上楼面单价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</si>
</sst>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protection locked="0"/>
    </xf>
    <xf numFmtId="180" fontId="71" fillId="0" borderId="2" xfId="0" applyNumberFormat="1" applyFont="1" applyFill="1" applyBorder="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277" fillId="0" borderId="2" xfId="0" applyFont="1" applyFill="1" applyBorder="1" applyAlignment="1" applyProtection="1">
      <alignment horizontal="center" vertical="top" wrapText="1"/>
      <protection locked="0"/>
    </xf>
    <xf numFmtId="0" fontId="167"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xf numFmtId="0" fontId="86" fillId="0" borderId="0" xfId="0" applyFont="1" applyAlignment="1"/>
    <xf numFmtId="0" fontId="149" fillId="0" borderId="0" xfId="0" applyFont="1" applyAlignment="1"/>
    <xf numFmtId="0" fontId="149" fillId="9" borderId="0" xfId="0" applyFont="1" applyFill="1" applyAlignment="1"/>
    <xf numFmtId="0" fontId="86" fillId="9" borderId="0" xfId="0" applyFont="1" applyFill="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9" fillId="6" borderId="0" xfId="0" applyFont="1" applyFill="1" applyAlignment="1"/>
    <xf numFmtId="0" fontId="86" fillId="6" borderId="0" xfId="0" applyFont="1" applyFill="1" applyAlignment="1"/>
    <xf numFmtId="0" fontId="58" fillId="5" borderId="3"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84" fillId="5" borderId="16"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185" fontId="76" fillId="7" borderId="2" xfId="0" applyNumberFormat="1" applyFont="1" applyFill="1" applyBorder="1" applyAlignment="1" applyProtection="1">
      <alignment horizontal="center" vertical="center"/>
      <protection locked="0"/>
    </xf>
    <xf numFmtId="0" fontId="172" fillId="0" borderId="13" xfId="0" applyFont="1" applyBorder="1" applyAlignment="1" applyProtection="1">
      <alignment horizontal="left" vertical="center"/>
      <protection locked="0"/>
    </xf>
    <xf numFmtId="0" fontId="92" fillId="0" borderId="0" xfId="0" applyFont="1" applyBorder="1" applyAlignment="1" applyProtection="1">
      <alignment horizontal="left" vertical="center" wrapText="1"/>
      <protection locked="0"/>
    </xf>
    <xf numFmtId="0" fontId="92" fillId="0" borderId="0" xfId="0"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195" fontId="76" fillId="5" borderId="0" xfId="0" applyNumberFormat="1" applyFont="1" applyFill="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156" fillId="17" borderId="50" xfId="0" applyNumberFormat="1" applyFont="1" applyFill="1" applyBorder="1" applyAlignment="1" applyProtection="1">
      <alignment horizontal="center" vertical="center" wrapText="1"/>
      <protection locked="0"/>
    </xf>
    <xf numFmtId="185" fontId="157" fillId="17"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9" fontId="208" fillId="5" borderId="0" xfId="0" applyNumberFormat="1" applyFont="1" applyFill="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2654</v>
      </c>
      <c r="B1" s="2909" t="s">
        <v>2751</v>
      </c>
    </row>
    <row r="2" spans="1:55" s="2913" customFormat="1" ht="15" thickTop="1">
      <c r="A2" s="2911" t="s">
        <v>2658</v>
      </c>
      <c r="B2" s="2912" t="str">
        <f>'预评函-封皮'!B37</f>
        <v>武汉市江夏区纸坊街齐心村出让国有建设用地使用权市场价格预评估</v>
      </c>
      <c r="AX2" s="2914"/>
      <c r="AZ2" s="2914"/>
      <c r="BA2" s="2915"/>
      <c r="BC2" s="2915"/>
    </row>
    <row r="3" spans="1:55" s="2916" customFormat="1">
      <c r="A3" s="2895" t="s">
        <v>2659</v>
      </c>
      <c r="B3" s="2898" t="str">
        <f>'预评函-封皮'!B40</f>
        <v>中信信托有限责任公司</v>
      </c>
    </row>
    <row r="4" spans="1:55" s="2897" customFormat="1">
      <c r="A4" s="2895" t="s">
        <v>2660</v>
      </c>
      <c r="B4" s="2896" t="str">
        <f>'预评函-封皮'!B46</f>
        <v>王鹏、郑燚</v>
      </c>
      <c r="N4" s="2897" t="str">
        <f>'预评函-1'!A28</f>
        <v>——</v>
      </c>
    </row>
    <row r="5" spans="1:55" s="2910" customFormat="1" ht="15" thickBot="1">
      <c r="A5" s="2917" t="s">
        <v>2661</v>
      </c>
      <c r="B5" s="2918" t="str">
        <f>'预评函-封皮'!B49</f>
        <v>康正预评字号</v>
      </c>
    </row>
    <row r="6" spans="1:55" s="2919" customFormat="1" ht="15" thickTop="1">
      <c r="A6" s="2911" t="s">
        <v>2703</v>
      </c>
      <c r="B6" s="2912" t="str">
        <f>'预评函-1'!A4</f>
        <v>受贵公司委托，我公司对武汉市江夏区纸坊街齐心村出让国有建设用地使用权市场价格进行了预评估。</v>
      </c>
      <c r="AM6" s="2920"/>
    </row>
    <row r="7" spans="1:55" s="2894" customFormat="1">
      <c r="A7" s="2895" t="s">
        <v>2655</v>
      </c>
      <c r="B7" s="2896" t="str">
        <f>'预评函-1'!A6</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8" spans="1:55" s="2894" customFormat="1">
      <c r="A8" s="2895" t="s">
        <v>2656</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2706</v>
      </c>
      <c r="B9" s="2896" t="str">
        <f>'预评函-1'!A9</f>
        <v>本次评估为委托估价方了解标的物之市场价格提供参考依据而评估出让国有建设用地使用权市场价格。</v>
      </c>
    </row>
    <row r="10" spans="1:55" s="2894" customFormat="1">
      <c r="A10" s="2895" t="s">
        <v>2657</v>
      </c>
      <c r="B10" s="2896" t="str">
        <f>'预评函-1'!A11</f>
        <v>2018年3月23日（评估专业人员勘察现场之日）</v>
      </c>
    </row>
    <row r="11" spans="1:55" s="2894" customFormat="1">
      <c r="A11" s="2895" t="s">
        <v>2663</v>
      </c>
      <c r="B11" s="2896" t="str">
        <f>'预评函-1'!A14</f>
        <v>根据《国有建设用地使用权出让合同》[电子监管号：4201152018B00066]，本次评估估价对象证载（地类）用途为居住。</v>
      </c>
    </row>
    <row r="12" spans="1:55" s="2894" customFormat="1">
      <c r="A12" s="2895" t="s">
        <v>2664</v>
      </c>
      <c r="B12" s="2896" t="str">
        <f>'预评函-1'!A15</f>
        <v>根据《武汉市江夏区009号齐心村地块投资分析报告》，估价对象土地规划用途为住宅、商业，上述用途符合《国有土地使用证》证载地类范围。本次评估设定用途为住宅、商业。</v>
      </c>
    </row>
    <row r="13" spans="1:55" s="2894" customFormat="1">
      <c r="A13" s="2895" t="s">
        <v>2665</v>
      </c>
      <c r="B13" s="2896" t="str">
        <f>'预评函-1'!A17</f>
        <v>根据委托估价方介绍及评估专业人员现场勘查，本次评估估价对象实际土地开发程度为红线外市政基础设施达“七通”（即通路、通上水、通电、、、、）、宗地红线内场地平整。</v>
      </c>
    </row>
    <row r="14" spans="1:55" s="2894" customFormat="1">
      <c r="A14" s="2895" t="s">
        <v>2666</v>
      </c>
      <c r="B14" s="2896" t="str">
        <f>'预评函-1'!A18</f>
        <v>本次评估设定土地开发程度为红线外市政基础设施达“七通”、宗地红线内场地平整。</v>
      </c>
    </row>
    <row r="15" spans="1:55" s="2894" customFormat="1">
      <c r="A15" s="2895" t="s">
        <v>2662</v>
      </c>
      <c r="B15" s="2896" t="str">
        <f>'预评函-1'!A20</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16" spans="1:55" s="2894" customFormat="1">
      <c r="A16" s="2895" t="s">
        <v>2667</v>
      </c>
      <c r="B16" s="2896" t="str">
        <f>'预评函-1'!A22</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17" spans="1:48" s="2894" customFormat="1">
      <c r="A17" s="2895" t="s">
        <v>2668</v>
      </c>
      <c r="B17" s="2896" t="str">
        <f>'预评函-1'!A23</f>
        <v>本次评估设定估价对象剩余土地使用年限为。</v>
      </c>
    </row>
    <row r="18" spans="1:48" s="2894" customFormat="1">
      <c r="A18" s="2895" t="s">
        <v>2669</v>
      </c>
      <c r="B18" s="2896" t="str">
        <f>'预评函-1'!A25</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19" spans="1:48" s="2894" customFormat="1">
      <c r="A19" s="2895" t="s">
        <v>2670</v>
      </c>
      <c r="B19" s="2896" t="str">
        <f>'预评函-1'!A26</f>
        <v>——</v>
      </c>
    </row>
    <row r="20" spans="1:48" s="2894" customFormat="1">
      <c r="A20" s="2895" t="s">
        <v>2671</v>
      </c>
      <c r="B20" s="2896" t="str">
        <f>'预评函-1'!A27</f>
        <v>——</v>
      </c>
    </row>
    <row r="21" spans="1:48" s="2910" customFormat="1" ht="15" thickBot="1">
      <c r="A21" s="2917" t="s">
        <v>2672</v>
      </c>
      <c r="B21" s="2918" t="str">
        <f>'预评函-1'!A28</f>
        <v>——</v>
      </c>
    </row>
    <row r="22" spans="1:48" ht="15" thickTop="1">
      <c r="A22" s="2906" t="s">
        <v>2673</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2674</v>
      </c>
      <c r="B23" s="2896" t="str">
        <f>'预评函-2'!K2</f>
        <v>估价期日：2018年3月23日</v>
      </c>
    </row>
    <row r="24" spans="1:48">
      <c r="A24" s="2895" t="s">
        <v>2675</v>
      </c>
      <c r="B24" s="2896" t="str">
        <f>'预评函-2'!R2</f>
        <v>估价期日的国有建设用地使用权性质：出让</v>
      </c>
    </row>
    <row r="25" spans="1:48">
      <c r="A25" s="2895" t="s">
        <v>2731</v>
      </c>
      <c r="B25" s="2896" t="str">
        <f>'预评函-2'!A3</f>
        <v>估价期日土地使用者</v>
      </c>
    </row>
    <row r="26" spans="1:48">
      <c r="A26" s="2895" t="s">
        <v>2707</v>
      </c>
      <c r="B26" s="2896" t="str">
        <f>'预评函-2'!A5</f>
        <v>中信开发</v>
      </c>
    </row>
    <row r="27" spans="1:48">
      <c r="A27" s="2895" t="s">
        <v>2732</v>
      </c>
      <c r="B27" s="2896" t="str">
        <f>'预评函-2'!B3</f>
        <v>宗地编号/不动产单元号</v>
      </c>
    </row>
    <row r="28" spans="1:48">
      <c r="A28" s="2895" t="s">
        <v>2708</v>
      </c>
      <c r="B28" s="2896" t="str">
        <f>'预评函-2'!B5</f>
        <v>11111111111</v>
      </c>
    </row>
    <row r="29" spans="1:48">
      <c r="A29" s="2895" t="s">
        <v>2734</v>
      </c>
      <c r="B29" s="2896">
        <f>'预评函-2'!C5</f>
        <v>22</v>
      </c>
    </row>
    <row r="30" spans="1:48">
      <c r="A30" s="2895" t="s">
        <v>2735</v>
      </c>
      <c r="B30" s="2896" t="str">
        <f>'预评函-2'!D3</f>
        <v>土地使用证编号/不动产权证书编号</v>
      </c>
    </row>
    <row r="31" spans="1:48">
      <c r="A31" s="2895" t="s">
        <v>2709</v>
      </c>
      <c r="B31" s="2896" t="str">
        <f>'预评函-2'!D5</f>
        <v>京国土字第111号</v>
      </c>
    </row>
    <row r="32" spans="1:48">
      <c r="A32" s="2895" t="s">
        <v>2710</v>
      </c>
      <c r="B32" s="2896" t="str">
        <f>'预评函-2'!E5</f>
        <v>居住</v>
      </c>
      <c r="AV32" s="2900"/>
    </row>
    <row r="33" spans="1:2">
      <c r="A33" s="2895" t="s">
        <v>2711</v>
      </c>
      <c r="B33" s="2896">
        <f>'预评函-2'!F5</f>
        <v>258</v>
      </c>
    </row>
    <row r="34" spans="1:2">
      <c r="A34" s="2895" t="s">
        <v>2712</v>
      </c>
      <c r="B34" s="2896" t="str">
        <f>'预评函-2'!G5</f>
        <v>住宅、商业</v>
      </c>
    </row>
    <row r="35" spans="1:2">
      <c r="A35" s="2895" t="s">
        <v>2713</v>
      </c>
      <c r="B35" s="2896">
        <f>'预评函-2'!H5</f>
        <v>1.5</v>
      </c>
    </row>
    <row r="36" spans="1:2">
      <c r="A36" s="2895" t="s">
        <v>2714</v>
      </c>
      <c r="B36" s="2896">
        <f>'预评函-2'!I5</f>
        <v>1.5</v>
      </c>
    </row>
    <row r="37" spans="1:2">
      <c r="A37" s="2895" t="s">
        <v>2715</v>
      </c>
      <c r="B37" s="2896">
        <f>'预评函-2'!J5</f>
        <v>1.5</v>
      </c>
    </row>
    <row r="38" spans="1:2">
      <c r="A38" s="2895" t="s">
        <v>2716</v>
      </c>
      <c r="B38" s="2896" t="str">
        <f>'预评函-2'!K5</f>
        <v>红线外七通、宗地红线内场地平整</v>
      </c>
    </row>
    <row r="39" spans="1:2">
      <c r="A39" s="2895" t="s">
        <v>2717</v>
      </c>
      <c r="B39" s="2896" t="str">
        <f>'预评函-2'!L5</f>
        <v>红线外七通、宗地红线内场地平整</v>
      </c>
    </row>
    <row r="40" spans="1:2">
      <c r="A40" s="2895" t="s">
        <v>2736</v>
      </c>
      <c r="B40" s="2896" t="str">
        <f>'预评函-2'!M3</f>
        <v>（剩余）土地使用年限/年</v>
      </c>
    </row>
    <row r="41" spans="1:2">
      <c r="A41" s="2895" t="s">
        <v>2718</v>
      </c>
      <c r="B41" s="2896">
        <f>'预评函-2'!M5</f>
        <v>0</v>
      </c>
    </row>
    <row r="42" spans="1:2">
      <c r="A42" s="2895" t="s">
        <v>2737</v>
      </c>
      <c r="B42" s="2896" t="str">
        <f>'预评函-2'!N3</f>
        <v>（分摊）出让国有建设用地使用权面积/㎡</v>
      </c>
    </row>
    <row r="43" spans="1:2">
      <c r="A43" s="2895" t="s">
        <v>2719</v>
      </c>
      <c r="B43" s="2896">
        <f>'预评函-2'!N5</f>
        <v>105656.7</v>
      </c>
    </row>
    <row r="44" spans="1:2">
      <c r="A44" s="2895" t="s">
        <v>2738</v>
      </c>
      <c r="B44" s="2896" t="str">
        <f>'预评函-2'!O3</f>
        <v>规划建筑面积/㎡</v>
      </c>
    </row>
    <row r="45" spans="1:2">
      <c r="A45" s="2895" t="s">
        <v>2720</v>
      </c>
      <c r="B45" s="2896">
        <f>'预评函-2'!O5</f>
        <v>529172.31000000006</v>
      </c>
    </row>
    <row r="46" spans="1:2">
      <c r="A46" s="2895" t="s">
        <v>2721</v>
      </c>
      <c r="B46" s="2896">
        <f ca="1">'预评函-2'!P5</f>
        <v>20990</v>
      </c>
    </row>
    <row r="47" spans="1:2">
      <c r="A47" s="2895" t="s">
        <v>2722</v>
      </c>
      <c r="B47" s="2896">
        <f ca="1">'预评函-2'!Q5</f>
        <v>4191</v>
      </c>
    </row>
    <row r="48" spans="1:2">
      <c r="A48" s="2895" t="s">
        <v>2723</v>
      </c>
      <c r="B48" s="2896">
        <f ca="1">'预评函-2'!R5</f>
        <v>221769</v>
      </c>
    </row>
    <row r="49" spans="1:2">
      <c r="A49" s="2895" t="s">
        <v>2739</v>
      </c>
      <c r="B49" s="2896" t="str">
        <f>'预评函-2'!A6</f>
        <v>——</v>
      </c>
    </row>
    <row r="50" spans="1:2">
      <c r="A50" s="2895" t="s">
        <v>2724</v>
      </c>
      <c r="B50" s="2896" t="str">
        <f>'预评函-2'!R6</f>
        <v>——</v>
      </c>
    </row>
    <row r="51" spans="1:2">
      <c r="A51" s="2895" t="s">
        <v>2740</v>
      </c>
      <c r="B51" s="2896" t="str">
        <f>'预评函-2'!A7</f>
        <v>——</v>
      </c>
    </row>
    <row r="52" spans="1:2">
      <c r="A52" s="2895" t="s">
        <v>2725</v>
      </c>
      <c r="B52" s="2896" t="str">
        <f>'预评函-2'!R7</f>
        <v>——</v>
      </c>
    </row>
    <row r="53" spans="1:2">
      <c r="A53" s="2895" t="s">
        <v>2741</v>
      </c>
      <c r="B53" s="2896" t="str">
        <f>'预评函-2'!A8</f>
        <v>——</v>
      </c>
    </row>
    <row r="54" spans="1:2" s="2910" customFormat="1" ht="15" thickBot="1">
      <c r="A54" s="2917" t="s">
        <v>2726</v>
      </c>
      <c r="B54" s="2918" t="str">
        <f>'预评函-2'!R8</f>
        <v>——</v>
      </c>
    </row>
    <row r="55" spans="1:2" ht="15" thickTop="1">
      <c r="A55" s="2906" t="s">
        <v>2676</v>
      </c>
      <c r="B55" s="2907" t="str">
        <f>'预评函-3'!A2</f>
        <v>1.权利限制：根据估价对象、，截至估价期日，估价对象抵押权未见登记。未设定租赁等其他他项权利。</v>
      </c>
    </row>
    <row r="56" spans="1:2">
      <c r="A56" s="2895" t="s">
        <v>2677</v>
      </c>
      <c r="B56" s="2896" t="str">
        <f>'预评函-3'!A3</f>
        <v>2.基础设施条件：估价对象实际开发程度为红线外七通、宗地红线内场地平整；本次评估设定开发程度为红线外七通、宗地红线内场地平整。</v>
      </c>
    </row>
    <row r="57" spans="1:2">
      <c r="A57" s="2895" t="s">
        <v>2678</v>
      </c>
      <c r="B57" s="2896" t="str">
        <f>'预评函-3'!A4</f>
        <v>3.估价规划限制条件：详见《武汉市江夏区009号齐心村地块投资分析报告》。</v>
      </c>
    </row>
    <row r="58" spans="1:2" s="2910" customFormat="1" ht="15" thickBot="1">
      <c r="A58" s="2917" t="s">
        <v>2727</v>
      </c>
      <c r="B58" s="2918" t="str">
        <f>'预评函-3'!A5</f>
        <v>4.影响价格的其他限定条件：无。</v>
      </c>
    </row>
    <row r="59" spans="1:2" ht="15" thickTop="1">
      <c r="A59" s="2906" t="s">
        <v>2679</v>
      </c>
      <c r="B59" s="2907" t="str">
        <f>'预评函-3'!A8</f>
        <v>2.本次评估设定估价对象宗地权属无争议，未被查封或者以其他形式限制其房地产权利，未设定抵押权等他项权利，不涉及第三方权利义务。</v>
      </c>
    </row>
    <row r="60" spans="1:2">
      <c r="A60" s="2895" t="s">
        <v>2680</v>
      </c>
      <c r="B60" s="2896" t="str">
        <f>'预评函-3'!A9</f>
        <v>——</v>
      </c>
    </row>
    <row r="61" spans="1:2">
      <c r="A61" s="2895" t="s">
        <v>2682</v>
      </c>
      <c r="B61" s="2896" t="str">
        <f>'预评函-3'!A10</f>
        <v>——</v>
      </c>
    </row>
    <row r="62" spans="1:2">
      <c r="A62" s="2895" t="s">
        <v>2681</v>
      </c>
      <c r="B62" s="2896" t="str">
        <f>'预评函-3'!A11</f>
        <v>——</v>
      </c>
    </row>
    <row r="63" spans="1:2">
      <c r="A63" s="2895" t="s">
        <v>2683</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2684</v>
      </c>
      <c r="B64" s="2901" t="str">
        <f>'预评函-3'!A13</f>
        <v>（3）。</v>
      </c>
    </row>
    <row r="65" spans="1:2">
      <c r="A65" s="2895" t="s">
        <v>2685</v>
      </c>
      <c r="B65" s="2902" t="str">
        <f>'预评函-3'!A14</f>
        <v>——</v>
      </c>
    </row>
    <row r="66" spans="1:2">
      <c r="A66" s="2895" t="s">
        <v>2686</v>
      </c>
      <c r="B66" s="29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2687</v>
      </c>
      <c r="B67" s="29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2690</v>
      </c>
      <c r="B68" s="2921">
        <f>'预评函-3'!D30</f>
        <v>42558</v>
      </c>
    </row>
    <row r="69" spans="1:2" ht="15" thickTop="1">
      <c r="A69" s="2906" t="s">
        <v>2688</v>
      </c>
      <c r="B69" s="2907" t="str">
        <f>'预评函-3'!A20</f>
        <v>王鹏</v>
      </c>
    </row>
    <row r="70" spans="1:2">
      <c r="A70" s="2895" t="s">
        <v>2688</v>
      </c>
      <c r="B70" s="2902">
        <f ca="1">'预评函-3'!B20</f>
        <v>2002110030</v>
      </c>
    </row>
    <row r="71" spans="1:2">
      <c r="A71" s="2895" t="s">
        <v>2689</v>
      </c>
      <c r="B71" s="2896" t="str">
        <f>'预评函-3'!A21</f>
        <v>郑燚</v>
      </c>
    </row>
    <row r="72" spans="1:2" s="2910" customFormat="1" ht="15" thickBot="1">
      <c r="A72" s="2917" t="s">
        <v>2689</v>
      </c>
      <c r="B72" s="2923">
        <f>'预评函-3'!B21</f>
        <v>2014110011</v>
      </c>
    </row>
    <row r="73" spans="1:2" ht="15" thickTop="1">
      <c r="A73" s="2906" t="s">
        <v>2748</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2749</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2750</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2785</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D17" sqref="D17"/>
    </sheetView>
  </sheetViews>
  <sheetFormatPr defaultColWidth="10" defaultRowHeight="14.25"/>
  <cols>
    <col min="1" max="1" width="19.375" style="1684" customWidth="1"/>
    <col min="2" max="2" width="11.375" style="1684" customWidth="1"/>
    <col min="3" max="3" width="16.875" style="1684" customWidth="1"/>
    <col min="4" max="4" width="14.5"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1939</v>
      </c>
      <c r="B1" s="3249" t="str">
        <f>IF(B10="北京市","北京市",C10)&amp;F10&amp;B16&amp;"国有建设用地使用权"&amp;B9&amp;"预评估"</f>
        <v>武汉市江夏区纸坊街齐心村出让国有建设用地使用权市场价格预评估</v>
      </c>
      <c r="C1" s="3250"/>
      <c r="D1" s="3250"/>
      <c r="E1" s="3250"/>
      <c r="F1" s="3250"/>
      <c r="G1" s="3250"/>
      <c r="H1" s="3250"/>
      <c r="I1" s="3251"/>
      <c r="J1" s="1687"/>
      <c r="K1" s="2472" t="str">
        <f>IF(B10="北京市","北京市",C10)&amp;F10&amp;B16&amp;"国有建设用地使用权"&amp;B9</f>
        <v>武汉市江夏区纸坊街齐心村出让国有建设用地使用权市场价格</v>
      </c>
      <c r="L1" s="1716"/>
      <c r="M1" s="1716"/>
      <c r="N1" s="1687"/>
      <c r="O1" s="1688"/>
      <c r="P1" s="1687"/>
      <c r="Q1" s="1687"/>
      <c r="R1" s="1687"/>
      <c r="S1" s="1687"/>
      <c r="T1" s="1687"/>
      <c r="U1" s="1687"/>
    </row>
    <row r="2" spans="1:21">
      <c r="A2" s="1653" t="s">
        <v>1940</v>
      </c>
      <c r="B2" s="1835"/>
      <c r="D2" s="1687"/>
      <c r="E2" s="1687"/>
      <c r="F2" s="1687"/>
      <c r="G2" s="1687"/>
      <c r="H2" s="1653"/>
      <c r="I2" s="1688"/>
      <c r="J2" s="1687"/>
      <c r="K2" s="2472" t="str">
        <f>IF(B10="北京市","北京市",C10)&amp;F10&amp;B16&amp;"国有建设用地使用权"</f>
        <v>武汉市江夏区纸坊街齐心村出让国有建设用地使用权</v>
      </c>
      <c r="L2" s="1716"/>
      <c r="M2" s="1716"/>
      <c r="N2" s="1687"/>
      <c r="O2" s="1688"/>
      <c r="P2" s="1687"/>
      <c r="Q2" s="1687"/>
      <c r="R2" s="1687"/>
      <c r="S2" s="1687"/>
      <c r="T2" s="1687"/>
      <c r="U2" s="1687"/>
    </row>
    <row r="3" spans="1:21">
      <c r="A3" s="1654" t="s">
        <v>1941</v>
      </c>
      <c r="B3" s="1655">
        <v>43182</v>
      </c>
      <c r="C3" s="1656" t="s">
        <v>1995</v>
      </c>
      <c r="D3" s="1655">
        <v>43182</v>
      </c>
      <c r="E3" s="1687"/>
      <c r="F3" s="1687"/>
      <c r="G3" s="1687"/>
      <c r="H3" s="1653"/>
      <c r="I3" s="1688"/>
      <c r="J3" s="1687"/>
      <c r="K3" s="1767"/>
      <c r="L3" s="1716"/>
      <c r="M3" s="1716"/>
      <c r="N3" s="1687"/>
      <c r="O3" s="1688"/>
      <c r="P3" s="1687"/>
      <c r="Q3" s="1687"/>
      <c r="R3" s="1687"/>
      <c r="S3" s="1687"/>
      <c r="T3" s="1687"/>
      <c r="U3" s="1687"/>
    </row>
    <row r="4" spans="1:21" ht="15" thickBot="1">
      <c r="A4" s="1657" t="s">
        <v>1942</v>
      </c>
      <c r="B4" s="1836" t="s">
        <v>2965</v>
      </c>
      <c r="C4" s="1839">
        <f ca="1">SUMIF(土地估价师,B4,估价师及机构信息!E3:E24)</f>
        <v>2002110030</v>
      </c>
      <c r="D4" s="1836" t="s">
        <v>2966</v>
      </c>
      <c r="E4" s="1839">
        <f>SUMIF(土地估价师,D4,估价师及机构信息!E3:E24)</f>
        <v>2014110011</v>
      </c>
      <c r="F4" s="1836" t="s">
        <v>951</v>
      </c>
      <c r="G4" s="1839">
        <f>SUMIF(土地估价师,F4,估价师及机构信息!E3:E24)</f>
        <v>0</v>
      </c>
      <c r="H4" s="1836" t="s">
        <v>951</v>
      </c>
      <c r="I4" s="1839">
        <f>SUMIF(土地估价师,H4,估价师及机构信息!E3:E24)</f>
        <v>0</v>
      </c>
      <c r="J4" s="1687"/>
      <c r="K4" s="2472" t="str">
        <f>IF(AND(F4="——",H4="——"),B4&amp;"、"&amp;D4,IF(AND(F4&lt;&gt;"——",H4="——"),B4&amp;"、"&amp;D4&amp;"、"&amp;F4,B4&amp;"、"&amp;D4&amp;"、"&amp;F4&amp;"、"&amp;H4))</f>
        <v>王鹏、郑燚</v>
      </c>
      <c r="L4" s="1716"/>
      <c r="M4" s="1716"/>
      <c r="N4" s="1687"/>
      <c r="O4" s="1688"/>
      <c r="P4" s="1687"/>
      <c r="Q4" s="1687"/>
      <c r="R4" s="1687"/>
      <c r="S4" s="1687"/>
      <c r="T4" s="1687"/>
      <c r="U4" s="1687"/>
    </row>
    <row r="5" spans="1:21" ht="15" thickTop="1">
      <c r="A5" s="1658" t="s">
        <v>1943</v>
      </c>
      <c r="B5" s="1782" t="s">
        <v>2967</v>
      </c>
      <c r="C5" s="1659"/>
      <c r="D5" s="1660"/>
      <c r="E5" s="1687"/>
      <c r="F5" s="1687"/>
      <c r="G5" s="1687"/>
      <c r="H5" s="1653"/>
      <c r="I5" s="1688"/>
      <c r="J5" s="1687"/>
      <c r="K5" s="1767"/>
      <c r="L5" s="1716"/>
      <c r="M5" s="1716"/>
      <c r="N5" s="1687"/>
      <c r="O5" s="1688"/>
      <c r="P5" s="1687"/>
      <c r="Q5" s="1687"/>
      <c r="R5" s="1687"/>
      <c r="S5" s="1687"/>
      <c r="T5" s="1687"/>
      <c r="U5" s="1687"/>
    </row>
    <row r="6" spans="1:21">
      <c r="A6" s="1656" t="s">
        <v>2704</v>
      </c>
      <c r="B6" s="1782" t="s">
        <v>2967</v>
      </c>
      <c r="C6" s="1754"/>
      <c r="D6" s="1661"/>
      <c r="E6" s="1687"/>
      <c r="F6" s="1687"/>
      <c r="G6" s="1687"/>
      <c r="H6" s="1653"/>
      <c r="I6" s="1688"/>
      <c r="J6" s="1687"/>
      <c r="K6" s="3073" t="str">
        <f>IF(COUNTIF(B6,"*上海银行*"),"上海银行","")</f>
        <v/>
      </c>
      <c r="L6" s="1716"/>
      <c r="M6" s="1716"/>
      <c r="N6" s="1687"/>
      <c r="O6" s="1688"/>
      <c r="P6" s="1687"/>
      <c r="Q6" s="1687"/>
      <c r="R6" s="1687"/>
      <c r="S6" s="1687"/>
      <c r="T6" s="1687"/>
      <c r="U6" s="1687"/>
    </row>
    <row r="7" spans="1:21">
      <c r="A7" s="1662" t="s">
        <v>2705</v>
      </c>
      <c r="B7" s="1782" t="s">
        <v>2968</v>
      </c>
      <c r="C7" s="1754"/>
      <c r="D7" s="1661"/>
      <c r="E7" s="1687"/>
      <c r="F7" s="1687"/>
      <c r="G7" s="1687"/>
      <c r="H7" s="1653"/>
      <c r="I7" s="1688"/>
      <c r="J7" s="1687"/>
      <c r="K7" s="1767"/>
      <c r="L7" s="1716"/>
      <c r="M7" s="1716"/>
      <c r="N7" s="1687"/>
      <c r="O7" s="1688"/>
      <c r="P7" s="1687"/>
      <c r="Q7" s="1687"/>
      <c r="R7" s="1687"/>
      <c r="S7" s="1687"/>
      <c r="T7" s="1687"/>
      <c r="U7" s="1687"/>
    </row>
    <row r="8" spans="1:21">
      <c r="A8" s="1662" t="s">
        <v>1944</v>
      </c>
      <c r="B8" s="1663" t="s">
        <v>2984</v>
      </c>
      <c r="C8" s="1664"/>
      <c r="D8" s="3255" t="s">
        <v>1946</v>
      </c>
      <c r="E8" s="1837"/>
      <c r="F8" s="1665"/>
      <c r="G8" s="1653"/>
      <c r="H8" s="1653"/>
      <c r="I8" s="1700"/>
      <c r="J8" s="1687"/>
      <c r="K8" s="1767"/>
      <c r="L8" s="1716"/>
      <c r="M8" s="1716"/>
      <c r="N8" s="1687"/>
      <c r="O8" s="1688"/>
      <c r="P8" s="1687"/>
      <c r="Q8" s="1687"/>
      <c r="R8" s="1687"/>
      <c r="S8" s="1687"/>
      <c r="T8" s="1687"/>
      <c r="U8" s="1687"/>
    </row>
    <row r="9" spans="1:21" ht="15" thickBot="1">
      <c r="A9" s="1666" t="s">
        <v>1945</v>
      </c>
      <c r="B9" s="1667" t="s">
        <v>2985</v>
      </c>
      <c r="C9" s="1668"/>
      <c r="D9" s="3256"/>
      <c r="E9" s="1667"/>
      <c r="F9" s="1740"/>
      <c r="G9" s="1735"/>
      <c r="H9" s="1735"/>
      <c r="I9" s="1736"/>
      <c r="J9" s="1687"/>
      <c r="K9" s="1767"/>
      <c r="L9" s="1716"/>
      <c r="M9" s="1716"/>
      <c r="N9" s="1687"/>
      <c r="O9" s="1688"/>
      <c r="P9" s="1687"/>
      <c r="Q9" s="1687"/>
      <c r="R9" s="1687"/>
      <c r="S9" s="1687"/>
      <c r="T9" s="1687"/>
      <c r="U9" s="1687"/>
    </row>
    <row r="10" spans="1:21" ht="15" thickTop="1">
      <c r="A10" s="1737" t="s">
        <v>1998</v>
      </c>
      <c r="B10" s="1712" t="s">
        <v>2969</v>
      </c>
      <c r="C10" s="1669" t="s">
        <v>2970</v>
      </c>
      <c r="D10" s="1660"/>
      <c r="E10" s="1670" t="s">
        <v>1948</v>
      </c>
      <c r="F10" s="1671" t="s">
        <v>2972</v>
      </c>
      <c r="G10" s="1738"/>
      <c r="H10" s="1739"/>
      <c r="I10" s="1660"/>
      <c r="J10" s="1687"/>
      <c r="K10" s="1767"/>
      <c r="L10" s="1716"/>
      <c r="M10" s="1716"/>
      <c r="N10" s="1687"/>
      <c r="O10" s="1688"/>
      <c r="P10" s="1687"/>
      <c r="Q10" s="1687"/>
      <c r="R10" s="1687"/>
      <c r="S10" s="1687"/>
      <c r="T10" s="1687"/>
      <c r="U10" s="1687"/>
    </row>
    <row r="11" spans="1:21">
      <c r="A11" s="1690" t="s">
        <v>1999</v>
      </c>
      <c r="B11" s="1691" t="s">
        <v>2971</v>
      </c>
      <c r="C11" s="1672"/>
      <c r="D11" s="1755"/>
      <c r="E11" s="1653"/>
      <c r="F11" s="1653"/>
      <c r="G11" s="1653"/>
      <c r="H11" s="1653"/>
      <c r="I11" s="1653"/>
      <c r="J11" s="1687"/>
      <c r="K11" s="1767"/>
      <c r="L11" s="1716"/>
      <c r="M11" s="1716"/>
      <c r="N11" s="1687"/>
      <c r="O11" s="1688"/>
      <c r="P11" s="1687"/>
      <c r="Q11" s="1687"/>
      <c r="R11" s="1687"/>
      <c r="S11" s="1687"/>
      <c r="T11" s="1687"/>
      <c r="U11" s="1687"/>
    </row>
    <row r="12" spans="1:21">
      <c r="A12" s="1778" t="s">
        <v>2057</v>
      </c>
      <c r="B12" s="3252" t="s">
        <v>2974</v>
      </c>
      <c r="C12" s="3253"/>
      <c r="D12" s="3254"/>
      <c r="E12" s="1692" t="s">
        <v>2060</v>
      </c>
      <c r="F12" s="3270" t="s">
        <v>2975</v>
      </c>
      <c r="G12" s="3271"/>
      <c r="H12" s="3271"/>
      <c r="I12" s="3272"/>
      <c r="J12" s="1687"/>
      <c r="K12" s="1767"/>
      <c r="L12" s="1716"/>
      <c r="M12" s="1716"/>
      <c r="N12" s="1687"/>
      <c r="O12" s="1688"/>
      <c r="P12" s="1687"/>
      <c r="Q12" s="1687"/>
      <c r="R12" s="1687"/>
      <c r="S12" s="1687"/>
      <c r="T12" s="1687"/>
      <c r="U12" s="1687"/>
    </row>
    <row r="13" spans="1:21">
      <c r="A13" s="1680" t="s">
        <v>2058</v>
      </c>
      <c r="B13" s="3252" t="s">
        <v>2980</v>
      </c>
      <c r="C13" s="3253"/>
      <c r="D13" s="3254"/>
      <c r="E13" s="1692" t="s">
        <v>2060</v>
      </c>
      <c r="F13" s="3270" t="s">
        <v>2983</v>
      </c>
      <c r="G13" s="3271"/>
      <c r="H13" s="3271"/>
      <c r="I13" s="3272"/>
      <c r="J13" s="1687"/>
      <c r="K13" s="1767"/>
      <c r="L13" s="1716"/>
      <c r="M13" s="1716"/>
      <c r="N13" s="1687"/>
      <c r="O13" s="1688"/>
      <c r="P13" s="1687"/>
      <c r="Q13" s="1687"/>
      <c r="R13" s="1687"/>
      <c r="S13" s="1687"/>
      <c r="T13" s="1687"/>
      <c r="U13" s="1687"/>
    </row>
    <row r="14" spans="1:21">
      <c r="A14" s="1654" t="s">
        <v>2061</v>
      </c>
      <c r="B14" s="1692"/>
      <c r="C14" s="1838" t="s">
        <v>2976</v>
      </c>
      <c r="D14" s="1726" t="str">
        <f>IF(C14="不一致","是否符合证载地类范围","")</f>
        <v>是否符合证载地类范围</v>
      </c>
      <c r="E14" s="1692"/>
      <c r="F14" s="1783" t="s">
        <v>2977</v>
      </c>
      <c r="G14" s="1721"/>
      <c r="H14" s="1721"/>
      <c r="I14" s="1830"/>
      <c r="J14" s="1687"/>
      <c r="K14" s="1767"/>
      <c r="L14" s="1716"/>
      <c r="M14" s="1716"/>
      <c r="N14" s="1687"/>
      <c r="O14" s="1688"/>
      <c r="P14" s="1687"/>
      <c r="Q14" s="1687"/>
      <c r="R14" s="1687"/>
      <c r="S14" s="1687"/>
      <c r="T14" s="1687"/>
      <c r="U14" s="1687"/>
    </row>
    <row r="15" spans="1:21" hidden="1">
      <c r="A15" s="2662"/>
      <c r="B15" s="1656"/>
      <c r="C15" s="1656"/>
      <c r="D15" s="1759" t="s">
        <v>1951</v>
      </c>
      <c r="E15" s="1759" t="s">
        <v>1952</v>
      </c>
      <c r="F15" s="1759" t="s">
        <v>1953</v>
      </c>
      <c r="G15" s="1679" t="s">
        <v>1954</v>
      </c>
      <c r="H15" s="1679" t="s">
        <v>1955</v>
      </c>
      <c r="I15" s="1679" t="s">
        <v>1956</v>
      </c>
      <c r="J15" s="1687"/>
      <c r="K15" s="1767"/>
      <c r="L15" s="1716"/>
      <c r="M15" s="1716"/>
      <c r="N15" s="1687"/>
      <c r="O15" s="1688"/>
      <c r="P15" s="1687"/>
      <c r="Q15" s="1687"/>
      <c r="R15" s="1687"/>
      <c r="S15" s="1687"/>
      <c r="T15" s="1687"/>
      <c r="U15" s="1687"/>
    </row>
    <row r="16" spans="1:21" ht="28.5">
      <c r="A16" s="1673" t="s">
        <v>1949</v>
      </c>
      <c r="B16" s="1674" t="s">
        <v>2978</v>
      </c>
      <c r="C16" s="1692" t="s">
        <v>1950</v>
      </c>
      <c r="D16" s="2663" t="s">
        <v>1951</v>
      </c>
      <c r="E16" s="1715" t="s">
        <v>2979</v>
      </c>
      <c r="F16" s="1715"/>
      <c r="G16" s="1715"/>
      <c r="H16" s="1715"/>
      <c r="I16" s="1679" t="s">
        <v>1956</v>
      </c>
      <c r="J16" s="1687"/>
      <c r="K16" s="2473" t="str">
        <f>IF(D17="","",D16&amp;TEXT(D17,"yyyy年m月d日;;"))</f>
        <v>住宅2088年2月23日</v>
      </c>
      <c r="L16" s="1692" t="str">
        <f>IF(OR(K16="",M16=""),"","、")</f>
        <v>、</v>
      </c>
      <c r="M16" s="2473" t="str">
        <f>IF(E17="","",E16&amp;TEXT(E17,"yyyy年m月d日;;"))</f>
        <v>商业2058年2月23日</v>
      </c>
      <c r="N16" s="1692" t="str">
        <f>IF(OR(M16="",O16=""),"","、")</f>
        <v/>
      </c>
      <c r="O16" s="2473" t="str">
        <f>IF(F17="","",F16&amp;TEXT(F17,"yyyy年m月d日;;"))</f>
        <v/>
      </c>
      <c r="P16" s="1692" t="str">
        <f>IF(OR(O16="",Q16=""),"","、")</f>
        <v/>
      </c>
      <c r="Q16" s="2473" t="str">
        <f>IF(G17="","",G16&amp;TEXT(G17,"yyyy年m月d日;;"))</f>
        <v/>
      </c>
      <c r="R16" s="1692" t="str">
        <f>IF(OR(Q16="",S16=""),"","、")</f>
        <v/>
      </c>
      <c r="S16" s="2473" t="str">
        <f>IF(H17="","",H16&amp;TEXT(H17,"yyyy年m月d日;;"))</f>
        <v/>
      </c>
      <c r="T16" s="1692" t="str">
        <f>IF(OR(S16="",U16=""),"","、")</f>
        <v/>
      </c>
      <c r="U16" s="2473" t="str">
        <f>IF(I17="","",I16&amp;TEXT(I17,"yyyy年m月d日;;"))</f>
        <v/>
      </c>
    </row>
    <row r="17" spans="1:21">
      <c r="A17" s="1756"/>
      <c r="B17" s="1675"/>
      <c r="C17" s="1676" t="s">
        <v>1957</v>
      </c>
      <c r="D17" s="1693">
        <v>68721</v>
      </c>
      <c r="E17" s="1693">
        <v>57764</v>
      </c>
      <c r="F17" s="1693"/>
      <c r="G17" s="1693"/>
      <c r="H17" s="1693"/>
      <c r="I17" s="1693"/>
      <c r="J17" s="1687"/>
      <c r="K17" s="2472" t="str">
        <f>CONCATENATE(K16,L16,M16,N16,O16,P16,Q16,R16,S16,T16,,U16)</f>
        <v>住宅2088年2月23日、商业2058年2月23日</v>
      </c>
      <c r="L17" s="1716"/>
      <c r="M17" s="1716"/>
      <c r="N17" s="1687"/>
      <c r="O17" s="1688"/>
      <c r="P17" s="1687"/>
      <c r="Q17" s="1687"/>
      <c r="R17" s="1687"/>
      <c r="S17" s="1687"/>
      <c r="T17" s="1687"/>
      <c r="U17" s="1687"/>
    </row>
    <row r="18" spans="1:21">
      <c r="A18" s="1756"/>
      <c r="B18" s="1675"/>
      <c r="C18" s="1676" t="s">
        <v>1958</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3" t="s">
        <v>1959</v>
      </c>
      <c r="D19" s="1751">
        <f>IF(B16="出让",IF(D17="","",ROUNDDOWN(MIN((D17-$D$3)/365,D18),2)),D18)</f>
        <v>69.959999999999994</v>
      </c>
      <c r="E19" s="1678">
        <f>IF(B16="出让",IF(E17="","",ROUNDDOWN(MIN((E17-$D$3)/365,E18),2)),E18)</f>
        <v>39.950000000000003</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267"/>
      <c r="E20" s="3268"/>
      <c r="F20" s="3268"/>
      <c r="G20" s="3268"/>
      <c r="H20" s="3268"/>
      <c r="I20" s="3269"/>
      <c r="J20" s="1687"/>
      <c r="K20" s="1767"/>
      <c r="L20" s="1716"/>
      <c r="M20" s="1716"/>
      <c r="N20" s="1687"/>
      <c r="O20" s="1688"/>
      <c r="P20" s="1687"/>
      <c r="Q20" s="1687"/>
      <c r="R20" s="1687"/>
      <c r="S20" s="1687"/>
      <c r="T20" s="1687"/>
      <c r="U20" s="1687"/>
    </row>
    <row r="21" spans="1:21">
      <c r="A21" s="1756" t="s">
        <v>1960</v>
      </c>
      <c r="B21" s="1757" t="s">
        <v>1961</v>
      </c>
      <c r="C21" s="1752">
        <f>'数据-汇总表'!E3</f>
        <v>529172.31000000006</v>
      </c>
      <c r="D21" s="1753" t="s">
        <v>1962</v>
      </c>
      <c r="E21" s="3257" t="s">
        <v>2981</v>
      </c>
      <c r="F21" s="3258"/>
      <c r="G21" s="3258"/>
      <c r="H21" s="3258"/>
      <c r="I21" s="3259"/>
      <c r="J21" s="1687"/>
      <c r="K21" s="1767"/>
      <c r="L21" s="1716"/>
      <c r="M21" s="1716"/>
      <c r="N21" s="1687"/>
      <c r="O21" s="1688"/>
      <c r="P21" s="1687"/>
      <c r="Q21" s="1687"/>
      <c r="R21" s="1687"/>
      <c r="S21" s="1687"/>
      <c r="T21" s="1687"/>
      <c r="U21" s="1687"/>
    </row>
    <row r="22" spans="1:21">
      <c r="A22" s="3172" t="s">
        <v>951</v>
      </c>
      <c r="B22" s="1654" t="s">
        <v>1963</v>
      </c>
      <c r="C22" s="1679">
        <f>'数据-汇总表'!D3</f>
        <v>105656.7</v>
      </c>
      <c r="D22" s="1680" t="s">
        <v>1962</v>
      </c>
      <c r="E22" s="3257" t="s">
        <v>2982</v>
      </c>
      <c r="F22" s="3258"/>
      <c r="G22" s="3258"/>
      <c r="H22" s="3258"/>
      <c r="I22" s="3259"/>
      <c r="J22" s="1687"/>
      <c r="K22" s="1767"/>
      <c r="L22" s="1716"/>
      <c r="M22" s="1716"/>
      <c r="N22" s="1687"/>
      <c r="O22" s="1688"/>
      <c r="P22" s="1687"/>
      <c r="Q22" s="1687"/>
      <c r="R22" s="1687"/>
      <c r="S22" s="1687"/>
      <c r="T22" s="1687"/>
      <c r="U22" s="1687"/>
    </row>
    <row r="23" spans="1:21" ht="29.25" hidden="1" thickBot="1">
      <c r="A23" s="1758" t="s">
        <v>1964</v>
      </c>
      <c r="B23" s="1694" t="s">
        <v>1965</v>
      </c>
      <c r="C23" s="1695" t="s">
        <v>2986</v>
      </c>
      <c r="D23" s="1696" t="s">
        <v>1966</v>
      </c>
      <c r="E23" s="1697" t="s">
        <v>2986</v>
      </c>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hidden="1">
      <c r="A24" s="1743" t="s">
        <v>1967</v>
      </c>
      <c r="B24" s="3260" t="s">
        <v>1968</v>
      </c>
      <c r="C24" s="3261"/>
      <c r="D24" s="3262" t="s">
        <v>1969</v>
      </c>
      <c r="E24" s="3263"/>
      <c r="F24" s="1701" t="s">
        <v>1970</v>
      </c>
      <c r="G24" s="1687"/>
      <c r="H24" s="1687"/>
      <c r="I24" s="1700"/>
      <c r="J24" s="1687"/>
      <c r="K24" s="3248" t="s">
        <v>1971</v>
      </c>
      <c r="L24" s="2474"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hidden="1">
      <c r="A25" s="1744"/>
      <c r="B25" s="1741"/>
      <c r="C25" s="1702"/>
      <c r="D25" s="1703"/>
      <c r="E25" s="1704"/>
      <c r="F25" s="1705"/>
      <c r="G25" s="1687"/>
      <c r="H25" s="1687"/>
      <c r="I25" s="1700"/>
      <c r="J25" s="1687"/>
      <c r="K25" s="3248"/>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hidden="1" thickBot="1">
      <c r="A26" s="1745"/>
      <c r="B26" s="1742"/>
      <c r="C26" s="1702"/>
      <c r="D26" s="1653"/>
      <c r="E26" s="1653"/>
      <c r="F26" s="1681"/>
      <c r="G26" s="1687"/>
      <c r="H26" s="1687"/>
      <c r="I26" s="1700"/>
      <c r="J26" s="1687"/>
      <c r="K26" s="3248"/>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hidden="1">
      <c r="A27" s="1748" t="s">
        <v>1972</v>
      </c>
      <c r="B27" s="1746" t="s">
        <v>1973</v>
      </c>
      <c r="C27" s="1706"/>
      <c r="D27" s="2668" t="s">
        <v>1973</v>
      </c>
      <c r="E27" s="1707"/>
      <c r="F27" s="1681"/>
      <c r="G27" s="1687"/>
      <c r="H27" s="1687"/>
      <c r="I27" s="1700"/>
      <c r="J27" s="1687"/>
      <c r="K27" s="1767"/>
      <c r="L27" s="1716"/>
      <c r="M27" s="1716"/>
      <c r="N27" s="1687"/>
      <c r="O27" s="1688"/>
      <c r="P27" s="1687"/>
      <c r="Q27" s="1687"/>
      <c r="R27" s="1687"/>
      <c r="S27" s="1687"/>
      <c r="T27" s="1687"/>
      <c r="U27" s="1687"/>
    </row>
    <row r="28" spans="1:21" hidden="1">
      <c r="A28" s="1749"/>
      <c r="B28" s="1746" t="s">
        <v>1974</v>
      </c>
      <c r="C28" s="1708"/>
      <c r="D28" s="2669" t="s">
        <v>1974</v>
      </c>
      <c r="E28" s="1709"/>
      <c r="F28" s="1681"/>
      <c r="G28" s="1687"/>
      <c r="H28" s="1687"/>
      <c r="I28" s="1700"/>
      <c r="J28" s="1687"/>
      <c r="K28" s="1767"/>
      <c r="L28" s="1716"/>
      <c r="M28" s="1716"/>
      <c r="N28" s="1687"/>
      <c r="O28" s="1688"/>
      <c r="P28" s="1687"/>
      <c r="Q28" s="1687"/>
      <c r="R28" s="1687"/>
      <c r="S28" s="1687"/>
      <c r="T28" s="1687"/>
      <c r="U28" s="1687"/>
    </row>
    <row r="29" spans="1:21" hidden="1">
      <c r="A29" s="1749"/>
      <c r="B29" s="1746" t="s">
        <v>1975</v>
      </c>
      <c r="C29" s="1708"/>
      <c r="D29" s="2669" t="s">
        <v>1975</v>
      </c>
      <c r="E29" s="1709"/>
      <c r="F29" s="1681"/>
      <c r="G29" s="1687"/>
      <c r="H29" s="1687"/>
      <c r="I29" s="1700"/>
      <c r="J29" s="1687"/>
      <c r="K29" s="1767"/>
      <c r="L29" s="1716"/>
      <c r="M29" s="1716"/>
      <c r="N29" s="1687"/>
      <c r="O29" s="1688"/>
      <c r="P29" s="1687"/>
      <c r="Q29" s="1687"/>
      <c r="R29" s="1687"/>
      <c r="S29" s="1687"/>
      <c r="T29" s="1687"/>
      <c r="U29" s="1687"/>
    </row>
    <row r="30" spans="1:21" ht="15" hidden="1" thickBot="1">
      <c r="A30" s="1750"/>
      <c r="B30" s="1747" t="s">
        <v>1976</v>
      </c>
      <c r="C30" s="1710"/>
      <c r="D30" s="2670" t="s">
        <v>1976</v>
      </c>
      <c r="E30" s="1711"/>
      <c r="F30" s="1682"/>
      <c r="G30" s="1735"/>
      <c r="H30" s="1735"/>
      <c r="I30" s="1736"/>
      <c r="J30" s="1687"/>
      <c r="K30" s="1767"/>
      <c r="L30" s="1716"/>
      <c r="M30" s="1716"/>
      <c r="N30" s="1687"/>
      <c r="O30" s="1688"/>
      <c r="P30" s="1687"/>
      <c r="Q30" s="1687"/>
      <c r="R30" s="1687"/>
      <c r="S30" s="1687"/>
      <c r="T30" s="1687"/>
      <c r="U30" s="1687"/>
    </row>
    <row r="31" spans="1:21">
      <c r="A31" s="3275" t="s">
        <v>2000</v>
      </c>
      <c r="B31" s="1757" t="s">
        <v>2001</v>
      </c>
      <c r="C31" s="3273" t="s">
        <v>2987</v>
      </c>
      <c r="D31" s="3274"/>
      <c r="E31" s="1687"/>
      <c r="F31" s="1687"/>
      <c r="G31" s="1687"/>
      <c r="H31" s="1687"/>
      <c r="I31" s="1700"/>
      <c r="J31" s="1687"/>
      <c r="K31" s="2475"/>
      <c r="L31" s="1687"/>
      <c r="M31" s="1687"/>
      <c r="N31" s="1687"/>
      <c r="O31" s="1687"/>
      <c r="P31" s="1687"/>
      <c r="Q31" s="1687"/>
      <c r="R31" s="1687"/>
      <c r="S31" s="1687"/>
      <c r="T31" s="1687"/>
      <c r="U31" s="1687"/>
    </row>
    <row r="32" spans="1:21">
      <c r="A32" s="3275"/>
      <c r="B32" s="1654" t="s">
        <v>2002</v>
      </c>
      <c r="C32" s="1712"/>
      <c r="D32" s="1713"/>
      <c r="E32" s="1687"/>
      <c r="F32" s="1687"/>
      <c r="G32" s="1687"/>
      <c r="H32" s="1687"/>
      <c r="I32" s="1700"/>
      <c r="J32" s="1687"/>
      <c r="K32" s="2475"/>
      <c r="L32" s="1687"/>
      <c r="M32" s="1687"/>
      <c r="N32" s="1687"/>
      <c r="O32" s="1687"/>
      <c r="P32" s="1687"/>
      <c r="Q32" s="1687"/>
      <c r="R32" s="1687"/>
      <c r="S32" s="1687"/>
      <c r="T32" s="1687"/>
      <c r="U32" s="1687"/>
    </row>
    <row r="33" spans="1:21">
      <c r="A33" s="3275"/>
      <c r="B33" s="1654" t="s">
        <v>2003</v>
      </c>
      <c r="C33" s="1714" t="s">
        <v>2988</v>
      </c>
      <c r="D33" s="1831"/>
      <c r="E33" s="1687"/>
      <c r="F33" s="1687"/>
      <c r="G33" s="1687"/>
      <c r="H33" s="1687"/>
      <c r="I33" s="1700"/>
      <c r="J33" s="1687"/>
      <c r="K33" s="2475"/>
      <c r="L33" s="1687"/>
      <c r="M33" s="1687"/>
      <c r="N33" s="1687"/>
      <c r="O33" s="1687"/>
      <c r="P33" s="1687"/>
      <c r="Q33" s="1687"/>
      <c r="R33" s="1687"/>
      <c r="S33" s="1687"/>
      <c r="T33" s="1687"/>
      <c r="U33" s="1687"/>
    </row>
    <row r="34" spans="1:21">
      <c r="A34" s="3276"/>
      <c r="B34" s="1654" t="s">
        <v>2004</v>
      </c>
      <c r="C34" s="3277" t="s">
        <v>2994</v>
      </c>
      <c r="D34" s="3278"/>
      <c r="E34" s="1687"/>
      <c r="F34" s="1687"/>
      <c r="G34" s="1687"/>
      <c r="H34" s="1687"/>
      <c r="I34" s="1700"/>
      <c r="J34" s="1687"/>
      <c r="K34" s="2475"/>
      <c r="L34" s="1687"/>
      <c r="M34" s="1687"/>
      <c r="N34" s="1687"/>
      <c r="O34" s="1687"/>
      <c r="P34" s="1687"/>
      <c r="Q34" s="1687"/>
      <c r="R34" s="1687"/>
      <c r="S34" s="1687"/>
      <c r="T34" s="1687"/>
      <c r="U34" s="1687"/>
    </row>
    <row r="35" spans="1:21">
      <c r="A35" s="3279" t="s">
        <v>846</v>
      </c>
      <c r="B35" s="1715" t="s">
        <v>2989</v>
      </c>
      <c r="C35" s="1769" t="str">
        <f>IF(B35="场地平整","——","具体情况：")</f>
        <v>——</v>
      </c>
      <c r="D35" s="3281"/>
      <c r="E35" s="3282"/>
      <c r="F35" s="3282"/>
      <c r="G35" s="3282"/>
      <c r="H35" s="3282"/>
      <c r="I35" s="3283"/>
      <c r="J35" s="1687"/>
      <c r="K35" s="1768"/>
      <c r="L35" s="1716"/>
      <c r="M35" s="1716"/>
      <c r="N35" s="1687"/>
      <c r="O35" s="1688"/>
      <c r="P35" s="1687"/>
      <c r="Q35" s="1687"/>
      <c r="R35" s="1687"/>
      <c r="S35" s="1687"/>
      <c r="T35" s="1687"/>
      <c r="U35" s="1687"/>
    </row>
    <row r="36" spans="1:21">
      <c r="A36" s="3275"/>
      <c r="B36" s="3284" t="s">
        <v>2053</v>
      </c>
      <c r="C36" s="3285"/>
      <c r="D36" s="1785" t="s">
        <v>2990</v>
      </c>
      <c r="E36" s="3286"/>
      <c r="F36" s="3286"/>
      <c r="G36" s="1680" t="str">
        <f>IF(B35="场地未平整","估价结果处理","")</f>
        <v/>
      </c>
      <c r="H36" s="3287"/>
      <c r="I36" s="3287"/>
      <c r="J36" s="1687"/>
      <c r="K36" s="1768"/>
      <c r="L36" s="1716"/>
      <c r="M36" s="1716"/>
      <c r="N36" s="1687"/>
      <c r="O36" s="1688"/>
      <c r="P36" s="1687"/>
      <c r="Q36" s="1687"/>
      <c r="R36" s="1687"/>
      <c r="S36" s="1687"/>
      <c r="T36" s="1687"/>
      <c r="U36" s="1687"/>
    </row>
    <row r="37" spans="1:21">
      <c r="A37" s="3275"/>
      <c r="B37" s="3264" t="s">
        <v>847</v>
      </c>
      <c r="C37" s="1717" t="s">
        <v>848</v>
      </c>
      <c r="D37" s="1718">
        <v>43609</v>
      </c>
      <c r="E37" s="1719"/>
      <c r="F37" s="1687"/>
      <c r="G37" s="1687"/>
      <c r="H37" s="1687"/>
      <c r="I37" s="1700"/>
      <c r="J37" s="1687"/>
      <c r="K37" s="1768"/>
      <c r="L37" s="1687"/>
      <c r="M37" s="1687"/>
      <c r="N37" s="1687"/>
      <c r="O37" s="1687"/>
      <c r="P37" s="1687"/>
      <c r="Q37" s="1687"/>
      <c r="R37" s="1687"/>
      <c r="S37" s="1687"/>
      <c r="T37" s="1687"/>
      <c r="U37" s="1687"/>
    </row>
    <row r="38" spans="1:21">
      <c r="A38" s="3275"/>
      <c r="B38" s="3265"/>
      <c r="C38" s="1662" t="s">
        <v>849</v>
      </c>
      <c r="D38" s="1784">
        <f>ROUNDDOWN(MIN(('数据-取费表'!$B$2-D37)/365,D34),1)</f>
        <v>-1.1000000000000001</v>
      </c>
      <c r="E38" s="1720" t="s">
        <v>850</v>
      </c>
      <c r="F38" s="1687"/>
      <c r="G38" s="1687"/>
      <c r="H38" s="1687"/>
      <c r="I38" s="1700"/>
      <c r="J38" s="1687"/>
      <c r="K38" s="1768"/>
      <c r="L38" s="1687"/>
      <c r="M38" s="1687"/>
      <c r="N38" s="1687"/>
      <c r="O38" s="1687"/>
      <c r="P38" s="1687"/>
      <c r="Q38" s="1687"/>
      <c r="R38" s="1687"/>
      <c r="S38" s="1687"/>
      <c r="T38" s="1687"/>
      <c r="U38" s="1687"/>
    </row>
    <row r="39" spans="1:21">
      <c r="A39" s="3276"/>
      <c r="B39" s="3266"/>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1977</v>
      </c>
      <c r="B40" s="1683" t="s">
        <v>2991</v>
      </c>
      <c r="C40" s="1683" t="s">
        <v>2992</v>
      </c>
      <c r="D40" s="1683" t="s">
        <v>2993</v>
      </c>
      <c r="E40" s="1683"/>
      <c r="F40" s="1683"/>
      <c r="G40" s="1683"/>
      <c r="H40" s="1683"/>
      <c r="I40" s="1700"/>
      <c r="J40" s="1687"/>
      <c r="K40" s="1723">
        <f>COUNTIF(B40:H40,"——")</f>
        <v>0</v>
      </c>
      <c r="L40" s="1692" t="s">
        <v>1978</v>
      </c>
      <c r="M40" s="1689" t="s">
        <v>1979</v>
      </c>
      <c r="N40" s="1689" t="s">
        <v>1980</v>
      </c>
      <c r="O40" s="1689" t="s">
        <v>1981</v>
      </c>
      <c r="P40" s="1689" t="s">
        <v>1982</v>
      </c>
      <c r="Q40" s="1689" t="s">
        <v>1983</v>
      </c>
      <c r="R40" s="1689" t="s">
        <v>1984</v>
      </c>
      <c r="S40" s="3247" t="s">
        <v>1985</v>
      </c>
      <c r="T40" s="1724" t="str">
        <f>NUMBERSTRING(7-K40,1)&amp;"通"</f>
        <v>七通</v>
      </c>
      <c r="U40" s="1687"/>
    </row>
    <row r="41" spans="1:21">
      <c r="A41" s="1656"/>
      <c r="B41" s="3280" t="s">
        <v>1721</v>
      </c>
      <c r="C41" s="3280"/>
      <c r="D41" s="3280"/>
      <c r="E41" s="3280"/>
      <c r="F41" s="1725" t="str">
        <f>C10</f>
        <v>武汉市</v>
      </c>
      <c r="G41" s="1687"/>
      <c r="H41" s="1687"/>
      <c r="I41" s="1700"/>
      <c r="J41" s="1687"/>
      <c r="K41" s="1692"/>
      <c r="L41" s="1689" t="str">
        <f>B40</f>
        <v>通路</v>
      </c>
      <c r="M41" s="1726" t="str">
        <f>B40&amp;"、"&amp;C40</f>
        <v>通路、通上水</v>
      </c>
      <c r="N41" s="1727" t="str">
        <f>B40&amp;"、"&amp;C40&amp;"、"&amp;D40</f>
        <v>通路、通上水、通电</v>
      </c>
      <c r="O41" s="1727" t="str">
        <f>B40&amp;"、"&amp;C40&amp;"、"&amp;D40&amp;"、"&amp;E40</f>
        <v>通路、通上水、通电、</v>
      </c>
      <c r="P41" s="1727" t="str">
        <f>B40&amp;"、"&amp;C40&amp;"、"&amp;D40&amp;"、"&amp;E40&amp;"、"&amp;F40</f>
        <v>通路、通上水、通电、、</v>
      </c>
      <c r="Q41" s="1727" t="str">
        <f>B40&amp;"、"&amp;C40&amp;"、"&amp;D40&amp;"、"&amp;E40&amp;"、"&amp;F40&amp;"、"&amp;G40</f>
        <v>通路、通上水、通电、、、</v>
      </c>
      <c r="R41" s="1727" t="str">
        <f>B40&amp;"、"&amp;C40&amp;"、"&amp;D40&amp;"、"&amp;E40&amp;"、"&amp;F40&amp;"、"&amp;G40&amp;"、"&amp;H40</f>
        <v>通路、通上水、通电、、、、</v>
      </c>
      <c r="S41" s="3247"/>
      <c r="T41" s="1726" t="str">
        <f>IF(T40="一通",L41,IF(T40="二通",M41,IF(T40="三通",N41,IF(T40="四通",O41,IF(T40="五通",P41,IF(T40="六通",Q41,R41))))))</f>
        <v>通路、通上水、通电、、、、</v>
      </c>
      <c r="U41" s="1687"/>
    </row>
    <row r="42" spans="1:21">
      <c r="A42" s="1728"/>
      <c r="B42" s="1759" t="s">
        <v>1897</v>
      </c>
      <c r="C42" s="1759" t="s">
        <v>1898</v>
      </c>
      <c r="D42" s="1759" t="s">
        <v>1899</v>
      </c>
      <c r="E42" s="1692" t="s">
        <v>1900</v>
      </c>
      <c r="F42" s="1729"/>
      <c r="G42" s="1687"/>
      <c r="H42" s="1687"/>
      <c r="I42" s="1700"/>
      <c r="J42" s="1687"/>
      <c r="K42" s="1767"/>
      <c r="L42" s="1716"/>
      <c r="M42" s="1716"/>
      <c r="N42" s="1687"/>
      <c r="O42" s="1688"/>
      <c r="P42" s="1687"/>
      <c r="Q42" s="1687"/>
      <c r="R42" s="1687"/>
      <c r="S42" s="1687"/>
      <c r="T42" s="1687"/>
      <c r="U42" s="1687"/>
    </row>
    <row r="43" spans="1:21">
      <c r="A43" s="1730" t="s">
        <v>1706</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1707</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2887</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90" zoomScaleSheetLayoutView="100" workbookViewId="0">
      <selection activeCell="I7" sqref="I7"/>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7.375" style="1978" customWidth="1"/>
    <col min="10" max="10" width="3.125" style="1978" customWidth="1"/>
    <col min="11" max="16" width="11.625" style="1978" customWidth="1"/>
    <col min="17" max="17" width="3.375" style="1978" customWidth="1"/>
    <col min="18" max="18" width="9.25" style="1978"/>
    <col min="19" max="19" width="12.875" style="1978" customWidth="1"/>
    <col min="20" max="16384" width="9.25" style="1978"/>
  </cols>
  <sheetData>
    <row r="1" spans="1:16" ht="18.75">
      <c r="A1" s="104" t="s">
        <v>202</v>
      </c>
      <c r="B1" s="1977"/>
      <c r="C1" s="1977"/>
      <c r="D1" s="1977"/>
      <c r="E1" s="1977"/>
      <c r="F1" s="1977"/>
      <c r="G1" s="1977"/>
      <c r="H1" s="1977"/>
      <c r="I1" s="1977"/>
      <c r="J1" s="1977"/>
      <c r="K1" s="1977"/>
      <c r="L1" s="1977"/>
    </row>
    <row r="2" spans="1:16" ht="15">
      <c r="A2" s="3297" t="s">
        <v>203</v>
      </c>
      <c r="B2" s="3297"/>
      <c r="C2" s="3297"/>
      <c r="D2" s="1968" t="s">
        <v>204</v>
      </c>
      <c r="E2" s="106" t="s">
        <v>205</v>
      </c>
      <c r="F2" s="1977"/>
      <c r="G2" s="1193"/>
      <c r="H2" s="1194"/>
      <c r="I2" s="1195" t="s">
        <v>856</v>
      </c>
      <c r="J2" s="1977"/>
      <c r="K2" s="1977"/>
      <c r="L2" s="1977"/>
    </row>
    <row r="3" spans="1:16" ht="15.75" thickBot="1">
      <c r="A3" s="3298" t="s">
        <v>206</v>
      </c>
      <c r="B3" s="3298"/>
      <c r="C3" s="3298"/>
      <c r="D3" s="107">
        <f>'数据-基础表'!AY6</f>
        <v>105656.7</v>
      </c>
      <c r="E3" s="107">
        <f>'数据-基础表'!AZ5</f>
        <v>529172.31000000006</v>
      </c>
      <c r="F3" s="1977"/>
      <c r="G3" s="278" t="s">
        <v>857</v>
      </c>
      <c r="H3" s="273" t="s">
        <v>858</v>
      </c>
      <c r="I3" s="1969">
        <f>ROUND('数据-基础表'!B3/'数据-基础表'!A3,2)</f>
        <v>5.01</v>
      </c>
      <c r="J3" s="1977"/>
      <c r="K3" s="1977"/>
      <c r="L3" s="1977"/>
    </row>
    <row r="4" spans="1:16" ht="15">
      <c r="A4" s="3299"/>
      <c r="B4" s="3300"/>
      <c r="C4" s="3301"/>
      <c r="D4" s="108" t="s">
        <v>204</v>
      </c>
      <c r="E4" s="109" t="s">
        <v>205</v>
      </c>
      <c r="F4" s="1977"/>
      <c r="G4" s="1196"/>
      <c r="H4" s="273" t="s">
        <v>859</v>
      </c>
      <c r="I4" s="1969">
        <f>ROUND(SUMIF('数据-基础表'!I9:AS9,"地上",'数据-基础表'!I5:AS5)/'数据-基础表'!A3,2)</f>
        <v>3.74</v>
      </c>
      <c r="J4" s="1977"/>
      <c r="K4" s="1977"/>
      <c r="L4" s="1977"/>
    </row>
    <row r="5" spans="1:16">
      <c r="A5" s="110" t="s">
        <v>207</v>
      </c>
      <c r="B5" s="3302" t="s">
        <v>230</v>
      </c>
      <c r="C5" s="3302"/>
      <c r="D5" s="111">
        <f>ROUND($D$3*E5/$E$3,2)</f>
        <v>74023.460000000006</v>
      </c>
      <c r="E5" s="112">
        <f>SUMIF('数据-基础表'!$11:$11,"住宅",'数据-基础表'!$5:$5)</f>
        <v>370740</v>
      </c>
      <c r="F5" s="1977"/>
      <c r="G5" s="278" t="s">
        <v>860</v>
      </c>
      <c r="H5" s="273" t="s">
        <v>858</v>
      </c>
      <c r="I5" s="1969">
        <f>ROUND(E31/D31,2)</f>
        <v>5.01</v>
      </c>
      <c r="J5" s="1977"/>
      <c r="K5" s="1977"/>
      <c r="L5" s="1977"/>
    </row>
    <row r="6" spans="1:16" ht="15" thickBot="1">
      <c r="A6" s="113"/>
      <c r="B6" s="3302" t="s">
        <v>208</v>
      </c>
      <c r="C6" s="3302"/>
      <c r="D6" s="111">
        <f>ROUND($D$3*E6/$E$3,2)</f>
        <v>31633.24</v>
      </c>
      <c r="E6" s="112">
        <f>E3-E5</f>
        <v>158432.31000000006</v>
      </c>
      <c r="F6" s="1977"/>
      <c r="G6" s="1196"/>
      <c r="H6" s="273" t="s">
        <v>859</v>
      </c>
      <c r="I6" s="1969">
        <f>ROUND(F31/D31,2)</f>
        <v>3.74</v>
      </c>
      <c r="J6" s="1977"/>
      <c r="K6" s="1977"/>
      <c r="L6" s="1977"/>
    </row>
    <row r="7" spans="1:16" ht="15">
      <c r="A7" s="3294"/>
      <c r="B7" s="3295"/>
      <c r="C7" s="3296"/>
      <c r="D7" s="108" t="s">
        <v>204</v>
      </c>
      <c r="E7" s="114" t="s">
        <v>231</v>
      </c>
      <c r="F7" s="1977"/>
      <c r="G7" s="1151" t="s">
        <v>1645</v>
      </c>
      <c r="H7" s="1152"/>
      <c r="I7" s="3174">
        <f>ROUND((F31-'数据-基础表'!BS5)/111528.14,1)</f>
        <v>3.5</v>
      </c>
      <c r="J7" s="1977"/>
      <c r="K7" s="1977"/>
      <c r="L7" s="1977"/>
    </row>
    <row r="8" spans="1:16">
      <c r="A8" s="110" t="s">
        <v>209</v>
      </c>
      <c r="B8" s="115" t="s">
        <v>210</v>
      </c>
      <c r="C8" s="111" t="s">
        <v>211</v>
      </c>
      <c r="D8" s="111">
        <f t="shared" ref="D8:D15" si="0">ROUND($D$3*E8/$E$3,2)</f>
        <v>76442.789999999994</v>
      </c>
      <c r="E8" s="116">
        <f>SUMIF('数据-基础表'!BB10:BK10,"地上",'数据-基础表'!BB5:BK5)</f>
        <v>382857</v>
      </c>
      <c r="F8" s="1977"/>
      <c r="G8" s="1979"/>
      <c r="H8" s="1979"/>
      <c r="I8" s="1977"/>
      <c r="J8" s="1977"/>
      <c r="K8" s="1977"/>
      <c r="L8" s="1977"/>
    </row>
    <row r="9" spans="1:16" ht="15" thickBot="1">
      <c r="A9" s="117"/>
      <c r="B9" s="118"/>
      <c r="C9" s="111" t="s">
        <v>212</v>
      </c>
      <c r="D9" s="111">
        <f t="shared" si="0"/>
        <v>0</v>
      </c>
      <c r="E9" s="119">
        <v>0</v>
      </c>
      <c r="F9" s="1977"/>
      <c r="G9" s="1979"/>
      <c r="H9" s="1979"/>
      <c r="I9" s="1977"/>
      <c r="J9" s="1977"/>
      <c r="K9" s="1977"/>
      <c r="L9" s="1977"/>
    </row>
    <row r="10" spans="1:16" hidden="1">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hidden="1">
      <c r="A11" s="117"/>
      <c r="B11" s="118"/>
      <c r="C11" s="2324" t="s">
        <v>2324</v>
      </c>
      <c r="D11" s="111">
        <f t="shared" si="0"/>
        <v>0</v>
      </c>
      <c r="E11" s="116">
        <f>SUMPRODUCT(('数据-基础表'!BB10:BK10="地下")*('数据-基础表'!BB11:BK11="办公")*('数据-基础表'!BB5:BK5))+'数据-基础表'!AJ5</f>
        <v>0</v>
      </c>
      <c r="F11" s="1977"/>
      <c r="G11" s="1979"/>
      <c r="H11" s="1979"/>
      <c r="I11" s="1977"/>
      <c r="J11" s="1977"/>
      <c r="K11" s="1977"/>
      <c r="L11" s="1977"/>
    </row>
    <row r="12" spans="1:16" hidden="1">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hidden="1">
      <c r="A13" s="117"/>
      <c r="B13" s="118"/>
      <c r="C13" s="2324" t="s">
        <v>2331</v>
      </c>
      <c r="D13" s="111">
        <f t="shared" si="0"/>
        <v>0</v>
      </c>
      <c r="E13" s="116">
        <f>SUMPRODUCT(('数据-基础表'!BB10:BK10="地下")*('数据-基础表'!BB11:BK11="车库")*('数据-基础表'!BB5:BK5))</f>
        <v>0</v>
      </c>
      <c r="F13" s="1977"/>
      <c r="G13" s="1979"/>
      <c r="H13" s="1979"/>
      <c r="I13" s="1977"/>
      <c r="J13" s="1977"/>
      <c r="K13" s="1977"/>
      <c r="L13" s="1977"/>
    </row>
    <row r="14" spans="1:16" hidden="1">
      <c r="A14" s="117"/>
      <c r="B14" s="118"/>
      <c r="C14" s="111" t="s">
        <v>232</v>
      </c>
      <c r="D14" s="111">
        <f t="shared" si="0"/>
        <v>26759.98</v>
      </c>
      <c r="E14" s="116">
        <f>SUMPRODUCT(('数据-基础表'!BB10:BK10="地下")*('数据-基础表'!BB11:BK11="车库—商业")*('数据-基础表'!BB5:BK5))</f>
        <v>134025.01</v>
      </c>
      <c r="F14" s="1977"/>
      <c r="G14" s="1979"/>
      <c r="H14" s="1979"/>
      <c r="I14" s="1977"/>
      <c r="J14" s="1977"/>
      <c r="K14" s="1977"/>
      <c r="L14" s="1977"/>
    </row>
    <row r="15" spans="1:16" ht="15" hidden="1"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103202.76999999999</v>
      </c>
      <c r="E16" s="120">
        <f>SUM(E8:E15)</f>
        <v>516882.01</v>
      </c>
      <c r="F16" s="1977"/>
      <c r="G16" s="1979"/>
      <c r="H16" s="963" t="s">
        <v>219</v>
      </c>
      <c r="I16" s="964"/>
      <c r="J16" s="1977"/>
      <c r="K16" s="3288" t="s">
        <v>2564</v>
      </c>
      <c r="L16" s="3289"/>
      <c r="M16" s="3289"/>
      <c r="N16" s="3289"/>
      <c r="O16" s="3289"/>
      <c r="P16" s="3290"/>
    </row>
    <row r="17" spans="1:19" ht="15">
      <c r="A17" s="121" t="s">
        <v>216</v>
      </c>
      <c r="B17" s="122" t="s">
        <v>217</v>
      </c>
      <c r="C17" s="2291" t="s">
        <v>2312</v>
      </c>
      <c r="D17" s="108" t="s">
        <v>204</v>
      </c>
      <c r="E17" s="124" t="s">
        <v>205</v>
      </c>
      <c r="F17" s="125"/>
      <c r="G17" s="1360"/>
      <c r="H17" s="965" t="s">
        <v>218</v>
      </c>
      <c r="I17" s="966" t="s">
        <v>2311</v>
      </c>
      <c r="J17" s="1977"/>
      <c r="K17" s="3291" t="s">
        <v>2565</v>
      </c>
      <c r="L17" s="3292"/>
      <c r="M17" s="3293"/>
      <c r="N17" s="3291" t="s">
        <v>2566</v>
      </c>
      <c r="O17" s="3292"/>
      <c r="P17" s="3293"/>
      <c r="R17" s="2292" t="s">
        <v>2310</v>
      </c>
      <c r="S17" s="144"/>
    </row>
    <row r="18" spans="1:19" ht="15">
      <c r="A18" s="117"/>
      <c r="B18" s="128"/>
      <c r="C18" s="129"/>
      <c r="D18" s="2659"/>
      <c r="E18" s="130" t="s">
        <v>220</v>
      </c>
      <c r="F18" s="131" t="s">
        <v>221</v>
      </c>
      <c r="G18" s="1361" t="s">
        <v>222</v>
      </c>
      <c r="H18" s="967" t="s">
        <v>223</v>
      </c>
      <c r="I18" s="968" t="s">
        <v>224</v>
      </c>
      <c r="J18" s="1977"/>
      <c r="K18" s="2622" t="s">
        <v>2567</v>
      </c>
      <c r="L18" s="2623" t="s">
        <v>2568</v>
      </c>
      <c r="M18" s="2624" t="s">
        <v>2569</v>
      </c>
      <c r="N18" s="2622" t="s">
        <v>2567</v>
      </c>
      <c r="O18" s="2623" t="s">
        <v>2568</v>
      </c>
      <c r="P18" s="2624" t="s">
        <v>2569</v>
      </c>
      <c r="R18" s="2293" t="s">
        <v>2308</v>
      </c>
      <c r="S18" s="2293" t="s">
        <v>2309</v>
      </c>
    </row>
    <row r="19" spans="1:19">
      <c r="A19" s="133"/>
      <c r="B19" s="115" t="s">
        <v>225</v>
      </c>
      <c r="C19" s="3042" t="s">
        <v>3007</v>
      </c>
      <c r="D19" s="111">
        <f t="shared" ref="D19:D26" si="1">ROUND($D$3*E19/$E$3,2)</f>
        <v>46070.49</v>
      </c>
      <c r="E19" s="134">
        <f t="shared" ref="E19:E26" si="2">SUM(F19:G19)</f>
        <v>230740</v>
      </c>
      <c r="F19" s="135">
        <f>'数据-基础表'!BB5</f>
        <v>230740</v>
      </c>
      <c r="G19" s="1362">
        <v>0</v>
      </c>
      <c r="H19" s="969">
        <f>ROUND($D$3*I19/$E$3,2)</f>
        <v>1310.29</v>
      </c>
      <c r="I19" s="116">
        <f>IF($I$17="自定义",P19,M19)</f>
        <v>6562.47</v>
      </c>
      <c r="J19" s="1977"/>
      <c r="K19" s="2625">
        <f t="shared" ref="K19:K26" si="3">ROUND(E$28*E19/E$27,2)</f>
        <v>2756.88</v>
      </c>
      <c r="L19" s="273">
        <f t="shared" ref="L19:L26" si="4">ROUND(IF(COUNTIF(C19,"*住宅*")&gt;0,E$29*E19/E$32,0),2)</f>
        <v>3805.59</v>
      </c>
      <c r="M19" s="2626">
        <f>K19+L19</f>
        <v>6562.47</v>
      </c>
      <c r="N19" s="2627"/>
      <c r="O19" s="2628"/>
      <c r="P19" s="2629">
        <f>N19+O19</f>
        <v>0</v>
      </c>
      <c r="R19" s="273">
        <f t="shared" ref="R19:S26" si="5">D19+H19</f>
        <v>47380.78</v>
      </c>
      <c r="S19" s="2294">
        <f t="shared" si="5"/>
        <v>237302.47</v>
      </c>
    </row>
    <row r="20" spans="1:19">
      <c r="A20" s="138"/>
      <c r="B20" s="115" t="s">
        <v>226</v>
      </c>
      <c r="C20" s="3042" t="s">
        <v>3009</v>
      </c>
      <c r="D20" s="111">
        <f t="shared" si="1"/>
        <v>27952.97</v>
      </c>
      <c r="E20" s="134">
        <f t="shared" si="2"/>
        <v>140000</v>
      </c>
      <c r="F20" s="135">
        <f>'数据-基础表'!BC5</f>
        <v>140000</v>
      </c>
      <c r="G20" s="1362">
        <v>0</v>
      </c>
      <c r="H20" s="969">
        <f t="shared" ref="H20:H26" si="6">ROUND($D$3*I20/$E$3,2)</f>
        <v>795.01</v>
      </c>
      <c r="I20" s="116">
        <f t="shared" ref="I20:I26" si="7">IF($I$17="自定义",P20,M20)</f>
        <v>3981.7300000000005</v>
      </c>
      <c r="J20" s="1977"/>
      <c r="K20" s="2625">
        <f t="shared" si="3"/>
        <v>1672.72</v>
      </c>
      <c r="L20" s="273">
        <f t="shared" si="4"/>
        <v>2309.0100000000002</v>
      </c>
      <c r="M20" s="2626">
        <f t="shared" ref="M20:M26" si="8">K20+L20</f>
        <v>3981.7300000000005</v>
      </c>
      <c r="N20" s="2627"/>
      <c r="O20" s="2628"/>
      <c r="P20" s="2629">
        <f t="shared" ref="P20:P26" si="9">N20+O20</f>
        <v>0</v>
      </c>
      <c r="R20" s="273">
        <f t="shared" si="5"/>
        <v>28747.98</v>
      </c>
      <c r="S20" s="2294">
        <f t="shared" si="5"/>
        <v>143981.73000000001</v>
      </c>
    </row>
    <row r="21" spans="1:19">
      <c r="A21" s="138"/>
      <c r="B21" s="115" t="s">
        <v>226</v>
      </c>
      <c r="C21" s="3042" t="s">
        <v>3010</v>
      </c>
      <c r="D21" s="111">
        <f t="shared" si="1"/>
        <v>2419.33</v>
      </c>
      <c r="E21" s="134">
        <f t="shared" si="2"/>
        <v>12117</v>
      </c>
      <c r="F21" s="135">
        <f>'数据-基础表'!BD5</f>
        <v>12117</v>
      </c>
      <c r="G21" s="1362">
        <v>0</v>
      </c>
      <c r="H21" s="969">
        <f t="shared" si="6"/>
        <v>28.91</v>
      </c>
      <c r="I21" s="116">
        <f t="shared" si="7"/>
        <v>144.77000000000001</v>
      </c>
      <c r="J21" s="1977"/>
      <c r="K21" s="2625">
        <f t="shared" si="3"/>
        <v>144.77000000000001</v>
      </c>
      <c r="L21" s="273">
        <f t="shared" si="4"/>
        <v>0</v>
      </c>
      <c r="M21" s="2626">
        <f t="shared" si="8"/>
        <v>144.77000000000001</v>
      </c>
      <c r="N21" s="2627"/>
      <c r="O21" s="2628"/>
      <c r="P21" s="2629">
        <f t="shared" si="9"/>
        <v>0</v>
      </c>
      <c r="R21" s="273">
        <f t="shared" si="5"/>
        <v>2448.2399999999998</v>
      </c>
      <c r="S21" s="2294">
        <f t="shared" si="5"/>
        <v>12261.77</v>
      </c>
    </row>
    <row r="22" spans="1:19">
      <c r="A22" s="138"/>
      <c r="B22" s="115" t="s">
        <v>226</v>
      </c>
      <c r="C22" s="3042" t="s">
        <v>3011</v>
      </c>
      <c r="D22" s="111">
        <f t="shared" si="1"/>
        <v>26759.98</v>
      </c>
      <c r="E22" s="134">
        <f t="shared" si="2"/>
        <v>134025.01</v>
      </c>
      <c r="F22" s="140">
        <v>0</v>
      </c>
      <c r="G22" s="1363">
        <f>'数据-基础表'!BE5</f>
        <v>134025.01</v>
      </c>
      <c r="H22" s="969">
        <f t="shared" si="6"/>
        <v>319.73</v>
      </c>
      <c r="I22" s="116">
        <f t="shared" si="7"/>
        <v>1601.33</v>
      </c>
      <c r="J22" s="1977"/>
      <c r="K22" s="2625">
        <f t="shared" si="3"/>
        <v>1601.33</v>
      </c>
      <c r="L22" s="273">
        <f t="shared" si="4"/>
        <v>0</v>
      </c>
      <c r="M22" s="2626">
        <f t="shared" si="8"/>
        <v>1601.33</v>
      </c>
      <c r="N22" s="2627"/>
      <c r="O22" s="2628"/>
      <c r="P22" s="2629">
        <f t="shared" si="9"/>
        <v>0</v>
      </c>
      <c r="R22" s="273">
        <f t="shared" si="5"/>
        <v>27079.71</v>
      </c>
      <c r="S22" s="2294">
        <f t="shared" si="5"/>
        <v>135626.34</v>
      </c>
    </row>
    <row r="23" spans="1:19" hidden="1">
      <c r="A23" s="138"/>
      <c r="B23" s="115" t="s">
        <v>226</v>
      </c>
      <c r="C23" s="139"/>
      <c r="D23" s="111">
        <f>ROUND($D$3*E23/$E$3,2)</f>
        <v>0</v>
      </c>
      <c r="E23" s="134">
        <f>SUM(F23:G23)</f>
        <v>0</v>
      </c>
      <c r="F23" s="140"/>
      <c r="G23" s="1363"/>
      <c r="H23" s="969">
        <f>ROUND($D$3*I23/$E$3,2)</f>
        <v>0</v>
      </c>
      <c r="I23" s="116">
        <f t="shared" si="7"/>
        <v>0</v>
      </c>
      <c r="J23" s="1977"/>
      <c r="K23" s="2625">
        <f t="shared" si="3"/>
        <v>0</v>
      </c>
      <c r="L23" s="273">
        <f t="shared" si="4"/>
        <v>0</v>
      </c>
      <c r="M23" s="2626">
        <f t="shared" si="8"/>
        <v>0</v>
      </c>
      <c r="N23" s="2627"/>
      <c r="O23" s="2628"/>
      <c r="P23" s="2629">
        <f t="shared" si="9"/>
        <v>0</v>
      </c>
      <c r="R23" s="273">
        <f t="shared" si="5"/>
        <v>0</v>
      </c>
      <c r="S23" s="2294">
        <f t="shared" si="5"/>
        <v>0</v>
      </c>
    </row>
    <row r="24" spans="1:19" hidden="1">
      <c r="A24" s="138"/>
      <c r="B24" s="115" t="s">
        <v>226</v>
      </c>
      <c r="C24" s="139"/>
      <c r="D24" s="111">
        <f>ROUND($D$3*E24/$E$3,2)</f>
        <v>0</v>
      </c>
      <c r="E24" s="134">
        <f>SUM(F24:G24)</f>
        <v>0</v>
      </c>
      <c r="F24" s="140"/>
      <c r="G24" s="1363"/>
      <c r="H24" s="969">
        <f>ROUND($D$3*I24/$E$3,2)</f>
        <v>0</v>
      </c>
      <c r="I24" s="116">
        <f t="shared" si="7"/>
        <v>0</v>
      </c>
      <c r="J24" s="1977"/>
      <c r="K24" s="2625">
        <f t="shared" si="3"/>
        <v>0</v>
      </c>
      <c r="L24" s="273">
        <f t="shared" si="4"/>
        <v>0</v>
      </c>
      <c r="M24" s="2626">
        <f t="shared" si="8"/>
        <v>0</v>
      </c>
      <c r="N24" s="2627"/>
      <c r="O24" s="2628"/>
      <c r="P24" s="2629">
        <f t="shared" si="9"/>
        <v>0</v>
      </c>
      <c r="R24" s="273">
        <f t="shared" si="5"/>
        <v>0</v>
      </c>
      <c r="S24" s="2294">
        <f t="shared" si="5"/>
        <v>0</v>
      </c>
    </row>
    <row r="25" spans="1:19" hidden="1">
      <c r="A25" s="138"/>
      <c r="B25" s="115" t="s">
        <v>226</v>
      </c>
      <c r="C25" s="139"/>
      <c r="D25" s="111">
        <f t="shared" si="1"/>
        <v>0</v>
      </c>
      <c r="E25" s="134">
        <f t="shared" si="2"/>
        <v>0</v>
      </c>
      <c r="F25" s="140"/>
      <c r="G25" s="1363"/>
      <c r="H25" s="110">
        <f t="shared" si="6"/>
        <v>0</v>
      </c>
      <c r="I25" s="116">
        <f t="shared" si="7"/>
        <v>0</v>
      </c>
      <c r="J25" s="1977"/>
      <c r="K25" s="2625">
        <f t="shared" si="3"/>
        <v>0</v>
      </c>
      <c r="L25" s="273">
        <f t="shared" si="4"/>
        <v>0</v>
      </c>
      <c r="M25" s="2626">
        <f t="shared" si="8"/>
        <v>0</v>
      </c>
      <c r="N25" s="2627"/>
      <c r="O25" s="2628"/>
      <c r="P25" s="2629">
        <f t="shared" si="9"/>
        <v>0</v>
      </c>
      <c r="R25" s="273">
        <f t="shared" si="5"/>
        <v>0</v>
      </c>
      <c r="S25" s="2294">
        <f t="shared" si="5"/>
        <v>0</v>
      </c>
    </row>
    <row r="26" spans="1:19" hidden="1">
      <c r="A26" s="138"/>
      <c r="B26" s="115" t="s">
        <v>226</v>
      </c>
      <c r="C26" s="142"/>
      <c r="D26" s="111">
        <f t="shared" si="1"/>
        <v>0</v>
      </c>
      <c r="E26" s="134">
        <f t="shared" si="2"/>
        <v>0</v>
      </c>
      <c r="F26" s="140"/>
      <c r="G26" s="1363"/>
      <c r="H26" s="110">
        <f t="shared" si="6"/>
        <v>0</v>
      </c>
      <c r="I26" s="116">
        <f t="shared" si="7"/>
        <v>0</v>
      </c>
      <c r="J26" s="1977"/>
      <c r="K26" s="2630">
        <f t="shared" si="3"/>
        <v>0</v>
      </c>
      <c r="L26" s="278">
        <f t="shared" si="4"/>
        <v>0</v>
      </c>
      <c r="M26" s="146">
        <f t="shared" si="8"/>
        <v>0</v>
      </c>
      <c r="N26" s="2631"/>
      <c r="O26" s="2632"/>
      <c r="P26" s="2633">
        <f t="shared" si="9"/>
        <v>0</v>
      </c>
      <c r="R26" s="273">
        <f t="shared" si="5"/>
        <v>0</v>
      </c>
      <c r="S26" s="2294">
        <f t="shared" si="5"/>
        <v>0</v>
      </c>
    </row>
    <row r="27" spans="1:19" ht="29.25" thickBot="1">
      <c r="A27" s="138"/>
      <c r="B27" s="111"/>
      <c r="C27" s="127" t="s">
        <v>215</v>
      </c>
      <c r="D27" s="134">
        <f>SUM(D19:D26)</f>
        <v>103202.76999999999</v>
      </c>
      <c r="E27" s="143">
        <f>IF(SUM(E19:E26)='数据-基础表'!BA5,SUM(E19:E26),IF(F27="地上面积有误","面积有误","地下面积有误"))</f>
        <v>516882.01</v>
      </c>
      <c r="F27" s="134">
        <f>IF(SUM(F19:F26)=E8,SUM(F19:F26),"地上面积有误")</f>
        <v>382857</v>
      </c>
      <c r="G27" s="112">
        <f>SUM(G19:G26)</f>
        <v>134025.01</v>
      </c>
      <c r="H27" s="970">
        <f>SUM(H19:H26)</f>
        <v>2453.94</v>
      </c>
      <c r="I27" s="971">
        <f>SUM(I19:I26)</f>
        <v>12290.300000000001</v>
      </c>
      <c r="J27" s="1977"/>
      <c r="K27" s="2634">
        <f>SUM(K19:K26)</f>
        <v>6175.7000000000007</v>
      </c>
      <c r="L27" s="2635">
        <f>SUM(L19:L26)</f>
        <v>6114.6</v>
      </c>
      <c r="M27" s="2636">
        <f>SUM(M19:M26)</f>
        <v>12290.300000000001</v>
      </c>
      <c r="N27" s="2634">
        <f t="shared" ref="N27:O27" si="10">SUM(N19:N26)</f>
        <v>0</v>
      </c>
      <c r="O27" s="2635">
        <f t="shared" si="10"/>
        <v>0</v>
      </c>
      <c r="P27" s="2637">
        <f>SUM(P19:P26)</f>
        <v>0</v>
      </c>
      <c r="R27" s="2298" t="str">
        <f>IF(SUM(R19:R26)=$D$3,SUM(R19:R26),SUM(R19:R26)&amp;"误差"&amp;ROUND(SUM(R19:R26)-$D$3,2))</f>
        <v>105656.71误差0.01</v>
      </c>
      <c r="S27" s="273">
        <f>IF(SUM(S19:S26)=$E$3,SUM(S19:S26),SUM(S19:S26)&amp;"误差"&amp;ROUND(SUM(S19:S26)-E3,2))</f>
        <v>529172.31000000006</v>
      </c>
    </row>
    <row r="28" spans="1:19">
      <c r="A28" s="138"/>
      <c r="B28" s="115" t="s">
        <v>227</v>
      </c>
      <c r="C28" s="136" t="s">
        <v>228</v>
      </c>
      <c r="D28" s="111">
        <f>ROUND($D$3*E28/$E$3,2)</f>
        <v>1233.07</v>
      </c>
      <c r="E28" s="134">
        <f>SUM(F28:G28)</f>
        <v>6175.7000000000007</v>
      </c>
      <c r="F28" s="144">
        <f>'数据-基础表'!BQ5+'数据-基础表'!BS5</f>
        <v>6175.7000000000007</v>
      </c>
      <c r="G28" s="145">
        <f>'数据-基础表'!BR5+'数据-基础表'!BT5</f>
        <v>0</v>
      </c>
      <c r="H28" s="1977"/>
      <c r="I28" s="1977"/>
      <c r="J28" s="1977"/>
      <c r="K28" s="1977"/>
      <c r="L28" s="1977"/>
    </row>
    <row r="29" spans="1:19">
      <c r="A29" s="138"/>
      <c r="B29" s="115" t="s">
        <v>227</v>
      </c>
      <c r="C29" s="2306" t="s">
        <v>2319</v>
      </c>
      <c r="D29" s="111">
        <f>ROUND($D$3*E29/$E$3,2)</f>
        <v>1220.8699999999999</v>
      </c>
      <c r="E29" s="134">
        <f>SUM(F29:G29)</f>
        <v>6114.6</v>
      </c>
      <c r="F29" s="144">
        <f>'数据-基础表'!BM5+'数据-基础表'!BO5</f>
        <v>6114.6</v>
      </c>
      <c r="G29" s="146">
        <f>'数据-基础表'!BN5+'数据-基础表'!BP5</f>
        <v>0</v>
      </c>
      <c r="H29" s="1977"/>
      <c r="I29" s="1977"/>
      <c r="J29" s="1977"/>
      <c r="K29" s="1977"/>
      <c r="L29" s="1977"/>
    </row>
    <row r="30" spans="1:19">
      <c r="A30" s="138"/>
      <c r="B30" s="111"/>
      <c r="C30" s="147" t="s">
        <v>215</v>
      </c>
      <c r="D30" s="134">
        <f>SUM(D28:D29)</f>
        <v>2453.9399999999996</v>
      </c>
      <c r="E30" s="134">
        <f>SUM(E28:E29)</f>
        <v>12290.300000000001</v>
      </c>
      <c r="F30" s="134">
        <f>SUM(F28:F29)</f>
        <v>12290.300000000001</v>
      </c>
      <c r="G30" s="112">
        <f>SUM(G28:G29)</f>
        <v>0</v>
      </c>
      <c r="H30" s="1977"/>
      <c r="I30" s="1977"/>
      <c r="J30" s="1977"/>
      <c r="K30" s="1977"/>
      <c r="L30" s="1977"/>
    </row>
    <row r="31" spans="1:19" ht="32.25" customHeight="1" thickBot="1">
      <c r="A31" s="1364"/>
      <c r="B31" s="1365" t="s">
        <v>229</v>
      </c>
      <c r="C31" s="2323" t="s">
        <v>2321</v>
      </c>
      <c r="D31" s="1366">
        <f>D27+D30</f>
        <v>105656.70999999999</v>
      </c>
      <c r="E31" s="1366">
        <f>E27+E30</f>
        <v>529172.31000000006</v>
      </c>
      <c r="F31" s="1367">
        <f>F27+F30</f>
        <v>395147.3</v>
      </c>
      <c r="G31" s="1368">
        <f>G27+G30</f>
        <v>134025.01</v>
      </c>
      <c r="H31" s="1977"/>
      <c r="I31" s="1977"/>
      <c r="J31" s="1977"/>
      <c r="K31" s="1977"/>
      <c r="L31" s="1977"/>
    </row>
    <row r="32" spans="1:19">
      <c r="A32" s="1977"/>
      <c r="B32" s="2356" t="s">
        <v>2320</v>
      </c>
      <c r="C32" s="2664"/>
      <c r="D32" s="1196"/>
      <c r="E32" s="1196">
        <f>SUMIF(C19:C26,"*住宅*",E19:E26)</f>
        <v>370740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3" width="9.5" style="15" customWidth="1"/>
    <col min="4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hidden="1" customWidth="1"/>
    <col min="71" max="71" width="13.75"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2330</v>
      </c>
      <c r="BA2" s="235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111528.14-3700.87-2170.57</f>
        <v>105656.7</v>
      </c>
      <c r="B3" s="22">
        <f>IF(C3="否",G5-AT5,G5)</f>
        <v>529172.30999999994</v>
      </c>
      <c r="C3" s="23" t="s">
        <v>2986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548929.67999999993</v>
      </c>
      <c r="H5" s="27">
        <f t="shared" ref="H5:AT5" si="0">SUM(H13:H641)</f>
        <v>516882.01</v>
      </c>
      <c r="I5" s="27">
        <f t="shared" si="0"/>
        <v>230740</v>
      </c>
      <c r="J5" s="27">
        <f t="shared" si="0"/>
        <v>0</v>
      </c>
      <c r="K5" s="27">
        <f t="shared" si="0"/>
        <v>140000</v>
      </c>
      <c r="L5" s="27">
        <f t="shared" si="0"/>
        <v>0</v>
      </c>
      <c r="M5" s="27">
        <f t="shared" si="0"/>
        <v>12117</v>
      </c>
      <c r="N5" s="27">
        <f t="shared" si="0"/>
        <v>0</v>
      </c>
      <c r="O5" s="27">
        <f t="shared" si="0"/>
        <v>134025.01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12290.300000000001</v>
      </c>
      <c r="AD5" s="27">
        <f t="shared" si="0"/>
        <v>6114.6</v>
      </c>
      <c r="AE5" s="27">
        <f t="shared" si="0"/>
        <v>0</v>
      </c>
      <c r="AF5" s="27">
        <f t="shared" si="0"/>
        <v>0</v>
      </c>
      <c r="AG5" s="27">
        <f t="shared" si="0"/>
        <v>0</v>
      </c>
      <c r="AH5" s="27">
        <f t="shared" si="0"/>
        <v>0</v>
      </c>
      <c r="AI5" s="27">
        <f t="shared" si="0"/>
        <v>0</v>
      </c>
      <c r="AJ5" s="27">
        <f t="shared" si="0"/>
        <v>0</v>
      </c>
      <c r="AK5" s="27">
        <f t="shared" si="0"/>
        <v>0</v>
      </c>
      <c r="AL5" s="27">
        <f t="shared" si="0"/>
        <v>394.6</v>
      </c>
      <c r="AM5" s="27">
        <f t="shared" si="0"/>
        <v>0</v>
      </c>
      <c r="AN5" s="27">
        <f t="shared" si="0"/>
        <v>0</v>
      </c>
      <c r="AO5" s="27">
        <f t="shared" si="0"/>
        <v>0</v>
      </c>
      <c r="AP5" s="27">
        <f t="shared" si="0"/>
        <v>5781.1</v>
      </c>
      <c r="AQ5" s="27">
        <f t="shared" si="0"/>
        <v>0</v>
      </c>
      <c r="AR5" s="27">
        <f t="shared" si="0"/>
        <v>0</v>
      </c>
      <c r="AS5" s="27">
        <f t="shared" si="0"/>
        <v>0</v>
      </c>
      <c r="AT5" s="27">
        <f t="shared" si="0"/>
        <v>19757.37</v>
      </c>
      <c r="AU5" s="983"/>
      <c r="AV5" s="26" t="s">
        <v>168</v>
      </c>
      <c r="AW5" s="984"/>
      <c r="AX5" s="984"/>
      <c r="AY5" s="28" t="s">
        <v>3</v>
      </c>
      <c r="AZ5" s="29">
        <f t="shared" ref="AZ5:BT5" si="1">SUM(AZ13:AZ641)</f>
        <v>529172.31000000006</v>
      </c>
      <c r="BA5" s="29">
        <f t="shared" si="1"/>
        <v>516882.01</v>
      </c>
      <c r="BB5" s="29">
        <f t="shared" si="1"/>
        <v>230740</v>
      </c>
      <c r="BC5" s="29">
        <f t="shared" si="1"/>
        <v>140000</v>
      </c>
      <c r="BD5" s="29">
        <f t="shared" si="1"/>
        <v>12117</v>
      </c>
      <c r="BE5" s="29">
        <f t="shared" si="1"/>
        <v>134025.01</v>
      </c>
      <c r="BF5" s="29">
        <f t="shared" si="1"/>
        <v>0</v>
      </c>
      <c r="BG5" s="29">
        <f t="shared" si="1"/>
        <v>0</v>
      </c>
      <c r="BH5" s="29">
        <f t="shared" si="1"/>
        <v>0</v>
      </c>
      <c r="BI5" s="29">
        <f t="shared" si="1"/>
        <v>0</v>
      </c>
      <c r="BJ5" s="29">
        <f t="shared" si="1"/>
        <v>0</v>
      </c>
      <c r="BK5" s="29">
        <f t="shared" si="1"/>
        <v>0</v>
      </c>
      <c r="BL5" s="29">
        <f t="shared" si="1"/>
        <v>12290.300000000001</v>
      </c>
      <c r="BM5" s="29">
        <f t="shared" si="1"/>
        <v>6114.6</v>
      </c>
      <c r="BN5" s="29">
        <f t="shared" si="1"/>
        <v>0</v>
      </c>
      <c r="BO5" s="29">
        <f t="shared" si="1"/>
        <v>0</v>
      </c>
      <c r="BP5" s="29">
        <f t="shared" si="1"/>
        <v>0</v>
      </c>
      <c r="BQ5" s="29">
        <f t="shared" si="1"/>
        <v>394.6</v>
      </c>
      <c r="BR5" s="29">
        <f t="shared" si="1"/>
        <v>0</v>
      </c>
      <c r="BS5" s="29">
        <f t="shared" si="1"/>
        <v>5781.1</v>
      </c>
      <c r="BT5" s="30">
        <f t="shared" si="1"/>
        <v>0</v>
      </c>
    </row>
    <row r="6" spans="1:72" s="37" customFormat="1" ht="12.75">
      <c r="A6" s="26" t="s">
        <v>169</v>
      </c>
      <c r="B6" s="31"/>
      <c r="C6" s="31"/>
      <c r="D6" s="32"/>
      <c r="E6" s="27">
        <f>H6+AC6+AT6</f>
        <v>105656.70999999999</v>
      </c>
      <c r="F6" s="27" t="s">
        <v>1</v>
      </c>
      <c r="G6" s="27" t="s">
        <v>2</v>
      </c>
      <c r="H6" s="33">
        <f>SUMIF(I$12:AB$12,"总值",I6:AB6)</f>
        <v>103202.76999999999</v>
      </c>
      <c r="I6" s="27">
        <f t="shared" ref="I6:AB6" si="2">ROUND($A$3*I5/$B$3,2)</f>
        <v>46070.49</v>
      </c>
      <c r="J6" s="27">
        <f t="shared" si="2"/>
        <v>0</v>
      </c>
      <c r="K6" s="27">
        <f t="shared" si="2"/>
        <v>27952.97</v>
      </c>
      <c r="L6" s="27">
        <f t="shared" si="2"/>
        <v>0</v>
      </c>
      <c r="M6" s="27">
        <f t="shared" si="2"/>
        <v>2419.33</v>
      </c>
      <c r="N6" s="27">
        <f t="shared" si="2"/>
        <v>0</v>
      </c>
      <c r="O6" s="27">
        <f t="shared" si="2"/>
        <v>26759.98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2453.9399999999996</v>
      </c>
      <c r="AD6" s="27">
        <f t="shared" ref="AD6:AS6" si="3">ROUND($A$3*AD5/$B$3,2)</f>
        <v>1220.8699999999999</v>
      </c>
      <c r="AE6" s="27">
        <f t="shared" si="3"/>
        <v>0</v>
      </c>
      <c r="AF6" s="27">
        <f t="shared" si="3"/>
        <v>0</v>
      </c>
      <c r="AG6" s="27">
        <f t="shared" si="3"/>
        <v>0</v>
      </c>
      <c r="AH6" s="27">
        <f t="shared" si="3"/>
        <v>0</v>
      </c>
      <c r="AI6" s="27">
        <f t="shared" si="3"/>
        <v>0</v>
      </c>
      <c r="AJ6" s="27">
        <f t="shared" si="3"/>
        <v>0</v>
      </c>
      <c r="AK6" s="27">
        <f t="shared" si="3"/>
        <v>0</v>
      </c>
      <c r="AL6" s="27">
        <f t="shared" si="3"/>
        <v>78.790000000000006</v>
      </c>
      <c r="AM6" s="27">
        <f t="shared" si="3"/>
        <v>0</v>
      </c>
      <c r="AN6" s="27">
        <f t="shared" si="3"/>
        <v>0</v>
      </c>
      <c r="AO6" s="27">
        <f t="shared" si="3"/>
        <v>0</v>
      </c>
      <c r="AP6" s="27">
        <f t="shared" si="3"/>
        <v>1154.28</v>
      </c>
      <c r="AQ6" s="27">
        <f t="shared" si="3"/>
        <v>0</v>
      </c>
      <c r="AR6" s="27">
        <f t="shared" si="3"/>
        <v>0</v>
      </c>
      <c r="AS6" s="27">
        <f t="shared" si="3"/>
        <v>0</v>
      </c>
      <c r="AT6" s="33">
        <f>IF(C3="是",ROUND($A$3*AT5/$B$3,2),0)</f>
        <v>0</v>
      </c>
      <c r="AU6" s="34"/>
      <c r="AV6" s="26" t="s">
        <v>169</v>
      </c>
      <c r="AW6" s="31"/>
      <c r="AX6" s="31"/>
      <c r="AY6" s="35">
        <f>IF(AY3&gt;0,AY3,ROUND($A$3*AZ5/$B$3,2))</f>
        <v>105656.7</v>
      </c>
      <c r="AZ6" s="27" t="s">
        <v>3</v>
      </c>
      <c r="BA6" s="27">
        <f>ROUND($AY$6*BA5/$AZ$5,2)</f>
        <v>103202.77</v>
      </c>
      <c r="BB6" s="27">
        <f>ROUND($AY$6*BB5/$AZ$5,2)</f>
        <v>46070.49</v>
      </c>
      <c r="BC6" s="27">
        <f t="shared" ref="BC6:BH6" si="4">ROUND($AY$6*BC5/$AZ$5,2)</f>
        <v>27952.97</v>
      </c>
      <c r="BD6" s="27">
        <f t="shared" si="4"/>
        <v>2419.33</v>
      </c>
      <c r="BE6" s="27">
        <f t="shared" si="4"/>
        <v>26759.98</v>
      </c>
      <c r="BF6" s="27">
        <f t="shared" si="4"/>
        <v>0</v>
      </c>
      <c r="BG6" s="27">
        <f t="shared" si="4"/>
        <v>0</v>
      </c>
      <c r="BH6" s="27">
        <f t="shared" si="4"/>
        <v>0</v>
      </c>
      <c r="BI6" s="27">
        <f t="shared" ref="BI6:BT6" si="5">ROUND($AY$6*BI5/$AZ$5,2)</f>
        <v>0</v>
      </c>
      <c r="BJ6" s="27">
        <f t="shared" si="5"/>
        <v>0</v>
      </c>
      <c r="BK6" s="27">
        <f t="shared" si="5"/>
        <v>0</v>
      </c>
      <c r="BL6" s="27">
        <f t="shared" si="5"/>
        <v>2453.9299999999998</v>
      </c>
      <c r="BM6" s="27">
        <f t="shared" si="5"/>
        <v>1220.8699999999999</v>
      </c>
      <c r="BN6" s="27">
        <f t="shared" si="5"/>
        <v>0</v>
      </c>
      <c r="BO6" s="27">
        <f t="shared" si="5"/>
        <v>0</v>
      </c>
      <c r="BP6" s="27">
        <f t="shared" si="5"/>
        <v>0</v>
      </c>
      <c r="BQ6" s="27">
        <f t="shared" si="5"/>
        <v>78.790000000000006</v>
      </c>
      <c r="BR6" s="27">
        <f t="shared" si="5"/>
        <v>0</v>
      </c>
      <c r="BS6" s="27">
        <f t="shared" si="5"/>
        <v>1154.28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1"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6" t="s">
        <v>3000</v>
      </c>
      <c r="J9" s="51"/>
      <c r="K9" s="3036" t="s">
        <v>3000</v>
      </c>
      <c r="L9" s="51"/>
      <c r="M9" s="3036" t="s">
        <v>3000</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6" t="s">
        <v>922</v>
      </c>
      <c r="J10" s="51"/>
      <c r="K10" s="3038" t="s">
        <v>922</v>
      </c>
      <c r="L10" s="51"/>
      <c r="M10" s="3038" t="s">
        <v>2979</v>
      </c>
      <c r="N10" s="51"/>
      <c r="O10" s="66" t="s">
        <v>3004</v>
      </c>
      <c r="P10" s="51"/>
      <c r="Q10" s="66"/>
      <c r="R10" s="51"/>
      <c r="S10" s="66"/>
      <c r="T10" s="51"/>
      <c r="U10" s="66"/>
      <c r="V10" s="51"/>
      <c r="W10" s="66"/>
      <c r="X10" s="51"/>
      <c r="Y10" s="66"/>
      <c r="Z10" s="51"/>
      <c r="AA10" s="66"/>
      <c r="AB10" s="51"/>
      <c r="AC10" s="55"/>
      <c r="AD10" s="2307" t="s">
        <v>2316</v>
      </c>
      <c r="AE10" s="2329"/>
      <c r="AF10" s="2307" t="s">
        <v>2316</v>
      </c>
      <c r="AG10" s="2329"/>
      <c r="AH10" s="2307" t="s">
        <v>2317</v>
      </c>
      <c r="AI10" s="2329"/>
      <c r="AJ10" s="26" t="s">
        <v>2328</v>
      </c>
      <c r="AK10" s="2326"/>
      <c r="AL10" s="2307" t="s">
        <v>2318</v>
      </c>
      <c r="AM10" s="2308"/>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7" t="s">
        <v>3001</v>
      </c>
      <c r="J11" s="71"/>
      <c r="K11" s="3037" t="s">
        <v>22</v>
      </c>
      <c r="L11" s="71"/>
      <c r="M11" s="70" t="s">
        <v>3002</v>
      </c>
      <c r="N11" s="71"/>
      <c r="O11" s="70" t="s">
        <v>3005</v>
      </c>
      <c r="P11" s="71"/>
      <c r="Q11" s="70"/>
      <c r="R11" s="71"/>
      <c r="S11" s="70"/>
      <c r="T11" s="71"/>
      <c r="U11" s="70"/>
      <c r="V11" s="71"/>
      <c r="W11" s="70"/>
      <c r="X11" s="71"/>
      <c r="Y11" s="70"/>
      <c r="Z11" s="71"/>
      <c r="AA11" s="70"/>
      <c r="AB11" s="71"/>
      <c r="AC11" s="55"/>
      <c r="AD11" s="2327" t="s">
        <v>2327</v>
      </c>
      <c r="AE11" s="997"/>
      <c r="AF11" s="2327" t="s">
        <v>2327</v>
      </c>
      <c r="AG11" s="997"/>
      <c r="AH11" s="2327" t="s">
        <v>2326</v>
      </c>
      <c r="AI11" s="2328"/>
      <c r="AJ11" s="2327" t="s">
        <v>2326</v>
      </c>
      <c r="AK11" s="2326"/>
      <c r="AL11" s="995"/>
      <c r="AM11" s="997"/>
      <c r="AN11" s="995"/>
      <c r="AO11" s="997"/>
      <c r="AP11" s="3173" t="s">
        <v>3006</v>
      </c>
      <c r="AQ11" s="1185"/>
      <c r="AR11" s="1183"/>
      <c r="AS11" s="1185"/>
      <c r="AT11" s="998"/>
      <c r="AU11" s="45"/>
      <c r="AV11" s="55"/>
      <c r="AW11" s="998"/>
      <c r="AX11" s="55"/>
      <c r="AY11" s="62"/>
      <c r="AZ11" s="62"/>
      <c r="BA11" s="62"/>
      <c r="BB11" s="50" t="str">
        <f>I10</f>
        <v>住宅</v>
      </c>
      <c r="BC11" s="50" t="str">
        <f>K10</f>
        <v>住宅</v>
      </c>
      <c r="BD11" s="50" t="str">
        <f>M10</f>
        <v>商业</v>
      </c>
      <c r="BE11" s="50" t="str">
        <f>O10</f>
        <v>车库—商业</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限价商品房</v>
      </c>
      <c r="BD12" s="79" t="str">
        <f>M11</f>
        <v>底商</v>
      </c>
      <c r="BE12" s="50" t="str">
        <f>O11</f>
        <v>车库</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t="str">
        <f>AP11</f>
        <v>架空层、避难层</v>
      </c>
      <c r="BT12" s="992">
        <f>AR11</f>
        <v>0</v>
      </c>
    </row>
    <row r="13" spans="1:72" s="18" customFormat="1" ht="12.75">
      <c r="A13" s="3031" t="s">
        <v>2999</v>
      </c>
      <c r="B13" s="3031" t="s">
        <v>2997</v>
      </c>
      <c r="C13" s="3031" t="s">
        <v>2995</v>
      </c>
      <c r="D13" s="3032" t="s">
        <v>1678</v>
      </c>
      <c r="E13" s="27">
        <f t="shared" ref="E13:E20" si="6">IF($C$3="是",ROUND($A$3*G13/$B$3,2),ROUND($A$3*(G13-AT13)/$B$3,2))</f>
        <v>59322.62</v>
      </c>
      <c r="F13" s="81"/>
      <c r="G13" s="82">
        <f t="shared" ref="G13:G20" si="7">H13+AC13+AT13</f>
        <v>316869.5</v>
      </c>
      <c r="H13" s="33">
        <f t="shared" ref="H13:H20" si="8">SUMIF(I$12:AB$12,"总值",I13:AB13)</f>
        <v>293670.13</v>
      </c>
      <c r="I13" s="83">
        <v>218500</v>
      </c>
      <c r="J13" s="83">
        <v>0</v>
      </c>
      <c r="K13" s="83">
        <v>0</v>
      </c>
      <c r="L13" s="83">
        <v>0</v>
      </c>
      <c r="M13" s="83">
        <v>4717</v>
      </c>
      <c r="N13" s="83">
        <v>0</v>
      </c>
      <c r="O13" s="83">
        <v>70453.13</v>
      </c>
      <c r="P13" s="83">
        <v>0</v>
      </c>
      <c r="Q13" s="83"/>
      <c r="R13" s="83"/>
      <c r="S13" s="83"/>
      <c r="T13" s="83"/>
      <c r="U13" s="83"/>
      <c r="V13" s="83"/>
      <c r="W13" s="83"/>
      <c r="X13" s="83"/>
      <c r="Y13" s="83"/>
      <c r="Z13" s="83"/>
      <c r="AA13" s="83"/>
      <c r="AB13" s="83"/>
      <c r="AC13" s="27">
        <f t="shared" ref="AC13:AC20" si="9">SUMIF(AD$12:AS$12,"总值",AD13:AS13)</f>
        <v>3442</v>
      </c>
      <c r="AD13" s="83">
        <f>322+590</f>
        <v>912</v>
      </c>
      <c r="AE13" s="83">
        <v>0</v>
      </c>
      <c r="AF13" s="3039"/>
      <c r="AG13" s="3039"/>
      <c r="AH13" s="3039"/>
      <c r="AI13" s="3039"/>
      <c r="AJ13" s="3039"/>
      <c r="AK13" s="3039"/>
      <c r="AL13" s="83">
        <v>238</v>
      </c>
      <c r="AM13" s="83">
        <v>0</v>
      </c>
      <c r="AN13" s="83">
        <v>0</v>
      </c>
      <c r="AO13" s="83">
        <v>0</v>
      </c>
      <c r="AP13" s="83">
        <v>2292</v>
      </c>
      <c r="AQ13" s="83">
        <v>0</v>
      </c>
      <c r="AR13" s="3039"/>
      <c r="AS13" s="3039"/>
      <c r="AT13" s="83">
        <v>19757.37</v>
      </c>
      <c r="AU13" s="3041"/>
      <c r="AV13" s="17" t="str">
        <f t="shared" ref="AV13:AX20" si="10">A13</f>
        <v>未取得</v>
      </c>
      <c r="AW13" s="17" t="str">
        <f t="shared" si="10"/>
        <v>同前</v>
      </c>
      <c r="AX13" s="17" t="str">
        <f t="shared" si="10"/>
        <v>A地块</v>
      </c>
      <c r="AY13" s="991">
        <f t="shared" ref="AY13:AY20" si="11">ROUND($AY$6*AZ13/$AZ$5,2)</f>
        <v>59322.62</v>
      </c>
      <c r="AZ13" s="27">
        <f t="shared" ref="AZ13:AZ20" si="12">BA13+BL13</f>
        <v>297112.13</v>
      </c>
      <c r="BA13" s="27">
        <f t="shared" ref="BA13:BA20" si="13">SUM(BB13:BK13)</f>
        <v>293670.13</v>
      </c>
      <c r="BB13" s="27">
        <f t="shared" ref="BB13:BB20" si="14">IF($D13="是",I13-J13,0)</f>
        <v>218500</v>
      </c>
      <c r="BC13" s="27">
        <f t="shared" ref="BC13:BC20" si="15">IF($D13="是",K13-L13,0)</f>
        <v>0</v>
      </c>
      <c r="BD13" s="27">
        <f t="shared" ref="BD13:BD20" si="16">IF($D13="是",M13-N13,0)</f>
        <v>4717</v>
      </c>
      <c r="BE13" s="27">
        <f t="shared" ref="BE13:BE20" si="17">IF($D13="是",O13-P13,0)</f>
        <v>70453.13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3442</v>
      </c>
      <c r="BM13" s="27">
        <f t="shared" ref="BM13:BM20" si="25">IF($D13="是",AD13-AE13,0)</f>
        <v>912</v>
      </c>
      <c r="BN13" s="27">
        <f t="shared" ref="BN13:BN20" si="26">IF($D13="是",AF13-AG13,0)</f>
        <v>0</v>
      </c>
      <c r="BO13" s="27">
        <f t="shared" ref="BO13:BO20" si="27">IF($D13="是",AH13-AI13,0)</f>
        <v>0</v>
      </c>
      <c r="BP13" s="27">
        <f t="shared" ref="BP13:BP20" si="28">IF($D13="是",AJ13-AK13,0)</f>
        <v>0</v>
      </c>
      <c r="BQ13" s="27">
        <f t="shared" ref="BQ13:BQ20" si="29">IF($D13="是",AL13-AM13,0)</f>
        <v>238</v>
      </c>
      <c r="BR13" s="27">
        <f t="shared" ref="BR13:BR20" si="30">IF($D13="是",AN13-AO13,0)</f>
        <v>0</v>
      </c>
      <c r="BS13" s="27">
        <f t="shared" ref="BS13:BS20" si="31">IF($D13="是",AP13-AQ13,0)</f>
        <v>2292</v>
      </c>
      <c r="BT13" s="36">
        <f t="shared" ref="BT13:BT20" si="32">IF($D13="是",AR13-AS13,0)</f>
        <v>0</v>
      </c>
    </row>
    <row r="14" spans="1:72" s="18" customFormat="1" ht="12.75">
      <c r="A14" s="3031" t="s">
        <v>2999</v>
      </c>
      <c r="B14" s="3031" t="s">
        <v>2998</v>
      </c>
      <c r="C14" s="3031" t="s">
        <v>2996</v>
      </c>
      <c r="D14" s="3032" t="s">
        <v>1678</v>
      </c>
      <c r="E14" s="27">
        <f t="shared" si="6"/>
        <v>46334.080000000002</v>
      </c>
      <c r="F14" s="81"/>
      <c r="G14" s="82">
        <f t="shared" si="7"/>
        <v>232060.18</v>
      </c>
      <c r="H14" s="33">
        <f t="shared" si="8"/>
        <v>223211.88</v>
      </c>
      <c r="I14" s="83">
        <v>12240</v>
      </c>
      <c r="J14" s="83">
        <v>0</v>
      </c>
      <c r="K14" s="83">
        <v>140000</v>
      </c>
      <c r="L14" s="83">
        <v>0</v>
      </c>
      <c r="M14" s="83">
        <v>7400</v>
      </c>
      <c r="N14" s="83">
        <v>0</v>
      </c>
      <c r="O14" s="83">
        <v>63571.88</v>
      </c>
      <c r="P14" s="83">
        <v>0</v>
      </c>
      <c r="Q14" s="83"/>
      <c r="R14" s="83"/>
      <c r="S14" s="83"/>
      <c r="T14" s="83"/>
      <c r="U14" s="83"/>
      <c r="V14" s="83"/>
      <c r="W14" s="83"/>
      <c r="X14" s="83"/>
      <c r="Y14" s="83"/>
      <c r="Z14" s="83"/>
      <c r="AA14" s="83"/>
      <c r="AB14" s="83"/>
      <c r="AC14" s="27">
        <f t="shared" si="9"/>
        <v>8848.3000000000011</v>
      </c>
      <c r="AD14" s="83">
        <f>373+565.6+3600+664</f>
        <v>5202.6000000000004</v>
      </c>
      <c r="AE14" s="83">
        <v>0</v>
      </c>
      <c r="AF14" s="3039"/>
      <c r="AG14" s="3039"/>
      <c r="AH14" s="3039"/>
      <c r="AI14" s="3039"/>
      <c r="AJ14" s="3039"/>
      <c r="AK14" s="3039"/>
      <c r="AL14" s="83">
        <v>156.6</v>
      </c>
      <c r="AM14" s="83">
        <v>0</v>
      </c>
      <c r="AN14" s="83">
        <v>0</v>
      </c>
      <c r="AO14" s="83">
        <v>0</v>
      </c>
      <c r="AP14" s="83">
        <v>3489.1</v>
      </c>
      <c r="AQ14" s="83">
        <v>0</v>
      </c>
      <c r="AR14" s="3039"/>
      <c r="AS14" s="3039"/>
      <c r="AT14" s="83">
        <v>0</v>
      </c>
      <c r="AU14" s="3041"/>
      <c r="AV14" s="17" t="str">
        <f t="shared" si="10"/>
        <v>未取得</v>
      </c>
      <c r="AW14" s="17" t="str">
        <f t="shared" si="10"/>
        <v>同前</v>
      </c>
      <c r="AX14" s="17" t="str">
        <f t="shared" si="10"/>
        <v>B地块</v>
      </c>
      <c r="AY14" s="991">
        <f t="shared" si="11"/>
        <v>46334.080000000002</v>
      </c>
      <c r="AZ14" s="27">
        <f t="shared" si="12"/>
        <v>232060.18</v>
      </c>
      <c r="BA14" s="27">
        <f t="shared" si="13"/>
        <v>223211.88</v>
      </c>
      <c r="BB14" s="27">
        <f t="shared" si="14"/>
        <v>12240</v>
      </c>
      <c r="BC14" s="27">
        <f t="shared" si="15"/>
        <v>140000</v>
      </c>
      <c r="BD14" s="27">
        <f t="shared" si="16"/>
        <v>7400</v>
      </c>
      <c r="BE14" s="27">
        <f t="shared" si="17"/>
        <v>63571.88</v>
      </c>
      <c r="BF14" s="27">
        <f t="shared" si="18"/>
        <v>0</v>
      </c>
      <c r="BG14" s="27">
        <f t="shared" si="19"/>
        <v>0</v>
      </c>
      <c r="BH14" s="27">
        <f t="shared" si="20"/>
        <v>0</v>
      </c>
      <c r="BI14" s="27">
        <f t="shared" si="21"/>
        <v>0</v>
      </c>
      <c r="BJ14" s="27">
        <f t="shared" si="22"/>
        <v>0</v>
      </c>
      <c r="BK14" s="27">
        <f t="shared" si="23"/>
        <v>0</v>
      </c>
      <c r="BL14" s="27">
        <f t="shared" si="24"/>
        <v>8848.3000000000011</v>
      </c>
      <c r="BM14" s="27">
        <f t="shared" si="25"/>
        <v>5202.6000000000004</v>
      </c>
      <c r="BN14" s="27">
        <f t="shared" si="26"/>
        <v>0</v>
      </c>
      <c r="BO14" s="27">
        <f t="shared" si="27"/>
        <v>0</v>
      </c>
      <c r="BP14" s="27">
        <f t="shared" si="28"/>
        <v>0</v>
      </c>
      <c r="BQ14" s="27">
        <f t="shared" si="29"/>
        <v>156.6</v>
      </c>
      <c r="BR14" s="27">
        <f t="shared" si="30"/>
        <v>0</v>
      </c>
      <c r="BS14" s="27">
        <f t="shared" si="31"/>
        <v>3489.1</v>
      </c>
      <c r="BT14" s="36">
        <f t="shared" si="32"/>
        <v>0</v>
      </c>
    </row>
    <row r="15" spans="1:72" s="18" customFormat="1" ht="12.75">
      <c r="A15" s="3031"/>
      <c r="B15" s="3031"/>
      <c r="C15" s="3033"/>
      <c r="D15" s="3032"/>
      <c r="E15" s="27">
        <f t="shared" si="6"/>
        <v>0</v>
      </c>
      <c r="F15" s="81"/>
      <c r="G15" s="82">
        <f t="shared" si="7"/>
        <v>0</v>
      </c>
      <c r="H15" s="33">
        <f t="shared" si="8"/>
        <v>0</v>
      </c>
      <c r="I15" s="3035"/>
      <c r="J15" s="3035"/>
      <c r="K15" s="3035"/>
      <c r="L15" s="3035"/>
      <c r="M15" s="3035"/>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1"/>
      <c r="B16" s="3031"/>
      <c r="C16" s="3033"/>
      <c r="D16" s="3032"/>
      <c r="E16" s="27">
        <f t="shared" si="6"/>
        <v>0</v>
      </c>
      <c r="F16" s="81"/>
      <c r="G16" s="82">
        <f t="shared" si="7"/>
        <v>0</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c r="D17" s="3032"/>
      <c r="E17" s="27">
        <f t="shared" si="6"/>
        <v>0</v>
      </c>
      <c r="F17" s="81"/>
      <c r="G17" s="82">
        <f t="shared" si="7"/>
        <v>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I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43182</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2826</v>
      </c>
      <c r="O5" s="163" t="s">
        <v>246</v>
      </c>
      <c r="P5" s="165" t="s">
        <v>247</v>
      </c>
      <c r="Q5" s="166" t="s">
        <v>248</v>
      </c>
      <c r="R5" s="167" t="s">
        <v>249</v>
      </c>
      <c r="S5" s="2638" t="s">
        <v>2570</v>
      </c>
      <c r="T5" s="168" t="s">
        <v>250</v>
      </c>
      <c r="U5" s="169" t="s">
        <v>251</v>
      </c>
      <c r="V5" s="159" t="s">
        <v>252</v>
      </c>
      <c r="W5" s="159" t="s">
        <v>253</v>
      </c>
      <c r="X5" s="1812"/>
      <c r="Y5" s="170" t="s">
        <v>254</v>
      </c>
      <c r="Z5" s="171" t="s">
        <v>255</v>
      </c>
      <c r="AA5" s="159" t="s">
        <v>252</v>
      </c>
      <c r="AB5" s="159" t="s">
        <v>253</v>
      </c>
      <c r="AC5" s="1813"/>
      <c r="AD5" s="172" t="s">
        <v>254</v>
      </c>
      <c r="AE5" s="1" t="s">
        <v>869</v>
      </c>
      <c r="AF5" s="159" t="s">
        <v>256</v>
      </c>
      <c r="AG5" s="170" t="s">
        <v>257</v>
      </c>
      <c r="AH5" s="1813" t="s">
        <v>2322</v>
      </c>
      <c r="AI5" s="171" t="s">
        <v>2291</v>
      </c>
      <c r="AJ5" s="171" t="s">
        <v>258</v>
      </c>
      <c r="AK5" s="159" t="s">
        <v>259</v>
      </c>
      <c r="AL5" s="159" t="s">
        <v>260</v>
      </c>
      <c r="AM5" s="172" t="s">
        <v>261</v>
      </c>
      <c r="AN5" s="2408" t="s">
        <v>2370</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v>
      </c>
      <c r="B6" s="2330" t="str">
        <f>IF(A6=0,"","经营性")</f>
        <v>经营性</v>
      </c>
      <c r="C6" s="173" t="s">
        <v>922</v>
      </c>
      <c r="D6" s="2301">
        <f>SUMIF(项目基本情况!D$15:I$15,C6,项目基本情况!D$18:I$18)</f>
        <v>70</v>
      </c>
      <c r="E6" s="2302">
        <f>IF(B6="","",SUMIF(项目基本情况!D$15:I$15,C6,项目基本情况!D$17:I$17))</f>
        <v>68721</v>
      </c>
      <c r="F6" s="174">
        <f>SUMIF(项目基本情况!D$15:I$15,C6,项目基本情况!D$19:I$19)</f>
        <v>69.959999999999994</v>
      </c>
      <c r="G6" s="175">
        <f>IF(ISERROR(ROUND(POWER(1+H6,D6-F6)*(POWER(1+H6,F6)-1)/(POWER(1+H6,D6)-1),3)),0,ROUND(POWER(1+H6,D6-F6)*(POWER(1+H6,F6)-1)/(POWER(1+H6,D6)-1),3))</f>
        <v>1</v>
      </c>
      <c r="H6" s="3043">
        <v>0.04</v>
      </c>
      <c r="I6" s="3043">
        <v>4.4999999999999998E-2</v>
      </c>
      <c r="J6" s="176">
        <v>8.5000000000000006E-2</v>
      </c>
      <c r="K6" s="179">
        <f>SUMIF('数据-汇总表'!C$19:C$33,'数据-取费表'!A6,'数据-汇总表'!E$19:E$33)</f>
        <v>230740</v>
      </c>
      <c r="L6" s="3044">
        <v>2500</v>
      </c>
      <c r="M6" s="177">
        <f t="shared" ref="M6:M14" si="0">ROUND(K6*L6/10000,0)</f>
        <v>57685</v>
      </c>
      <c r="N6" s="3045">
        <v>0</v>
      </c>
      <c r="O6" s="177">
        <f>IF($N$5="成新度","——",ROUND(M6*N6,0))</f>
        <v>0</v>
      </c>
      <c r="P6" s="178">
        <f>IF($N$5="成新度","——",M6-O6)</f>
        <v>57685</v>
      </c>
      <c r="Q6" s="3520">
        <v>7.0000000000000007E-2</v>
      </c>
      <c r="R6" s="179">
        <f>SUMIF('数据-汇总表'!C$19:C$33,A6,'数据-汇总表'!R$19:R$33)</f>
        <v>47380.78</v>
      </c>
      <c r="S6" s="132">
        <f>IF('数据-汇总表'!$I$17="按面积比例",SUMIF('数据-汇总表'!C$19:C$33,A6,'数据-汇总表'!K$19:K$33),SUMIF('数据-汇总表'!C$19:C$33,A6,'数据-汇总表'!N$19:N$33))</f>
        <v>2756.88</v>
      </c>
      <c r="T6" s="2227">
        <f>IF($T$4="按面积比例",IF(ISERROR(ROUND($M$14*S6/S$16,0)),"0",ROUND($M$14*S6/S$16,0)),"需自行计算录入")</f>
        <v>496</v>
      </c>
      <c r="U6" s="180"/>
      <c r="V6" s="181"/>
      <c r="W6" s="181"/>
      <c r="X6" s="2314"/>
      <c r="Y6" s="182">
        <v>1</v>
      </c>
      <c r="Z6" s="183"/>
      <c r="AA6" s="176"/>
      <c r="AB6" s="176"/>
      <c r="AC6" s="2317"/>
      <c r="AD6" s="182">
        <v>1</v>
      </c>
      <c r="AE6" s="967">
        <f ca="1">IF(AN6="",0,SUMIF(INDIRECT("'"&amp;AN6&amp;"'"&amp;"!E:E"),$AE$5,INDIRECT("'"&amp;AN6&amp;"'"&amp;"!F:F")))</f>
        <v>0</v>
      </c>
      <c r="AF6" s="141"/>
      <c r="AG6" s="1208">
        <f>IF(AF6="",0,AE6-AF6)</f>
        <v>0</v>
      </c>
      <c r="AH6" s="141"/>
      <c r="AI6" s="187"/>
      <c r="AJ6" s="188"/>
      <c r="AK6" s="189"/>
      <c r="AL6" s="190"/>
      <c r="AM6" s="3057"/>
      <c r="AN6" s="2409"/>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回购住宅</v>
      </c>
      <c r="B7" s="2330" t="str">
        <f t="shared" ref="B7:B13" si="1">IF(A7=0,"","经营性")</f>
        <v>经营性</v>
      </c>
      <c r="C7" s="173" t="s">
        <v>922</v>
      </c>
      <c r="D7" s="2301">
        <f>SUMIF(项目基本情况!D$15:I$15,C7,项目基本情况!D$18:I$18)</f>
        <v>70</v>
      </c>
      <c r="E7" s="2302">
        <f>IF(B7="","",SUMIF(项目基本情况!D$15:I$15,C7,项目基本情况!D$17:I$17))</f>
        <v>68721</v>
      </c>
      <c r="F7" s="174">
        <f>SUMIF(项目基本情况!D$15:I$15,C7,项目基本情况!D$19:I$19)</f>
        <v>69.959999999999994</v>
      </c>
      <c r="G7" s="175">
        <f t="shared" ref="G7:G11" si="2">IF(ISERROR(ROUND(POWER(1+H7,D7-F7)*(POWER(1+H7,F7)-1)/(POWER(1+H7,D7)-1),3)),0,ROUND(POWER(1+H7,D7-F7)*(POWER(1+H7,F7)-1)/(POWER(1+H7,D7)-1),3))</f>
        <v>1</v>
      </c>
      <c r="H7" s="3043">
        <v>0.04</v>
      </c>
      <c r="I7" s="3043">
        <v>4.4999999999999998E-2</v>
      </c>
      <c r="J7" s="176">
        <v>8.5000000000000006E-2</v>
      </c>
      <c r="K7" s="179">
        <f>SUMIF('数据-汇总表'!C$19:C$33,'数据-取费表'!A7,'数据-汇总表'!E$19:E$33)</f>
        <v>140000</v>
      </c>
      <c r="L7" s="3216">
        <v>1700</v>
      </c>
      <c r="M7" s="177">
        <f t="shared" si="0"/>
        <v>23800</v>
      </c>
      <c r="N7" s="3045">
        <v>0</v>
      </c>
      <c r="O7" s="177">
        <f t="shared" ref="O7:O14" si="3">IF($N$5="成新度","——",ROUND(M7*N7,0))</f>
        <v>0</v>
      </c>
      <c r="P7" s="178">
        <f t="shared" ref="P7:P14" si="4">IF($N$5="成新度","——",M7-O7)</f>
        <v>23800</v>
      </c>
      <c r="Q7" s="3520">
        <v>0.02</v>
      </c>
      <c r="R7" s="179">
        <f>SUMIF('数据-汇总表'!C$19:C$33,A7,'数据-汇总表'!R$19:R$33)</f>
        <v>28747.98</v>
      </c>
      <c r="S7" s="132">
        <f>IF('数据-汇总表'!$I$17="按面积比例",SUMIF('数据-汇总表'!C$19:C$33,A7,'数据-汇总表'!K$19:K$33),SUMIF('数据-汇总表'!C$19:C$33,A7,'数据-汇总表'!N$19:N$33))</f>
        <v>1672.72</v>
      </c>
      <c r="T7" s="2227">
        <f t="shared" ref="T7:T13" si="5">IF($T$4="按面积比例",IF(ISERROR(ROUND($M$14*S7/S$16,0)),"0",ROUND($M$14*S7/S$16,0)),"需自行计算录入")</f>
        <v>301</v>
      </c>
      <c r="U7" s="180"/>
      <c r="V7" s="181"/>
      <c r="W7" s="181"/>
      <c r="X7" s="2314"/>
      <c r="Y7" s="182">
        <v>1</v>
      </c>
      <c r="Z7" s="183"/>
      <c r="AA7" s="176"/>
      <c r="AB7" s="176"/>
      <c r="AC7" s="2317"/>
      <c r="AD7" s="182">
        <v>1</v>
      </c>
      <c r="AE7" s="967">
        <f t="shared" ref="AE7:AE13" ca="1" si="6">IF(AN7="",0,SUMIF(INDIRECT("'"&amp;AN7&amp;"'"&amp;"!E:E"),$AE$5,INDIRECT("'"&amp;AN7&amp;"'"&amp;"!F:F")))</f>
        <v>0</v>
      </c>
      <c r="AF7" s="141"/>
      <c r="AG7" s="1208">
        <f t="shared" ref="AG7:AG13" si="7">IF(AF7="",0,AE7-AF7)</f>
        <v>0</v>
      </c>
      <c r="AH7" s="141"/>
      <c r="AI7" s="187"/>
      <c r="AJ7" s="188"/>
      <c r="AK7" s="189"/>
      <c r="AL7" s="190"/>
      <c r="AM7" s="2407"/>
      <c r="AN7" s="2409"/>
      <c r="AO7" s="1993"/>
      <c r="AP7" s="1199">
        <f t="shared" ref="AP7:AP13" si="8">ROUND(1-1/(1+H7)^F7,3)</f>
        <v>0.93600000000000005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商业</v>
      </c>
      <c r="B8" s="2330" t="str">
        <f t="shared" si="1"/>
        <v>经营性</v>
      </c>
      <c r="C8" s="173" t="s">
        <v>2979</v>
      </c>
      <c r="D8" s="2301">
        <f>SUMIF(项目基本情况!D$15:I$15,C8,项目基本情况!D$18:I$18)</f>
        <v>40</v>
      </c>
      <c r="E8" s="2302">
        <f>IF(B8="","",SUMIF(项目基本情况!D$15:I$15,C8,项目基本情况!D$17:I$17))</f>
        <v>57764</v>
      </c>
      <c r="F8" s="174">
        <f>SUMIF(项目基本情况!D$15:I$15,C8,项目基本情况!D$19:I$19)</f>
        <v>39.950000000000003</v>
      </c>
      <c r="G8" s="175">
        <f t="shared" si="2"/>
        <v>1</v>
      </c>
      <c r="H8" s="3043">
        <v>4.4999999999999998E-2</v>
      </c>
      <c r="I8" s="3043">
        <v>0.05</v>
      </c>
      <c r="J8" s="176">
        <v>8.5000000000000006E-2</v>
      </c>
      <c r="K8" s="179">
        <f>SUMIF('数据-汇总表'!C$19:C$33,'数据-取费表'!A8,'数据-汇总表'!E$19:E$33)</f>
        <v>12117</v>
      </c>
      <c r="L8" s="3216">
        <v>2000</v>
      </c>
      <c r="M8" s="177">
        <f>ROUND(K8*L8/10000,0)</f>
        <v>2423</v>
      </c>
      <c r="N8" s="3045">
        <v>0</v>
      </c>
      <c r="O8" s="177">
        <f t="shared" si="3"/>
        <v>0</v>
      </c>
      <c r="P8" s="178">
        <f t="shared" si="4"/>
        <v>2423</v>
      </c>
      <c r="Q8" s="3046">
        <v>0.1</v>
      </c>
      <c r="R8" s="179">
        <f>SUMIF('数据-汇总表'!C$19:C$33,A8,'数据-汇总表'!R$19:R$33)</f>
        <v>2448.2399999999998</v>
      </c>
      <c r="S8" s="132">
        <f>IF('数据-汇总表'!$I$17="按面积比例",SUMIF('数据-汇总表'!C$19:C$33,A8,'数据-汇总表'!K$19:K$33),SUMIF('数据-汇总表'!C$19:C$33,A8,'数据-汇总表'!N$19:N$33))</f>
        <v>144.77000000000001</v>
      </c>
      <c r="T8" s="2227">
        <f t="shared" si="5"/>
        <v>26</v>
      </c>
      <c r="U8" s="180"/>
      <c r="V8" s="181"/>
      <c r="W8" s="181"/>
      <c r="X8" s="2314"/>
      <c r="Y8" s="182">
        <v>1</v>
      </c>
      <c r="Z8" s="183"/>
      <c r="AA8" s="176"/>
      <c r="AB8" s="176"/>
      <c r="AC8" s="2317"/>
      <c r="AD8" s="182">
        <v>1</v>
      </c>
      <c r="AE8" s="967">
        <f t="shared" ca="1" si="6"/>
        <v>0</v>
      </c>
      <c r="AF8" s="141"/>
      <c r="AG8" s="1208">
        <f t="shared" si="7"/>
        <v>0</v>
      </c>
      <c r="AH8" s="141"/>
      <c r="AI8" s="187"/>
      <c r="AJ8" s="188"/>
      <c r="AK8" s="189"/>
      <c r="AL8" s="190"/>
      <c r="AM8" s="2407"/>
      <c r="AN8" s="2409"/>
      <c r="AO8" s="1993"/>
      <c r="AP8" s="1199">
        <f t="shared" si="8"/>
        <v>0.82799999999999996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地下车库</v>
      </c>
      <c r="B9" s="2330" t="str">
        <f t="shared" si="1"/>
        <v>经营性</v>
      </c>
      <c r="C9" s="173" t="s">
        <v>2979</v>
      </c>
      <c r="D9" s="2301">
        <f>SUMIF(项目基本情况!D$15:I$15,C9,项目基本情况!D$18:I$18)</f>
        <v>40</v>
      </c>
      <c r="E9" s="2302">
        <f>IF(B9="","",SUMIF(项目基本情况!D$15:I$15,C9,项目基本情况!D$17:I$17))</f>
        <v>57764</v>
      </c>
      <c r="F9" s="174">
        <f>SUMIF(项目基本情况!D$15:I$15,C9,项目基本情况!D$19:I$19)</f>
        <v>39.950000000000003</v>
      </c>
      <c r="G9" s="175">
        <f t="shared" si="2"/>
        <v>0.999</v>
      </c>
      <c r="H9" s="3043">
        <v>0.04</v>
      </c>
      <c r="I9" s="3043">
        <v>4.4999999999999998E-2</v>
      </c>
      <c r="J9" s="176">
        <v>8.5000000000000006E-2</v>
      </c>
      <c r="K9" s="179">
        <f>SUMIF('数据-汇总表'!C$19:C$33,'数据-取费表'!A9,'数据-汇总表'!E$19:E$33)</f>
        <v>134025.01</v>
      </c>
      <c r="L9" s="3044">
        <v>1800</v>
      </c>
      <c r="M9" s="177">
        <f t="shared" si="0"/>
        <v>24125</v>
      </c>
      <c r="N9" s="3045">
        <v>0</v>
      </c>
      <c r="O9" s="177">
        <f t="shared" si="3"/>
        <v>0</v>
      </c>
      <c r="P9" s="178">
        <f t="shared" si="4"/>
        <v>24125</v>
      </c>
      <c r="Q9" s="192">
        <v>0.02</v>
      </c>
      <c r="R9" s="179">
        <f>SUMIF('数据-汇总表'!C$19:C$33,A9,'数据-汇总表'!R$19:R$33)</f>
        <v>27079.71</v>
      </c>
      <c r="S9" s="132">
        <f>IF('数据-汇总表'!$I$17="按面积比例",SUMIF('数据-汇总表'!C$19:C$33,A9,'数据-汇总表'!K$19:K$33),SUMIF('数据-汇总表'!C$19:C$33,A9,'数据-汇总表'!N$19:N$33))</f>
        <v>1601.33</v>
      </c>
      <c r="T9" s="2227">
        <f t="shared" si="5"/>
        <v>288</v>
      </c>
      <c r="U9" s="180">
        <v>500</v>
      </c>
      <c r="V9" s="181">
        <v>0.03</v>
      </c>
      <c r="W9" s="181">
        <v>0.1</v>
      </c>
      <c r="X9" s="2314"/>
      <c r="Y9" s="182">
        <v>1</v>
      </c>
      <c r="Z9" s="183"/>
      <c r="AA9" s="176"/>
      <c r="AB9" s="176"/>
      <c r="AC9" s="2317"/>
      <c r="AD9" s="182">
        <v>1</v>
      </c>
      <c r="AE9" s="967">
        <f t="shared" ca="1" si="6"/>
        <v>37.450000000000003</v>
      </c>
      <c r="AF9" s="141"/>
      <c r="AG9" s="1208">
        <f t="shared" si="7"/>
        <v>0</v>
      </c>
      <c r="AH9" s="141">
        <v>4565</v>
      </c>
      <c r="AI9" s="187">
        <v>12</v>
      </c>
      <c r="AJ9" s="188"/>
      <c r="AK9" s="189">
        <v>1.4999999999999999E-2</v>
      </c>
      <c r="AL9" s="190">
        <v>1.5E-3</v>
      </c>
      <c r="AM9" s="2407">
        <v>0.01</v>
      </c>
      <c r="AN9" s="2409" t="s">
        <v>3018</v>
      </c>
      <c r="AO9" s="1993"/>
      <c r="AP9" s="1199">
        <f t="shared" si="8"/>
        <v>0.79100000000000004</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hidden="1">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4"/>
      <c r="M10" s="177">
        <f t="shared" si="0"/>
        <v>0</v>
      </c>
      <c r="N10" s="304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c r="Z10" s="183"/>
      <c r="AA10" s="176"/>
      <c r="AB10" s="176"/>
      <c r="AC10" s="2317"/>
      <c r="AD10" s="184"/>
      <c r="AE10" s="967">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4"/>
      <c r="M11" s="177">
        <f t="shared" si="0"/>
        <v>0</v>
      </c>
      <c r="N11" s="304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3"/>
      <c r="AA11" s="176"/>
      <c r="AB11" s="176"/>
      <c r="AC11" s="2317"/>
      <c r="AD11" s="184"/>
      <c r="AE11" s="967">
        <f t="shared" ca="1" si="6"/>
        <v>0</v>
      </c>
      <c r="AF11" s="141"/>
      <c r="AG11" s="1208">
        <f t="shared" si="7"/>
        <v>0</v>
      </c>
      <c r="AH11" s="141"/>
      <c r="AI11" s="187"/>
      <c r="AJ11" s="188"/>
      <c r="AK11" s="194"/>
      <c r="AL11" s="195"/>
      <c r="AM11" s="1811"/>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4"/>
      <c r="M12" s="177">
        <f>ROUND(K12*L12/10000,0)</f>
        <v>0</v>
      </c>
      <c r="N12" s="304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3"/>
      <c r="AA12" s="176"/>
      <c r="AB12" s="176"/>
      <c r="AC12" s="2317"/>
      <c r="AD12" s="184"/>
      <c r="AE12" s="967">
        <f t="shared" ca="1" si="6"/>
        <v>0</v>
      </c>
      <c r="AF12" s="141"/>
      <c r="AG12" s="1208">
        <f t="shared" si="7"/>
        <v>0</v>
      </c>
      <c r="AH12" s="141"/>
      <c r="AI12" s="187"/>
      <c r="AJ12" s="188"/>
      <c r="AK12" s="194"/>
      <c r="AL12" s="195"/>
      <c r="AM12" s="1811"/>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4"/>
      <c r="M13" s="177">
        <f>ROUND(K13*L13/10000,0)</f>
        <v>0</v>
      </c>
      <c r="N13" s="304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7">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2313</v>
      </c>
      <c r="B14" s="2299" t="s">
        <v>1679</v>
      </c>
      <c r="C14" s="2300" t="s">
        <v>2313</v>
      </c>
      <c r="D14" s="2301"/>
      <c r="E14" s="2302"/>
      <c r="F14" s="174"/>
      <c r="G14" s="175"/>
      <c r="H14" s="2303"/>
      <c r="I14" s="2303"/>
      <c r="J14" s="2303"/>
      <c r="K14" s="179">
        <f>SUMIF('数据-汇总表'!C$19:C$33,'数据-取费表'!A14,'数据-汇总表'!E$19:E$33)</f>
        <v>6175.7000000000007</v>
      </c>
      <c r="L14" s="3044">
        <v>1800</v>
      </c>
      <c r="M14" s="177">
        <f t="shared" si="0"/>
        <v>1112</v>
      </c>
      <c r="N14" s="3045">
        <v>0</v>
      </c>
      <c r="O14" s="177">
        <f t="shared" si="3"/>
        <v>0</v>
      </c>
      <c r="P14" s="178">
        <f t="shared" si="4"/>
        <v>1112</v>
      </c>
      <c r="Q14" s="2311"/>
      <c r="R14" s="179"/>
      <c r="S14" s="132"/>
      <c r="T14" s="2310"/>
      <c r="U14" s="969"/>
      <c r="V14" s="2313"/>
      <c r="W14" s="2313"/>
      <c r="X14" s="2314"/>
      <c r="Y14" s="2315"/>
      <c r="Z14" s="136"/>
      <c r="AA14" s="2316"/>
      <c r="AB14" s="2316"/>
      <c r="AC14" s="2317"/>
      <c r="AD14" s="2314"/>
      <c r="AE14" s="967"/>
      <c r="AF14" s="2289"/>
      <c r="AG14" s="1208"/>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2315</v>
      </c>
      <c r="B15" s="2299" t="s">
        <v>1679</v>
      </c>
      <c r="C15" s="2300" t="s">
        <v>2314</v>
      </c>
      <c r="D15" s="2301"/>
      <c r="E15" s="2302"/>
      <c r="F15" s="174"/>
      <c r="G15" s="175"/>
      <c r="H15" s="2303"/>
      <c r="I15" s="2303"/>
      <c r="J15" s="2303"/>
      <c r="K15" s="179">
        <f>SUMIF('数据-汇总表'!C$19:C$33,'数据-取费表'!A15,'数据-汇总表'!E$19:E$33)</f>
        <v>6114.6</v>
      </c>
      <c r="L15" s="2309"/>
      <c r="M15" s="177"/>
      <c r="N15" s="2312"/>
      <c r="O15" s="177"/>
      <c r="P15" s="178"/>
      <c r="Q15" s="2311"/>
      <c r="R15" s="179"/>
      <c r="S15" s="132"/>
      <c r="T15" s="2310"/>
      <c r="U15" s="969"/>
      <c r="V15" s="2313"/>
      <c r="W15" s="2313"/>
      <c r="X15" s="2314"/>
      <c r="Y15" s="2315"/>
      <c r="Z15" s="136"/>
      <c r="AA15" s="2316"/>
      <c r="AB15" s="2316"/>
      <c r="AC15" s="2317"/>
      <c r="AD15" s="2314"/>
      <c r="AE15" s="967"/>
      <c r="AF15" s="2289"/>
      <c r="AG15" s="1208"/>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529172.31000000006</v>
      </c>
      <c r="L16" s="204">
        <f>ROUND(M16*10000/SUM(K6:K14),0)</f>
        <v>2087</v>
      </c>
      <c r="M16" s="204">
        <f>SUM(M6:M14)</f>
        <v>109145</v>
      </c>
      <c r="N16" s="205">
        <f>ROUND(SUMPRODUCT(M6:M14,N6:N14)/M16,3)</f>
        <v>0</v>
      </c>
      <c r="O16" s="204">
        <f>SUM(O6:O14)</f>
        <v>0</v>
      </c>
      <c r="P16" s="204">
        <f>SUM(P6:P14)</f>
        <v>109145</v>
      </c>
      <c r="Q16" s="206">
        <f>ROUND(SUMPRODUCT(Q6:Q13,K6:K13)/SUMPRODUCT((Q6:Q13&gt;0)*(K6:K13)),2)</f>
        <v>0.04</v>
      </c>
      <c r="R16" s="2304">
        <f>SUM(R6:R13)</f>
        <v>105656.70999999999</v>
      </c>
      <c r="S16" s="207">
        <f>SUM(S6:S13)</f>
        <v>6175.7000000000007</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199">
        <f>ROUND(SUMPRODUCT(AP6:AP13,K6:K13)/SUMPRODUCT((AP6:AP13&gt;0)*(K6:K13)),3)</f>
        <v>0.89600000000000002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3183">
        <f>K15</f>
        <v>6114.6</v>
      </c>
      <c r="L17" s="1984">
        <v>2000</v>
      </c>
      <c r="M17" s="1984">
        <f>ROUND(K17*L17/10000,0)</f>
        <v>1223</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2333</v>
      </c>
      <c r="D19" s="1986"/>
      <c r="E19" s="1985"/>
      <c r="F19" s="1985"/>
      <c r="G19" s="1985"/>
      <c r="H19" s="1985"/>
      <c r="I19" s="1985"/>
      <c r="J19" s="1985"/>
      <c r="K19" s="3305" t="s">
        <v>3012</v>
      </c>
      <c r="L19" s="3306" t="s">
        <v>3013</v>
      </c>
      <c r="M19" s="3307"/>
      <c r="N19" s="3308"/>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2.5</v>
      </c>
      <c r="C20" s="2357" t="s">
        <v>2332</v>
      </c>
      <c r="D20" s="1986"/>
      <c r="E20" s="1985"/>
      <c r="F20" s="1985"/>
      <c r="G20" s="1985"/>
      <c r="H20" s="1985"/>
      <c r="I20" s="1985"/>
      <c r="J20" s="1985"/>
      <c r="K20" s="3305"/>
      <c r="L20" s="3175" t="s">
        <v>3014</v>
      </c>
      <c r="M20" s="3176" t="s">
        <v>3015</v>
      </c>
      <c r="N20" s="3177" t="s">
        <v>3016</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218">
        <v>0</v>
      </c>
      <c r="C21" s="1985"/>
      <c r="D21" s="1986"/>
      <c r="E21" s="1985"/>
      <c r="F21" s="1985"/>
      <c r="G21" s="1985"/>
      <c r="H21" s="1985"/>
      <c r="I21" s="1985"/>
      <c r="J21" s="1985"/>
      <c r="K21" s="3181" t="s">
        <v>3017</v>
      </c>
      <c r="L21" s="3178">
        <v>1160</v>
      </c>
      <c r="M21" s="3179">
        <v>1510</v>
      </c>
      <c r="N21" s="3180">
        <v>1712</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2.5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2335</v>
      </c>
      <c r="B27" s="225">
        <v>100</v>
      </c>
      <c r="C27" s="3092" t="s">
        <v>3224</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2336</v>
      </c>
      <c r="B28" s="227">
        <v>100</v>
      </c>
      <c r="C28" s="3182" t="s">
        <v>3223</v>
      </c>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2334</v>
      </c>
      <c r="B29" s="230">
        <v>0</v>
      </c>
      <c r="C29" s="1547" t="s">
        <v>2337</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3" t="s">
        <v>273</v>
      </c>
      <c r="B30" s="973">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50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5" t="s">
        <v>275</v>
      </c>
      <c r="B32" s="1372">
        <v>150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3">
        <v>0.03</v>
      </c>
      <c r="C33" s="2358" t="s">
        <v>2888</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1">
        <v>0.03</v>
      </c>
      <c r="C34" s="2358" t="s">
        <v>2889</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8" t="s">
        <v>2890</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2">
        <v>1.4999999999999999E-2</v>
      </c>
      <c r="C36" s="2358" t="s">
        <v>2891</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234">
        <v>1.4999999999999999E-2</v>
      </c>
      <c r="C37" s="2358" t="s">
        <v>2892</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1">
        <v>1.4999999999999999E-2</v>
      </c>
      <c r="C38" s="2358" t="s">
        <v>2892</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2453</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2454</v>
      </c>
      <c r="B40" s="2498">
        <f ca="1">存贷款利率!E2</f>
        <v>4.7500000000000001E-2</v>
      </c>
      <c r="C40" s="2358" t="s">
        <v>2338</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6">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8">
        <v>0.05</v>
      </c>
      <c r="C42" s="3118">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9">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7" t="s">
        <v>285</v>
      </c>
      <c r="B44" s="240">
        <v>7.0000000000000007E-2</v>
      </c>
      <c r="C44" s="2358" t="s">
        <v>2893</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7" t="s">
        <v>286</v>
      </c>
      <c r="B45" s="238">
        <v>0.03</v>
      </c>
      <c r="C45" s="2360" t="s">
        <v>2894</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7" t="s">
        <v>287</v>
      </c>
      <c r="B46" s="238">
        <v>0.02</v>
      </c>
      <c r="C46" s="2360" t="s">
        <v>2895</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v>0</v>
      </c>
      <c r="C47" s="3092" t="s">
        <v>2896</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0.04</v>
      </c>
      <c r="C48" s="3093" t="s">
        <v>2897</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5" t="s">
        <v>290</v>
      </c>
      <c r="B49" s="238">
        <v>5.0000000000000001E-4</v>
      </c>
      <c r="C49" s="3093" t="s">
        <v>2898</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7">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9" t="s">
        <v>1409</v>
      </c>
      <c r="C53" s="3094" t="s">
        <v>2899</v>
      </c>
      <c r="D53" s="3095" t="s">
        <v>2900</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hidden="1">
      <c r="A54" s="3097" t="s">
        <v>2901</v>
      </c>
      <c r="B54" s="186"/>
      <c r="C54" s="1987">
        <v>30</v>
      </c>
      <c r="D54" s="309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hidden="1">
      <c r="A55" s="3097" t="s">
        <v>2902</v>
      </c>
      <c r="B55" s="186"/>
      <c r="C55" s="1987">
        <v>24</v>
      </c>
      <c r="D55" s="309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hidden="1">
      <c r="A56" s="3097" t="s">
        <v>2903</v>
      </c>
      <c r="B56" s="186"/>
      <c r="C56" s="1987">
        <v>18</v>
      </c>
      <c r="D56" s="309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hidden="1">
      <c r="A57" s="3097" t="s">
        <v>2904</v>
      </c>
      <c r="B57" s="186"/>
      <c r="C57" s="1987">
        <v>12</v>
      </c>
      <c r="D57" s="309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hidden="1">
      <c r="A58" s="3097" t="s">
        <v>2905</v>
      </c>
      <c r="B58" s="186"/>
      <c r="C58" s="1987">
        <v>3</v>
      </c>
      <c r="D58" s="309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7" t="s">
        <v>2906</v>
      </c>
      <c r="B59" s="186">
        <v>1.5</v>
      </c>
      <c r="C59" s="1987">
        <v>1.5</v>
      </c>
      <c r="D59" s="309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7" t="s">
        <v>2907</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7" t="s">
        <v>2908</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7" t="s">
        <v>2909</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8" t="s">
        <v>2910</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09" t="s">
        <v>1663</v>
      </c>
      <c r="B1" s="3310"/>
      <c r="C1" s="3310"/>
      <c r="D1" s="3310"/>
      <c r="E1" s="3310"/>
      <c r="F1" s="3310"/>
      <c r="G1" s="3310"/>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27">
      <c r="A3" s="1222" t="s">
        <v>1666</v>
      </c>
      <c r="B3" s="1223" t="s">
        <v>1653</v>
      </c>
      <c r="C3" s="3099"/>
      <c r="D3" s="2002"/>
      <c r="E3" s="1224" t="s">
        <v>1666</v>
      </c>
      <c r="F3" s="1225" t="s">
        <v>1654</v>
      </c>
      <c r="G3" s="3103"/>
      <c r="H3" s="2001"/>
      <c r="I3" s="2001"/>
      <c r="J3" s="2001"/>
      <c r="K3" s="2001"/>
      <c r="L3" s="2001"/>
      <c r="M3" s="2001"/>
      <c r="N3" s="2001"/>
      <c r="O3" s="2001"/>
      <c r="P3" s="2001"/>
      <c r="Q3" s="2001"/>
      <c r="R3" s="2001"/>
    </row>
    <row r="4" spans="1:18" ht="14.25">
      <c r="A4" s="1224"/>
      <c r="B4" s="1226" t="s">
        <v>1667</v>
      </c>
      <c r="C4" s="3100"/>
      <c r="D4" s="2002"/>
      <c r="E4" s="1227"/>
      <c r="F4" s="1228" t="s">
        <v>1668</v>
      </c>
      <c r="G4" s="3101"/>
      <c r="H4" s="2001"/>
      <c r="I4" s="2001"/>
      <c r="J4" s="2001"/>
      <c r="K4" s="2001"/>
      <c r="L4" s="2001"/>
      <c r="M4" s="2001"/>
      <c r="N4" s="2001"/>
      <c r="O4" s="2001"/>
      <c r="P4" s="2001"/>
      <c r="Q4" s="2001"/>
      <c r="R4" s="2001"/>
    </row>
    <row r="5" spans="1:18" ht="14.25">
      <c r="A5" s="1224"/>
      <c r="B5" s="1226" t="s">
        <v>1669</v>
      </c>
      <c r="C5" s="3100"/>
      <c r="D5" s="2002"/>
      <c r="E5" s="1227"/>
      <c r="F5" s="1226" t="s">
        <v>2544</v>
      </c>
      <c r="G5" s="3101"/>
      <c r="H5" s="2001"/>
      <c r="I5" s="2001"/>
      <c r="J5" s="2001"/>
      <c r="K5" s="2001"/>
      <c r="L5" s="2001"/>
      <c r="M5" s="2001"/>
      <c r="N5" s="2001"/>
      <c r="O5" s="2001"/>
      <c r="P5" s="2001"/>
      <c r="Q5" s="2001"/>
      <c r="R5" s="2001"/>
    </row>
    <row r="6" spans="1:18" ht="14.25">
      <c r="A6" s="1224"/>
      <c r="B6" s="1226" t="s">
        <v>1655</v>
      </c>
      <c r="C6" s="3101"/>
      <c r="D6" s="2002"/>
      <c r="E6" s="1227"/>
      <c r="F6" s="1226" t="s">
        <v>2545</v>
      </c>
      <c r="G6" s="3101"/>
      <c r="H6" s="2001"/>
      <c r="I6" s="2001"/>
      <c r="J6" s="2001"/>
      <c r="K6" s="2001"/>
      <c r="L6" s="2001"/>
      <c r="M6" s="2001"/>
      <c r="N6" s="2001"/>
      <c r="O6" s="2001"/>
      <c r="P6" s="2001"/>
      <c r="Q6" s="2001"/>
      <c r="R6" s="2001"/>
    </row>
    <row r="7" spans="1:18" ht="15" thickBot="1">
      <c r="A7" s="1224"/>
      <c r="B7" s="1226" t="s">
        <v>2544</v>
      </c>
      <c r="C7" s="3101"/>
      <c r="D7" s="2003"/>
      <c r="E7" s="1229"/>
      <c r="F7" s="1230" t="s">
        <v>1670</v>
      </c>
      <c r="G7" s="3104"/>
      <c r="H7" s="2001"/>
      <c r="I7" s="2001"/>
      <c r="J7" s="2001"/>
      <c r="K7" s="2001"/>
      <c r="L7" s="2001"/>
      <c r="M7" s="2001"/>
      <c r="N7" s="2001"/>
      <c r="O7" s="2001"/>
      <c r="P7" s="2001"/>
      <c r="Q7" s="2001"/>
      <c r="R7" s="2001"/>
    </row>
    <row r="8" spans="1:18" ht="14.25">
      <c r="A8" s="1224"/>
      <c r="B8" s="1226" t="s">
        <v>2545</v>
      </c>
      <c r="C8" s="3101"/>
      <c r="D8" s="2003"/>
      <c r="E8" s="2003"/>
      <c r="F8" s="1548"/>
      <c r="G8" s="1548"/>
      <c r="H8" s="2001"/>
      <c r="I8" s="2001"/>
      <c r="J8" s="2001"/>
      <c r="K8" s="2001"/>
      <c r="L8" s="2001"/>
      <c r="M8" s="2001"/>
      <c r="N8" s="2001"/>
      <c r="O8" s="2001"/>
      <c r="P8" s="2001"/>
      <c r="Q8" s="2001"/>
      <c r="R8" s="2001"/>
    </row>
    <row r="9" spans="1:18" ht="14.25">
      <c r="A9" s="1224"/>
      <c r="B9" s="1226" t="s">
        <v>1656</v>
      </c>
      <c r="C9" s="3100"/>
      <c r="D9" s="2002"/>
      <c r="E9" s="2003"/>
      <c r="F9" s="1548"/>
      <c r="G9" s="1548"/>
      <c r="H9" s="2001"/>
      <c r="I9" s="2001"/>
      <c r="J9" s="2001"/>
      <c r="K9" s="2001"/>
      <c r="L9" s="2001"/>
      <c r="M9" s="2001"/>
      <c r="N9" s="2001"/>
      <c r="O9" s="2001"/>
      <c r="P9" s="2001"/>
      <c r="Q9" s="2001"/>
      <c r="R9" s="2001"/>
    </row>
    <row r="10" spans="1:18" s="2009" customFormat="1" ht="15" thickBot="1">
      <c r="A10" s="1231"/>
      <c r="B10" s="1232" t="s">
        <v>1671</v>
      </c>
      <c r="C10" s="3102"/>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1672</v>
      </c>
      <c r="B13" s="2595"/>
      <c r="C13" s="2595"/>
      <c r="D13" s="1219"/>
      <c r="E13" s="2595"/>
      <c r="F13" s="2595"/>
      <c r="G13" s="2595"/>
    </row>
    <row r="14" spans="1:18" ht="14.25" thickBot="1">
      <c r="A14" s="1233"/>
      <c r="B14" s="1234"/>
      <c r="C14" s="1235" t="s">
        <v>1664</v>
      </c>
      <c r="D14" s="2002"/>
      <c r="E14" s="1236"/>
      <c r="F14" s="1236"/>
      <c r="G14" s="1218" t="s">
        <v>1665</v>
      </c>
    </row>
    <row r="15" spans="1:18" ht="27">
      <c r="A15" s="2605" t="s">
        <v>1657</v>
      </c>
      <c r="B15" s="1237" t="s">
        <v>1653</v>
      </c>
      <c r="C15" s="1238">
        <f>C3</f>
        <v>0</v>
      </c>
      <c r="D15" s="2002"/>
      <c r="E15" s="2602" t="s">
        <v>1658</v>
      </c>
      <c r="F15" s="1237" t="s">
        <v>1673</v>
      </c>
      <c r="G15" s="1239">
        <f>G3</f>
        <v>0</v>
      </c>
    </row>
    <row r="16" spans="1:18">
      <c r="A16" s="2606"/>
      <c r="B16" s="1240" t="s">
        <v>1667</v>
      </c>
      <c r="C16" s="1241">
        <f>C4</f>
        <v>0</v>
      </c>
      <c r="D16" s="2002"/>
      <c r="E16" s="2603"/>
      <c r="F16" s="1242" t="s">
        <v>1668</v>
      </c>
      <c r="G16" s="1000">
        <f>G4</f>
        <v>0</v>
      </c>
    </row>
    <row r="17" spans="1:7" ht="14.25">
      <c r="A17" s="2606"/>
      <c r="B17" s="1240" t="s">
        <v>1669</v>
      </c>
      <c r="C17" s="1241">
        <f>C5</f>
        <v>0</v>
      </c>
      <c r="D17" s="2003"/>
      <c r="E17" s="2603"/>
      <c r="F17" s="1242" t="s">
        <v>1674</v>
      </c>
      <c r="G17" s="2811"/>
    </row>
    <row r="18" spans="1:7">
      <c r="A18" s="2606"/>
      <c r="B18" s="1242" t="s">
        <v>1655</v>
      </c>
      <c r="C18" s="1000">
        <f>C6</f>
        <v>0</v>
      </c>
      <c r="D18" s="2003"/>
      <c r="E18" s="2603"/>
      <c r="F18" s="1242" t="s">
        <v>1670</v>
      </c>
      <c r="G18" s="1000">
        <f>G7</f>
        <v>0</v>
      </c>
    </row>
    <row r="19" spans="1:7" ht="14.25">
      <c r="A19" s="2606"/>
      <c r="B19" s="1242" t="s">
        <v>1659</v>
      </c>
      <c r="C19" s="2811"/>
      <c r="D19" s="2002"/>
      <c r="E19" s="2603"/>
      <c r="F19" s="1226" t="s">
        <v>2544</v>
      </c>
      <c r="G19" s="1000">
        <f>G5</f>
        <v>0</v>
      </c>
    </row>
    <row r="20" spans="1:7">
      <c r="A20" s="2606"/>
      <c r="B20" s="1242" t="s">
        <v>1660</v>
      </c>
      <c r="C20" s="1241">
        <f>C9</f>
        <v>0</v>
      </c>
      <c r="D20" s="2003"/>
      <c r="E20" s="2603"/>
      <c r="F20" s="1226" t="s">
        <v>2545</v>
      </c>
      <c r="G20" s="1000">
        <f>G6</f>
        <v>0</v>
      </c>
    </row>
    <row r="21" spans="1:7" ht="14.25">
      <c r="A21" s="2606"/>
      <c r="B21" s="1226" t="s">
        <v>2544</v>
      </c>
      <c r="C21" s="1000">
        <f>C7</f>
        <v>0</v>
      </c>
      <c r="D21" s="2002"/>
      <c r="E21" s="2603"/>
      <c r="F21" s="1242" t="s">
        <v>1661</v>
      </c>
      <c r="G21" s="3105"/>
    </row>
    <row r="22" spans="1:7" ht="14.25">
      <c r="A22" s="2606"/>
      <c r="B22" s="1226" t="s">
        <v>2545</v>
      </c>
      <c r="C22" s="1000">
        <f>C8</f>
        <v>0</v>
      </c>
      <c r="D22" s="2002"/>
      <c r="E22" s="2603"/>
      <c r="F22" s="1242" t="s">
        <v>1671</v>
      </c>
      <c r="G22" s="2811"/>
    </row>
    <row r="23" spans="1:7" ht="15" thickBot="1">
      <c r="A23" s="2606"/>
      <c r="B23" s="1242" t="s">
        <v>1661</v>
      </c>
      <c r="C23" s="3105"/>
      <c r="E23" s="2604"/>
      <c r="F23" s="1243" t="s">
        <v>1675</v>
      </c>
      <c r="G23" s="3106"/>
    </row>
    <row r="24" spans="1:7" ht="14.25" thickBot="1">
      <c r="A24" s="2607"/>
      <c r="B24" s="1243" t="s">
        <v>1662</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2842</v>
      </c>
      <c r="B1" s="3063">
        <f>SUM(B14:B23)</f>
        <v>529172.31000000006</v>
      </c>
      <c r="C1" s="3064"/>
      <c r="D1" s="3064"/>
      <c r="E1" s="3064"/>
      <c r="F1" s="3064"/>
    </row>
    <row r="2" spans="1:9" ht="16.5">
      <c r="A2" s="3063" t="s">
        <v>2843</v>
      </c>
      <c r="B2" s="3063">
        <f>SUM(C14:C23)</f>
        <v>105656.7</v>
      </c>
      <c r="C2" s="3064"/>
      <c r="D2" s="3064"/>
      <c r="E2" s="3064"/>
      <c r="F2" s="3064"/>
    </row>
    <row r="3" spans="1:9" ht="16.5">
      <c r="A3" s="3063" t="s">
        <v>2844</v>
      </c>
      <c r="B3" s="3065">
        <f>项目基本情况!D3</f>
        <v>43182</v>
      </c>
      <c r="C3" s="3064"/>
      <c r="D3" s="3064"/>
      <c r="E3" s="3064"/>
      <c r="F3" s="3064"/>
    </row>
    <row r="4" spans="1:9" ht="33">
      <c r="A4" s="3063" t="s">
        <v>2845</v>
      </c>
      <c r="B4" s="3063" t="s">
        <v>2846</v>
      </c>
      <c r="C4" s="3063" t="s">
        <v>2847</v>
      </c>
      <c r="D4" s="3063" t="s">
        <v>2848</v>
      </c>
      <c r="E4" s="3064"/>
      <c r="F4" s="3064"/>
    </row>
    <row r="5" spans="1:9" ht="16.5">
      <c r="A5" s="3063" t="s">
        <v>2849</v>
      </c>
      <c r="B5" s="3063">
        <f ca="1">SUM(D14:D23)</f>
        <v>221769</v>
      </c>
      <c r="C5" s="3063">
        <f ca="1">ROUND(B5*10000/$B$1,0)</f>
        <v>4191</v>
      </c>
      <c r="D5" s="3063">
        <f ca="1">ROUND(B5*10000/$B$2,0)</f>
        <v>20990</v>
      </c>
      <c r="E5" s="3064"/>
      <c r="F5" s="3064"/>
    </row>
    <row r="6" spans="1:9" ht="16.5">
      <c r="A6" s="3063" t="s">
        <v>2850</v>
      </c>
      <c r="B6" s="3063">
        <f>SUM(G14:G23)</f>
        <v>0</v>
      </c>
      <c r="C6" s="3063">
        <f t="shared" ref="C6:C8" si="0">ROUND(B6*10000/$B$1,0)</f>
        <v>0</v>
      </c>
      <c r="D6" s="3063">
        <f t="shared" ref="D6:D8" si="1">ROUND(B6*10000/$B$2,0)</f>
        <v>0</v>
      </c>
      <c r="E6" s="3064"/>
      <c r="F6" s="3064"/>
    </row>
    <row r="7" spans="1:9" ht="16.5">
      <c r="A7" s="3063" t="s">
        <v>2851</v>
      </c>
      <c r="B7" s="3063">
        <f>SUM(H14:H23)</f>
        <v>0</v>
      </c>
      <c r="C7" s="3063">
        <f t="shared" si="0"/>
        <v>0</v>
      </c>
      <c r="D7" s="3063">
        <f t="shared" si="1"/>
        <v>0</v>
      </c>
      <c r="E7" s="3064"/>
      <c r="F7" s="3064"/>
    </row>
    <row r="8" spans="1:9" ht="16.5">
      <c r="A8" s="3063" t="s">
        <v>2852</v>
      </c>
      <c r="B8" s="3063">
        <f>SUM(I14:I23)</f>
        <v>0</v>
      </c>
      <c r="C8" s="3063">
        <f t="shared" si="0"/>
        <v>0</v>
      </c>
      <c r="D8" s="3063">
        <f t="shared" si="1"/>
        <v>0</v>
      </c>
      <c r="E8" s="3064"/>
      <c r="F8" s="3064"/>
    </row>
    <row r="9" spans="1:9" ht="16.5">
      <c r="A9" s="3063" t="s">
        <v>2853</v>
      </c>
      <c r="B9" s="3066"/>
      <c r="C9" s="3064"/>
      <c r="D9" s="3064"/>
      <c r="E9" s="3064"/>
      <c r="F9" s="3064"/>
    </row>
    <row r="10" spans="1:9" ht="16.5">
      <c r="A10" s="3063" t="s">
        <v>2854</v>
      </c>
      <c r="B10" s="3066"/>
      <c r="C10" s="3064"/>
      <c r="D10" s="3064"/>
      <c r="E10" s="3064"/>
      <c r="F10" s="3064"/>
    </row>
    <row r="11" spans="1:9" ht="16.5">
      <c r="A11" s="3063" t="s">
        <v>2871</v>
      </c>
      <c r="B11" s="3066"/>
      <c r="C11" s="3064"/>
      <c r="D11" s="3064"/>
      <c r="E11" s="3064"/>
      <c r="F11" s="3064"/>
    </row>
    <row r="12" spans="1:9" ht="16.5">
      <c r="A12" s="3064"/>
      <c r="B12" s="3064"/>
      <c r="C12" s="3064"/>
      <c r="D12" s="3064"/>
      <c r="E12" s="3064"/>
      <c r="F12" s="3064"/>
    </row>
    <row r="13" spans="1:9" ht="33">
      <c r="A13" s="3069" t="s">
        <v>2870</v>
      </c>
      <c r="B13" s="3067" t="s">
        <v>2842</v>
      </c>
      <c r="C13" s="3067" t="s">
        <v>2843</v>
      </c>
      <c r="D13" s="3067" t="s">
        <v>2855</v>
      </c>
      <c r="E13" s="3063" t="s">
        <v>2869</v>
      </c>
      <c r="F13" s="3063" t="s">
        <v>2848</v>
      </c>
      <c r="G13" s="3067" t="s">
        <v>2856</v>
      </c>
      <c r="H13" s="3067" t="s">
        <v>2857</v>
      </c>
      <c r="I13" s="3067" t="s">
        <v>2858</v>
      </c>
    </row>
    <row r="14" spans="1:9" ht="16.5">
      <c r="A14" s="3070" t="s">
        <v>2868</v>
      </c>
      <c r="B14" s="3067">
        <f>结果表!L38</f>
        <v>529172.31000000006</v>
      </c>
      <c r="C14" s="3067">
        <f>结果表!K38</f>
        <v>105656.7</v>
      </c>
      <c r="D14" s="3067">
        <f ca="1">结果表!C42</f>
        <v>221769</v>
      </c>
      <c r="E14" s="3067">
        <f ca="1">ROUND(D14*10000/B14,0)</f>
        <v>4191</v>
      </c>
      <c r="F14" s="3067">
        <f ca="1">ROUND(D14*10000/C14,0)</f>
        <v>20990</v>
      </c>
      <c r="G14" s="3067" t="str">
        <f>结果表!C44</f>
        <v>——</v>
      </c>
      <c r="H14" s="3067" t="str">
        <f>结果表!C45</f>
        <v>——</v>
      </c>
      <c r="I14" s="3067" t="str">
        <f>结果表!C46</f>
        <v>——</v>
      </c>
    </row>
    <row r="15" spans="1:9" ht="16.5">
      <c r="A15" s="3070" t="s">
        <v>2859</v>
      </c>
      <c r="B15" s="3071"/>
      <c r="C15" s="3071"/>
      <c r="D15" s="3071"/>
      <c r="E15" s="3067" t="e">
        <f t="shared" ref="E15:E23" si="2">ROUND(D15*10000/B15,0)</f>
        <v>#DIV/0!</v>
      </c>
      <c r="F15" s="3067" t="e">
        <f t="shared" ref="F15:F23" si="3">ROUND(D15*10000/C15,0)</f>
        <v>#DIV/0!</v>
      </c>
      <c r="G15" s="3068"/>
      <c r="H15" s="3068"/>
      <c r="I15" s="3071"/>
    </row>
    <row r="16" spans="1:9" ht="16.5">
      <c r="A16" s="3070" t="s">
        <v>2860</v>
      </c>
      <c r="B16" s="3071"/>
      <c r="C16" s="3071"/>
      <c r="D16" s="3071"/>
      <c r="E16" s="3067" t="e">
        <f t="shared" si="2"/>
        <v>#DIV/0!</v>
      </c>
      <c r="F16" s="3067" t="e">
        <f t="shared" si="3"/>
        <v>#DIV/0!</v>
      </c>
      <c r="G16" s="3068"/>
      <c r="H16" s="3068"/>
      <c r="I16" s="3071"/>
    </row>
    <row r="17" spans="1:9" ht="16.5">
      <c r="A17" s="3070" t="s">
        <v>2861</v>
      </c>
      <c r="B17" s="3071"/>
      <c r="C17" s="3071"/>
      <c r="D17" s="3071"/>
      <c r="E17" s="3067" t="e">
        <f t="shared" si="2"/>
        <v>#DIV/0!</v>
      </c>
      <c r="F17" s="3067" t="e">
        <f t="shared" si="3"/>
        <v>#DIV/0!</v>
      </c>
      <c r="G17" s="3068"/>
      <c r="H17" s="3068"/>
      <c r="I17" s="3071"/>
    </row>
    <row r="18" spans="1:9" ht="16.5">
      <c r="A18" s="3070" t="s">
        <v>2862</v>
      </c>
      <c r="B18" s="3071"/>
      <c r="C18" s="3071"/>
      <c r="D18" s="3071"/>
      <c r="E18" s="3067" t="e">
        <f t="shared" si="2"/>
        <v>#DIV/0!</v>
      </c>
      <c r="F18" s="3067" t="e">
        <f t="shared" si="3"/>
        <v>#DIV/0!</v>
      </c>
      <c r="G18" s="3071"/>
      <c r="H18" s="3071"/>
      <c r="I18" s="3071"/>
    </row>
    <row r="19" spans="1:9" ht="16.5">
      <c r="A19" s="3070" t="s">
        <v>2863</v>
      </c>
      <c r="B19" s="3071"/>
      <c r="C19" s="3071"/>
      <c r="D19" s="3071"/>
      <c r="E19" s="3067" t="e">
        <f t="shared" si="2"/>
        <v>#DIV/0!</v>
      </c>
      <c r="F19" s="3067" t="e">
        <f t="shared" si="3"/>
        <v>#DIV/0!</v>
      </c>
      <c r="G19" s="3071"/>
      <c r="H19" s="3071"/>
      <c r="I19" s="3071"/>
    </row>
    <row r="20" spans="1:9" ht="16.5">
      <c r="A20" s="3070" t="s">
        <v>2864</v>
      </c>
      <c r="B20" s="3071"/>
      <c r="C20" s="3071"/>
      <c r="D20" s="3071"/>
      <c r="E20" s="3067" t="e">
        <f t="shared" si="2"/>
        <v>#DIV/0!</v>
      </c>
      <c r="F20" s="3067" t="e">
        <f t="shared" si="3"/>
        <v>#DIV/0!</v>
      </c>
      <c r="G20" s="3071"/>
      <c r="H20" s="3071"/>
      <c r="I20" s="3071"/>
    </row>
    <row r="21" spans="1:9" ht="16.5">
      <c r="A21" s="3070" t="s">
        <v>2865</v>
      </c>
      <c r="B21" s="3071"/>
      <c r="C21" s="3071"/>
      <c r="D21" s="3071"/>
      <c r="E21" s="3067" t="e">
        <f t="shared" si="2"/>
        <v>#DIV/0!</v>
      </c>
      <c r="F21" s="3067" t="e">
        <f t="shared" si="3"/>
        <v>#DIV/0!</v>
      </c>
      <c r="G21" s="3071"/>
      <c r="H21" s="3071"/>
      <c r="I21" s="3071"/>
    </row>
    <row r="22" spans="1:9" ht="16.5">
      <c r="A22" s="3070" t="s">
        <v>2866</v>
      </c>
      <c r="B22" s="3071"/>
      <c r="C22" s="3071"/>
      <c r="D22" s="3071"/>
      <c r="E22" s="3067" t="e">
        <f t="shared" si="2"/>
        <v>#DIV/0!</v>
      </c>
      <c r="F22" s="3067" t="e">
        <f t="shared" si="3"/>
        <v>#DIV/0!</v>
      </c>
      <c r="G22" s="3071"/>
      <c r="H22" s="3071"/>
      <c r="I22" s="3071"/>
    </row>
    <row r="23" spans="1:9" ht="16.5">
      <c r="A23" s="3070" t="s">
        <v>2867</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110" zoomScaleNormal="100" zoomScaleSheetLayoutView="110" zoomScalePageLayoutView="80" workbookViewId="0">
      <selection activeCell="I49" sqref="I4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70" t="s">
        <v>2054</v>
      </c>
      <c r="B1" s="1771"/>
      <c r="C1" s="1799" t="s">
        <v>2055</v>
      </c>
      <c r="D1" s="1800" t="s">
        <v>3019</v>
      </c>
      <c r="E1" s="1799" t="s">
        <v>2056</v>
      </c>
      <c r="F1" s="1801" t="s">
        <v>3020</v>
      </c>
      <c r="G1" s="309"/>
      <c r="H1" s="309"/>
      <c r="I1" s="309"/>
      <c r="J1" s="2022"/>
      <c r="K1" s="2022"/>
      <c r="L1" s="2022"/>
      <c r="M1" s="2022"/>
      <c r="N1" s="2022"/>
      <c r="O1" s="2022"/>
      <c r="P1" s="2022"/>
      <c r="Q1" s="2022"/>
      <c r="R1" s="2022"/>
      <c r="S1" s="2022"/>
      <c r="T1" s="2022"/>
      <c r="U1" s="2022"/>
      <c r="V1" s="2022"/>
    </row>
    <row r="2" spans="1:22" ht="21.75" customHeight="1" thickBot="1">
      <c r="A2" s="3356" t="str">
        <f>项目基本情况!K2</f>
        <v>武汉市江夏区纸坊街齐心村出让国有建设用地使用权</v>
      </c>
      <c r="B2" s="3357"/>
      <c r="C2" s="3358"/>
      <c r="D2" s="3358"/>
      <c r="E2" s="3358"/>
      <c r="F2" s="3358"/>
      <c r="G2" s="3357"/>
      <c r="H2" s="3357"/>
      <c r="I2" s="3359"/>
      <c r="J2" s="2023"/>
      <c r="K2" s="2022"/>
      <c r="L2" s="2022"/>
      <c r="M2" s="2022"/>
      <c r="N2" s="2022"/>
      <c r="O2" s="2022"/>
      <c r="P2" s="2022"/>
      <c r="Q2" s="2022"/>
      <c r="R2" s="2022"/>
      <c r="S2" s="2022"/>
      <c r="T2" s="2022"/>
      <c r="U2" s="2022"/>
      <c r="V2" s="2022"/>
    </row>
    <row r="3" spans="1:22" ht="14.25">
      <c r="A3" s="3367" t="s">
        <v>298</v>
      </c>
      <c r="B3" s="3368"/>
      <c r="C3" s="3368"/>
      <c r="D3" s="3368"/>
      <c r="E3" s="3368"/>
      <c r="F3" s="3368"/>
      <c r="G3" s="3368"/>
      <c r="H3" s="3368"/>
      <c r="I3" s="3368"/>
      <c r="J3" s="2023"/>
      <c r="K3" s="2022"/>
      <c r="L3" s="2022"/>
      <c r="M3" s="2022"/>
      <c r="N3" s="2022"/>
      <c r="O3" s="2022"/>
      <c r="P3" s="2022"/>
      <c r="Q3" s="2022"/>
      <c r="R3" s="2022"/>
      <c r="S3" s="2022"/>
      <c r="T3" s="2022"/>
      <c r="U3" s="2022"/>
      <c r="V3" s="2022"/>
    </row>
    <row r="4" spans="1:22" ht="14.25">
      <c r="A4" s="256" t="s">
        <v>299</v>
      </c>
      <c r="B4" s="257" t="s">
        <v>300</v>
      </c>
      <c r="C4" s="258" t="s">
        <v>3021</v>
      </c>
      <c r="D4" s="258" t="s">
        <v>3022</v>
      </c>
      <c r="E4" s="3331" t="s">
        <v>301</v>
      </c>
      <c r="F4" s="3373"/>
      <c r="G4" s="3373"/>
      <c r="H4" s="3373"/>
      <c r="I4" s="3332"/>
      <c r="J4" s="2023"/>
      <c r="K4" s="2022"/>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hidden="1">
      <c r="A5" s="3360" t="s">
        <v>302</v>
      </c>
      <c r="B5" s="3361">
        <v>25</v>
      </c>
      <c r="C5" s="3369"/>
      <c r="D5" s="3372"/>
      <c r="E5" s="259" t="s">
        <v>303</v>
      </c>
      <c r="F5" s="260"/>
      <c r="G5" s="260"/>
      <c r="H5" s="260"/>
      <c r="I5" s="261"/>
      <c r="J5" s="2023"/>
      <c r="K5" s="2022"/>
      <c r="L5" s="2022"/>
      <c r="M5" s="2022"/>
      <c r="N5" s="2022"/>
      <c r="O5" s="2022"/>
      <c r="P5" s="2022"/>
      <c r="Q5" s="2022"/>
      <c r="R5" s="2022"/>
      <c r="S5" s="2022"/>
      <c r="T5" s="2022"/>
      <c r="U5" s="2022"/>
      <c r="V5" s="2022"/>
    </row>
    <row r="6" spans="1:22" ht="14.25" hidden="1">
      <c r="A6" s="3360"/>
      <c r="B6" s="3361"/>
      <c r="C6" s="3370"/>
      <c r="D6" s="3372"/>
      <c r="E6" s="259" t="s">
        <v>304</v>
      </c>
      <c r="F6" s="260"/>
      <c r="G6" s="260"/>
      <c r="H6" s="260"/>
      <c r="I6" s="261"/>
      <c r="J6" s="2023"/>
      <c r="K6" s="2022"/>
      <c r="L6" s="2022"/>
      <c r="M6" s="2022"/>
      <c r="N6" s="2022"/>
      <c r="O6" s="2022"/>
      <c r="P6" s="2022"/>
      <c r="Q6" s="2022"/>
      <c r="R6" s="2022"/>
      <c r="S6" s="2022"/>
      <c r="T6" s="2022"/>
      <c r="U6" s="2022"/>
      <c r="V6" s="2022"/>
    </row>
    <row r="7" spans="1:22" ht="14.25" hidden="1">
      <c r="A7" s="3360"/>
      <c r="B7" s="3361"/>
      <c r="C7" s="3371"/>
      <c r="D7" s="3372"/>
      <c r="E7" s="259" t="s">
        <v>305</v>
      </c>
      <c r="F7" s="260"/>
      <c r="G7" s="260"/>
      <c r="H7" s="260"/>
      <c r="I7" s="261"/>
      <c r="J7" s="2023"/>
      <c r="K7" s="2022"/>
      <c r="L7" s="2022"/>
      <c r="M7" s="2022"/>
      <c r="N7" s="2022"/>
      <c r="O7" s="2022"/>
      <c r="P7" s="2022"/>
      <c r="Q7" s="2022"/>
      <c r="R7" s="2022"/>
      <c r="S7" s="2022"/>
      <c r="T7" s="2022"/>
      <c r="U7" s="2022"/>
      <c r="V7" s="2022"/>
    </row>
    <row r="8" spans="1:22" ht="14.25" hidden="1">
      <c r="A8" s="3360" t="s">
        <v>306</v>
      </c>
      <c r="B8" s="3361">
        <v>15</v>
      </c>
      <c r="C8" s="3369"/>
      <c r="D8" s="3372"/>
      <c r="E8" s="259" t="s">
        <v>307</v>
      </c>
      <c r="F8" s="260"/>
      <c r="G8" s="260"/>
      <c r="H8" s="260"/>
      <c r="I8" s="261"/>
      <c r="J8" s="2023"/>
      <c r="K8" s="2022"/>
      <c r="L8" s="2022"/>
      <c r="M8" s="2022"/>
      <c r="N8" s="2022"/>
      <c r="O8" s="2022"/>
      <c r="P8" s="2022"/>
      <c r="Q8" s="2022"/>
      <c r="R8" s="2022"/>
      <c r="S8" s="2022"/>
      <c r="T8" s="2022"/>
      <c r="U8" s="2022"/>
      <c r="V8" s="2022"/>
    </row>
    <row r="9" spans="1:22" ht="14.25" hidden="1">
      <c r="A9" s="3360"/>
      <c r="B9" s="3361"/>
      <c r="C9" s="3371"/>
      <c r="D9" s="3372"/>
      <c r="E9" s="259" t="s">
        <v>308</v>
      </c>
      <c r="F9" s="260"/>
      <c r="G9" s="260"/>
      <c r="H9" s="260"/>
      <c r="I9" s="261"/>
      <c r="J9" s="2023"/>
      <c r="K9" s="2022"/>
      <c r="L9" s="2022"/>
      <c r="M9" s="2022"/>
      <c r="N9" s="2022"/>
      <c r="O9" s="2022"/>
      <c r="P9" s="2022"/>
      <c r="Q9" s="2022"/>
      <c r="R9" s="2022"/>
      <c r="S9" s="2022"/>
      <c r="T9" s="2022"/>
      <c r="U9" s="2022"/>
      <c r="V9" s="2022"/>
    </row>
    <row r="10" spans="1:22" ht="14.25" hidden="1">
      <c r="A10" s="3360" t="s">
        <v>309</v>
      </c>
      <c r="B10" s="3361">
        <v>15</v>
      </c>
      <c r="C10" s="3369"/>
      <c r="D10" s="3372"/>
      <c r="E10" s="259" t="s">
        <v>310</v>
      </c>
      <c r="F10" s="260"/>
      <c r="G10" s="260"/>
      <c r="H10" s="260"/>
      <c r="I10" s="261"/>
      <c r="J10" s="2023"/>
      <c r="K10" s="2022"/>
      <c r="L10" s="2022"/>
      <c r="M10" s="2022"/>
      <c r="N10" s="2022"/>
      <c r="O10" s="2022"/>
      <c r="P10" s="2022"/>
      <c r="Q10" s="2022"/>
      <c r="R10" s="2022"/>
      <c r="S10" s="2022"/>
      <c r="T10" s="2022"/>
      <c r="U10" s="2022"/>
      <c r="V10" s="2022"/>
    </row>
    <row r="11" spans="1:22" ht="14.25" hidden="1">
      <c r="A11" s="3360"/>
      <c r="B11" s="3361"/>
      <c r="C11" s="3371"/>
      <c r="D11" s="3372"/>
      <c r="E11" s="259" t="s">
        <v>311</v>
      </c>
      <c r="F11" s="260"/>
      <c r="G11" s="260"/>
      <c r="H11" s="260"/>
      <c r="I11" s="261"/>
      <c r="J11" s="2023"/>
      <c r="K11" s="2022"/>
      <c r="L11" s="2022"/>
      <c r="M11" s="2022"/>
      <c r="N11" s="2022"/>
      <c r="O11" s="2022"/>
      <c r="P11" s="2022"/>
      <c r="Q11" s="2022"/>
      <c r="R11" s="2022"/>
      <c r="S11" s="2022"/>
      <c r="T11" s="2022"/>
      <c r="U11" s="2022"/>
      <c r="V11" s="2022"/>
    </row>
    <row r="12" spans="1:22" ht="14.25" hidden="1">
      <c r="A12" s="3360" t="s">
        <v>312</v>
      </c>
      <c r="B12" s="3361">
        <v>15</v>
      </c>
      <c r="C12" s="3369"/>
      <c r="D12" s="3372"/>
      <c r="E12" s="259" t="s">
        <v>313</v>
      </c>
      <c r="F12" s="260"/>
      <c r="G12" s="260"/>
      <c r="H12" s="260"/>
      <c r="I12" s="261"/>
      <c r="J12" s="2023"/>
      <c r="K12" s="2022"/>
      <c r="L12" s="2022"/>
      <c r="M12" s="2022"/>
      <c r="N12" s="2022"/>
      <c r="O12" s="2022"/>
      <c r="P12" s="2022"/>
      <c r="Q12" s="2022"/>
      <c r="R12" s="2022"/>
      <c r="S12" s="2022"/>
      <c r="T12" s="2022"/>
      <c r="U12" s="2022"/>
      <c r="V12" s="2022"/>
    </row>
    <row r="13" spans="1:22" ht="14.25" hidden="1">
      <c r="A13" s="3360"/>
      <c r="B13" s="3361"/>
      <c r="C13" s="3371"/>
      <c r="D13" s="3372"/>
      <c r="E13" s="259" t="s">
        <v>314</v>
      </c>
      <c r="F13" s="260"/>
      <c r="G13" s="260"/>
      <c r="H13" s="260"/>
      <c r="I13" s="261"/>
      <c r="J13" s="2023"/>
      <c r="K13" s="2022"/>
      <c r="L13" s="2022"/>
      <c r="M13" s="2022"/>
      <c r="N13" s="2022"/>
      <c r="O13" s="2022"/>
      <c r="P13" s="2022"/>
      <c r="Q13" s="2022"/>
      <c r="R13" s="2022"/>
      <c r="S13" s="2022"/>
      <c r="T13" s="2022"/>
      <c r="U13" s="2022"/>
      <c r="V13" s="2022"/>
    </row>
    <row r="14" spans="1:22" ht="14.25" hidden="1">
      <c r="A14" s="3360" t="s">
        <v>315</v>
      </c>
      <c r="B14" s="3361">
        <v>30</v>
      </c>
      <c r="C14" s="3369">
        <v>50</v>
      </c>
      <c r="D14" s="3372">
        <f>100-C14</f>
        <v>50</v>
      </c>
      <c r="E14" s="259" t="s">
        <v>316</v>
      </c>
      <c r="F14" s="260"/>
      <c r="G14" s="260"/>
      <c r="H14" s="260"/>
      <c r="I14" s="261"/>
      <c r="J14" s="2023"/>
      <c r="K14" s="2022"/>
      <c r="L14" s="2022"/>
      <c r="M14" s="2022"/>
      <c r="N14" s="2022"/>
      <c r="O14" s="2022"/>
      <c r="P14" s="2022"/>
      <c r="Q14" s="2022"/>
      <c r="R14" s="2022"/>
      <c r="S14" s="2022"/>
      <c r="T14" s="2022"/>
      <c r="U14" s="2022"/>
      <c r="V14" s="2022"/>
    </row>
    <row r="15" spans="1:22" ht="14.25" hidden="1">
      <c r="A15" s="3360"/>
      <c r="B15" s="3361"/>
      <c r="C15" s="3370"/>
      <c r="D15" s="3372"/>
      <c r="E15" s="259" t="s">
        <v>317</v>
      </c>
      <c r="F15" s="260"/>
      <c r="G15" s="260"/>
      <c r="H15" s="260"/>
      <c r="I15" s="261"/>
      <c r="J15" s="2023"/>
      <c r="K15" s="2022"/>
      <c r="L15" s="2022"/>
      <c r="M15" s="2022"/>
      <c r="N15" s="2022"/>
      <c r="O15" s="2022"/>
      <c r="P15" s="2022"/>
      <c r="Q15" s="2022"/>
      <c r="R15" s="2022"/>
      <c r="S15" s="2022"/>
      <c r="T15" s="2022"/>
      <c r="U15" s="2022"/>
      <c r="V15" s="2022"/>
    </row>
    <row r="16" spans="1:22" ht="14.25">
      <c r="A16" s="3360"/>
      <c r="B16" s="3361"/>
      <c r="C16" s="3371"/>
      <c r="D16" s="3372"/>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50</v>
      </c>
      <c r="D17" s="263">
        <f>SUM(D5:D16)</f>
        <v>50</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0.5</v>
      </c>
      <c r="D18" s="265">
        <f>1-C18</f>
        <v>0.5</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218228</v>
      </c>
      <c r="D19" s="269">
        <f ca="1">SUMIF(INDIRECT("'"&amp;D4&amp;"'"&amp;"!A:A"),结果表!B19,INDIRECT("'"&amp;D4&amp;"'"&amp;"!B:B"))</f>
        <v>225309</v>
      </c>
      <c r="E19" s="266" t="s">
        <v>323</v>
      </c>
      <c r="F19" s="267" t="s">
        <v>322</v>
      </c>
      <c r="G19" s="270">
        <f ca="1">ROUND(C19*$C$18+D19*$D$18,0)</f>
        <v>221769</v>
      </c>
      <c r="H19" s="271" t="s">
        <v>324</v>
      </c>
      <c r="I19" s="309"/>
      <c r="J19" s="2022"/>
      <c r="K19" s="2022"/>
      <c r="L19" s="3214" t="s">
        <v>3225</v>
      </c>
      <c r="M19" s="2022"/>
      <c r="N19" s="2022"/>
      <c r="O19" s="2022"/>
      <c r="P19" s="2022"/>
      <c r="Q19" s="2022"/>
      <c r="R19" s="2022"/>
      <c r="S19" s="2022"/>
      <c r="T19" s="2022"/>
      <c r="U19" s="2022"/>
      <c r="V19" s="2022"/>
    </row>
    <row r="20" spans="1:26" ht="15">
      <c r="A20" s="272"/>
      <c r="B20" s="273" t="s">
        <v>325</v>
      </c>
      <c r="C20" s="274">
        <f ca="1">SUMIF(INDIRECT("'"&amp;C4&amp;"'"&amp;"!A:A"),结果表!B20,INDIRECT("'"&amp;C4&amp;"'"&amp;"!B:B"))</f>
        <v>4124</v>
      </c>
      <c r="D20" s="275">
        <f ca="1">SUMIF(INDIRECT("'"&amp;D4&amp;"'"&amp;"!A:A"),结果表!B20,INDIRECT("'"&amp;D4&amp;"'"&amp;"!B:B"))</f>
        <v>4258</v>
      </c>
      <c r="E20" s="272"/>
      <c r="F20" s="273" t="s">
        <v>325</v>
      </c>
      <c r="G20" s="276">
        <f ca="1">ROUND(C20*$C$18+D20*$D$18,0)</f>
        <v>4191</v>
      </c>
      <c r="H20" s="277" t="s">
        <v>326</v>
      </c>
      <c r="I20" s="309"/>
      <c r="J20" s="2022"/>
      <c r="K20" s="2022"/>
      <c r="L20" s="3215">
        <f ca="1">G19/'数据-汇总表'!F27*10000</f>
        <v>5792.4760419686727</v>
      </c>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20654</v>
      </c>
      <c r="D21" s="151">
        <f ca="1">SUMIF(INDIRECT("'"&amp;D4&amp;"'"&amp;"!A:A"),结果表!B21,INDIRECT("'"&amp;D4&amp;"'"&amp;"!B:B"))</f>
        <v>21325</v>
      </c>
      <c r="E21" s="272"/>
      <c r="F21" s="278" t="s">
        <v>327</v>
      </c>
      <c r="G21" s="280">
        <f ca="1">ROUND(C21*$C$18+D21*$D$18,0)</f>
        <v>20990</v>
      </c>
      <c r="H21" s="1246" t="s">
        <v>326</v>
      </c>
      <c r="I21" s="309"/>
      <c r="J21" s="2022"/>
      <c r="K21" s="2022"/>
      <c r="L21" s="2022"/>
      <c r="M21" s="2022"/>
      <c r="N21" s="2022"/>
      <c r="O21" s="2022"/>
      <c r="P21" s="2022"/>
      <c r="Q21" s="2022"/>
      <c r="R21" s="2022"/>
      <c r="S21" s="2022"/>
      <c r="T21" s="2022"/>
      <c r="U21" s="2022"/>
      <c r="V21" s="2022"/>
    </row>
    <row r="22" spans="1:26" ht="15.75" thickBot="1">
      <c r="A22" s="126" t="s">
        <v>328</v>
      </c>
      <c r="B22" s="1247"/>
      <c r="C22" s="1248"/>
      <c r="D22" s="281">
        <f ca="1">IF(C19&lt;D19,D19/C19-1,C19/D19-1)</f>
        <v>3.2447715233608898E-2</v>
      </c>
      <c r="E22" s="282"/>
      <c r="F22" s="283"/>
      <c r="G22" s="284">
        <f ca="1">ROUND(G19/('数据-汇总表'!D3/666.67),0)</f>
        <v>1399</v>
      </c>
      <c r="H22" s="285" t="s">
        <v>329</v>
      </c>
      <c r="I22" s="309"/>
      <c r="J22" s="2022"/>
      <c r="K22" s="2022"/>
      <c r="L22" s="2022"/>
      <c r="M22" s="2022"/>
      <c r="N22" s="2022"/>
      <c r="O22" s="2022"/>
      <c r="P22" s="2022"/>
      <c r="Q22" s="2022"/>
      <c r="R22" s="2022"/>
      <c r="S22" s="2022"/>
      <c r="T22" s="2022"/>
      <c r="U22" s="2022"/>
      <c r="V22" s="2022"/>
    </row>
    <row r="23" spans="1:26" ht="13.5" hidden="1"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hidden="1" thickBot="1">
      <c r="A24" s="3333"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hidden="1">
      <c r="A25" s="3375"/>
      <c r="B25" s="1316" t="s">
        <v>331</v>
      </c>
      <c r="C25" s="288">
        <f>IF(B30=0,0,C30)</f>
        <v>0</v>
      </c>
      <c r="D25" s="289"/>
      <c r="E25" s="309"/>
      <c r="F25" s="309"/>
      <c r="G25" s="309"/>
      <c r="H25" s="309"/>
      <c r="I25" s="309"/>
      <c r="J25" s="2022"/>
      <c r="K25" s="1250" t="str">
        <f ca="1">项目基本情况!B16&amp;"国有建设用地使用权价格："&amp;O38&amp;"万元"</f>
        <v>出让国有建设用地使用权价格：221769万元</v>
      </c>
      <c r="L25" s="1251"/>
      <c r="M25" s="1251"/>
      <c r="N25" s="1251"/>
      <c r="O25" s="1252"/>
      <c r="P25" s="2022"/>
      <c r="Q25" s="2022"/>
      <c r="R25" s="2022"/>
      <c r="S25" s="2022"/>
      <c r="T25" s="2022"/>
      <c r="U25" s="2022"/>
      <c r="V25" s="2022"/>
    </row>
    <row r="26" spans="1:26" s="1249" customFormat="1" ht="18" hidden="1">
      <c r="A26" s="291" t="s">
        <v>332</v>
      </c>
      <c r="B26" s="292" t="s">
        <v>333</v>
      </c>
      <c r="C26" s="292" t="s">
        <v>334</v>
      </c>
      <c r="D26" s="293" t="s">
        <v>335</v>
      </c>
      <c r="E26" s="309"/>
      <c r="F26" s="309"/>
      <c r="G26" s="309"/>
      <c r="H26" s="309"/>
      <c r="I26" s="309"/>
      <c r="J26" s="2022"/>
      <c r="K26" s="1253" t="str">
        <f ca="1">"大写金额：人民币"&amp;NUMBERSTRING(INT(O38*10000),2)&amp;"元整"</f>
        <v>大写金额：人民币贰拾贰亿壹仟柒佰陆拾玖万元整</v>
      </c>
      <c r="L26" s="1247"/>
      <c r="M26" s="1247"/>
      <c r="N26" s="1247"/>
      <c r="O26" s="1246"/>
      <c r="P26" s="2022"/>
      <c r="Q26" s="2022"/>
      <c r="R26" s="2022"/>
      <c r="S26" s="2022"/>
      <c r="T26" s="2022"/>
      <c r="U26" s="2022"/>
      <c r="V26" s="2022"/>
      <c r="W26" s="290"/>
      <c r="X26" s="290"/>
      <c r="Y26" s="290"/>
      <c r="Z26" s="290"/>
    </row>
    <row r="27" spans="1:26" ht="18" hidden="1">
      <c r="A27" s="291"/>
      <c r="B27" s="292"/>
      <c r="C27" s="292"/>
      <c r="D27" s="293"/>
      <c r="E27" s="309"/>
      <c r="F27" s="309"/>
      <c r="G27" s="309"/>
      <c r="H27" s="309"/>
      <c r="I27" s="309"/>
      <c r="J27" s="2022"/>
      <c r="K27" s="1253" t="str">
        <f ca="1">"单位面积地价："&amp;M38&amp;"元/平方米"</f>
        <v>单位面积地价：20990元/平方米</v>
      </c>
      <c r="L27" s="1247"/>
      <c r="M27" s="1247"/>
      <c r="N27" s="1247"/>
      <c r="O27" s="1246"/>
      <c r="P27" s="2022"/>
      <c r="Q27" s="2022"/>
      <c r="R27" s="2022"/>
      <c r="S27" s="2022"/>
      <c r="T27" s="2022"/>
      <c r="U27" s="2022"/>
      <c r="V27" s="2022"/>
    </row>
    <row r="28" spans="1:26" ht="18.75" hidden="1" customHeight="1">
      <c r="A28" s="291"/>
      <c r="B28" s="292"/>
      <c r="C28" s="292"/>
      <c r="D28" s="293"/>
      <c r="E28" s="309"/>
      <c r="F28" s="309"/>
      <c r="G28" s="309"/>
      <c r="H28" s="309"/>
      <c r="I28" s="309"/>
      <c r="J28" s="2022"/>
      <c r="K28" s="1253" t="str">
        <f ca="1">"楼面地价："&amp;N38&amp;"元/平方米"</f>
        <v>楼面地价：4191元/平方米</v>
      </c>
      <c r="L28" s="1247"/>
      <c r="M28" s="1247"/>
      <c r="N28" s="1247"/>
      <c r="O28" s="1246"/>
      <c r="P28" s="2022"/>
      <c r="V28" s="2022"/>
    </row>
    <row r="29" spans="1:26" ht="18" hidden="1">
      <c r="A29" s="291"/>
      <c r="B29" s="292"/>
      <c r="C29" s="292"/>
      <c r="D29" s="293"/>
      <c r="E29" s="309"/>
      <c r="F29" s="309"/>
      <c r="G29" s="309"/>
      <c r="H29" s="309"/>
      <c r="I29" s="309"/>
      <c r="J29" s="2022"/>
      <c r="K29" s="1253" t="str">
        <f>IF(OR(项目基本情况!E8="抵押价格",项目基本情况!E8="已注销及未注销"),"抵押价格："&amp;O39&amp;"万元","——")</f>
        <v>——</v>
      </c>
      <c r="L29" s="1247"/>
      <c r="M29" s="1247"/>
      <c r="N29" s="1247"/>
      <c r="O29" s="1246"/>
      <c r="P29" s="2022"/>
      <c r="V29" s="2022"/>
    </row>
    <row r="30" spans="1:26" ht="18.75" hidden="1" thickBot="1">
      <c r="A30" s="3154" t="s">
        <v>336</v>
      </c>
      <c r="B30" s="307"/>
      <c r="C30" s="307"/>
      <c r="D30" s="308"/>
      <c r="E30" s="3155" t="s">
        <v>2958</v>
      </c>
      <c r="F30" s="309"/>
      <c r="G30" s="309"/>
      <c r="H30" s="309"/>
      <c r="I30" s="309"/>
      <c r="J30" s="2022"/>
      <c r="K30" s="1253" t="str">
        <f>IF(K29="——","——","大写金额：人民币"&amp;NUMBERSTRING(INT(O39*10000),2)&amp;"元整")</f>
        <v>——</v>
      </c>
      <c r="L30" s="1247"/>
      <c r="M30" s="1247"/>
      <c r="N30" s="1247"/>
      <c r="O30" s="1246"/>
      <c r="P30" s="2022"/>
      <c r="V30" s="2022"/>
    </row>
    <row r="31" spans="1:26" ht="24" hidden="1" customHeight="1" thickBot="1">
      <c r="A31" s="309"/>
      <c r="B31" s="309"/>
      <c r="C31" s="309"/>
      <c r="D31" s="309"/>
      <c r="E31" s="309"/>
      <c r="F31" s="309"/>
      <c r="G31" s="309"/>
      <c r="H31" s="309"/>
      <c r="I31" s="309"/>
      <c r="J31" s="2022"/>
      <c r="K31" s="2486" t="str">
        <f>IF(项目基本情况!E8="抵押价格","——","抵押担保权已注销时的抵押价格："&amp;O40&amp;"万元")</f>
        <v>抵押担保权已注销时的抵押价格：——万元</v>
      </c>
      <c r="L31" s="2482"/>
      <c r="M31" s="2482"/>
      <c r="N31" s="2482"/>
      <c r="O31" s="2483"/>
      <c r="P31" s="2022"/>
      <c r="V31" s="2022"/>
    </row>
    <row r="32" spans="1:26" ht="18.75" thickBot="1">
      <c r="A32" s="266" t="s">
        <v>337</v>
      </c>
      <c r="B32" s="1376" t="s">
        <v>1688</v>
      </c>
      <c r="C32" s="1377">
        <f ca="1">G19-C24</f>
        <v>221769</v>
      </c>
      <c r="D32" s="1378" t="s">
        <v>1689</v>
      </c>
      <c r="E32" s="309"/>
      <c r="F32" s="309"/>
      <c r="G32" s="309"/>
      <c r="H32" s="309"/>
      <c r="I32" s="309"/>
      <c r="J32" s="2022"/>
      <c r="K32" s="2481" t="e">
        <f>IF(K31="——","——","大写金额：人民币"&amp;NUMBERSTRING(INT(O40*10000),2)&amp;"元整")</f>
        <v>#VALUE!</v>
      </c>
      <c r="L32" s="2484"/>
      <c r="M32" s="2484"/>
      <c r="N32" s="2484"/>
      <c r="O32" s="2485"/>
      <c r="P32" s="2022"/>
      <c r="V32" s="2022"/>
    </row>
    <row r="33" spans="1:26" ht="18.75" thickBot="1">
      <c r="A33" s="296" t="s">
        <v>340</v>
      </c>
      <c r="B33" s="1379" t="s">
        <v>1690</v>
      </c>
      <c r="C33" s="262">
        <f ca="1">ROUND(C32*10000/'数据-汇总表'!E3,0)</f>
        <v>4191</v>
      </c>
      <c r="D33" s="1380" t="s">
        <v>1691</v>
      </c>
      <c r="E33" s="3333" t="s">
        <v>338</v>
      </c>
      <c r="F33" s="294" t="s">
        <v>339</v>
      </c>
      <c r="G33" s="295"/>
      <c r="H33" s="975"/>
      <c r="I33" s="1254"/>
      <c r="J33" s="2022"/>
      <c r="K33" s="1253" t="str">
        <f>IF(项目基本情况!E9="——","——","抵押净值："&amp;C46&amp;"万元")</f>
        <v>抵押净值：——万元</v>
      </c>
      <c r="L33" s="1247"/>
      <c r="M33" s="1247"/>
      <c r="N33" s="1247"/>
      <c r="O33" s="1246"/>
      <c r="P33" s="2022"/>
      <c r="V33" s="2022"/>
    </row>
    <row r="34" spans="1:26" s="1249" customFormat="1" ht="18.75" thickBot="1">
      <c r="A34" s="298"/>
      <c r="B34" s="1381" t="s">
        <v>1692</v>
      </c>
      <c r="C34" s="262">
        <f ca="1">ROUND(C32*10000/'数据-汇总表'!D3,0)</f>
        <v>20990</v>
      </c>
      <c r="D34" s="1382" t="s">
        <v>1691</v>
      </c>
      <c r="E34" s="3334"/>
      <c r="F34" s="127" t="s">
        <v>341</v>
      </c>
      <c r="G34" s="297"/>
      <c r="H34" s="105"/>
      <c r="I34" s="309"/>
      <c r="J34" s="2022"/>
      <c r="K34" s="1256" t="e">
        <f>IF(K33="——","——","大写金额：人民币"&amp;NUMBERSTRING(INT(O41*10000),2)&amp;"元整")</f>
        <v>#VALUE!</v>
      </c>
      <c r="L34" s="1257"/>
      <c r="M34" s="1257"/>
      <c r="N34" s="1257"/>
      <c r="O34" s="1258"/>
      <c r="P34" s="2022"/>
      <c r="Q34" s="290"/>
      <c r="R34" s="290"/>
      <c r="S34" s="290"/>
      <c r="T34" s="290"/>
      <c r="U34" s="290"/>
      <c r="V34" s="2022"/>
      <c r="W34" s="290"/>
      <c r="X34" s="290"/>
      <c r="Y34" s="290"/>
      <c r="Z34" s="290"/>
    </row>
    <row r="35" spans="1:26" ht="15.75" thickBot="1">
      <c r="A35" s="282"/>
      <c r="B35" s="1383"/>
      <c r="C35" s="1384">
        <f ca="1">ROUND(C32/('数据-汇总表'!D3/666.67),0)</f>
        <v>1399</v>
      </c>
      <c r="D35" s="1385" t="s">
        <v>1693</v>
      </c>
      <c r="E35" s="3335"/>
      <c r="F35" s="299" t="s">
        <v>342</v>
      </c>
      <c r="G35" s="977"/>
      <c r="H35" s="976" t="s">
        <v>343</v>
      </c>
      <c r="I35" s="309"/>
      <c r="J35" s="2022"/>
      <c r="K35" s="3339" t="s">
        <v>350</v>
      </c>
      <c r="L35" s="3339" t="s">
        <v>351</v>
      </c>
      <c r="M35" s="1259" t="s">
        <v>352</v>
      </c>
      <c r="N35" s="3339" t="s">
        <v>353</v>
      </c>
      <c r="O35" s="3339" t="s">
        <v>354</v>
      </c>
      <c r="P35" s="2022"/>
      <c r="V35" s="2022"/>
    </row>
    <row r="36" spans="1:26" ht="16.5" customHeight="1">
      <c r="A36" s="301" t="s">
        <v>344</v>
      </c>
      <c r="B36" s="302" t="s">
        <v>333</v>
      </c>
      <c r="C36" s="303" t="s">
        <v>345</v>
      </c>
      <c r="D36" s="303" t="s">
        <v>346</v>
      </c>
      <c r="E36" s="304" t="s">
        <v>347</v>
      </c>
      <c r="F36" s="309"/>
      <c r="G36" s="309"/>
      <c r="H36" s="309"/>
      <c r="I36" s="309"/>
      <c r="J36" s="2024"/>
      <c r="K36" s="3340"/>
      <c r="L36" s="3340"/>
      <c r="M36" s="1261" t="s">
        <v>355</v>
      </c>
      <c r="N36" s="3340"/>
      <c r="O36" s="3340"/>
      <c r="P36" s="2022"/>
      <c r="V36" s="2022"/>
    </row>
    <row r="37" spans="1:26" ht="16.5" customHeight="1" thickBot="1">
      <c r="A37" s="1255" t="s">
        <v>348</v>
      </c>
      <c r="B37" s="305"/>
      <c r="C37" s="292"/>
      <c r="D37" s="292"/>
      <c r="E37" s="293"/>
      <c r="F37" s="309"/>
      <c r="G37" s="309"/>
      <c r="H37" s="309"/>
      <c r="I37" s="309"/>
      <c r="J37" s="2024"/>
      <c r="K37" s="3341"/>
      <c r="L37" s="3341"/>
      <c r="M37" s="1262"/>
      <c r="N37" s="3341"/>
      <c r="O37" s="3341"/>
      <c r="P37" s="2022"/>
      <c r="V37" s="2022"/>
    </row>
    <row r="38" spans="1:26" ht="16.5" customHeight="1" thickBot="1">
      <c r="A38" s="1255" t="s">
        <v>349</v>
      </c>
      <c r="B38" s="305"/>
      <c r="C38" s="292"/>
      <c r="D38" s="292"/>
      <c r="E38" s="293"/>
      <c r="F38" s="309"/>
      <c r="G38" s="309"/>
      <c r="H38" s="309"/>
      <c r="I38" s="309"/>
      <c r="J38" s="2024"/>
      <c r="K38" s="1263">
        <f>'数据-汇总表'!D3</f>
        <v>105656.7</v>
      </c>
      <c r="L38" s="1264">
        <f>'数据-汇总表'!E3</f>
        <v>529172.31000000006</v>
      </c>
      <c r="M38" s="1264">
        <f ca="1">C34</f>
        <v>20990</v>
      </c>
      <c r="N38" s="1264">
        <f ca="1">C33</f>
        <v>4191</v>
      </c>
      <c r="O38" s="1265">
        <f ca="1">C32</f>
        <v>221769</v>
      </c>
      <c r="P38" s="2022"/>
      <c r="V38" s="2022"/>
    </row>
    <row r="39" spans="1:26" ht="16.5" customHeight="1" thickBot="1">
      <c r="A39" s="1260"/>
      <c r="B39" s="306"/>
      <c r="C39" s="307"/>
      <c r="D39" s="307"/>
      <c r="E39" s="308"/>
      <c r="F39" s="309"/>
      <c r="G39" s="309"/>
      <c r="H39" s="309"/>
      <c r="I39" s="309"/>
      <c r="J39" s="2024"/>
      <c r="K39" s="3316" t="str">
        <f>MID(A44,3,LEN(A44)-2)</f>
        <v/>
      </c>
      <c r="L39" s="3317"/>
      <c r="M39" s="3317"/>
      <c r="N39" s="3318"/>
      <c r="O39" s="1387" t="str">
        <f>C44</f>
        <v>——</v>
      </c>
      <c r="P39" s="2022"/>
      <c r="V39" s="2022"/>
    </row>
    <row r="40" spans="1:26" ht="19.5" thickBot="1">
      <c r="A40" s="104" t="s">
        <v>872</v>
      </c>
      <c r="B40" s="309"/>
      <c r="C40" s="309"/>
      <c r="D40" s="309"/>
      <c r="E40" s="309"/>
      <c r="F40" s="309"/>
      <c r="G40" s="309"/>
      <c r="H40" s="309"/>
      <c r="I40" s="309"/>
      <c r="J40" s="2024"/>
      <c r="K40" s="3316" t="str">
        <f t="shared" ref="K40:K41" si="0">MID(A45,3,LEN(A45)-2)</f>
        <v/>
      </c>
      <c r="L40" s="3317"/>
      <c r="M40" s="3317"/>
      <c r="N40" s="3318"/>
      <c r="O40" s="1387" t="str">
        <f>C45</f>
        <v>——</v>
      </c>
      <c r="P40" s="2022"/>
      <c r="V40" s="2022"/>
    </row>
    <row r="41" spans="1:26" ht="16.5" thickBot="1">
      <c r="A41" s="310" t="s">
        <v>356</v>
      </c>
      <c r="B41" s="311"/>
      <c r="C41" s="312" t="s">
        <v>357</v>
      </c>
      <c r="D41" s="313" t="s">
        <v>358</v>
      </c>
      <c r="E41" s="313" t="s">
        <v>359</v>
      </c>
      <c r="F41" s="314" t="s">
        <v>360</v>
      </c>
      <c r="G41" s="309"/>
      <c r="H41" s="309"/>
      <c r="I41" s="309"/>
      <c r="J41" s="2024"/>
      <c r="K41" s="3316" t="str">
        <f t="shared" si="0"/>
        <v/>
      </c>
      <c r="L41" s="3317"/>
      <c r="M41" s="3317"/>
      <c r="N41" s="3318"/>
      <c r="O41" s="1387" t="str">
        <f>C46</f>
        <v>——</v>
      </c>
      <c r="P41" s="2022"/>
      <c r="V41" s="2022"/>
    </row>
    <row r="42" spans="1:26" ht="29.25">
      <c r="A42" s="3376" t="s">
        <v>2066</v>
      </c>
      <c r="B42" s="3377"/>
      <c r="C42" s="262">
        <f ca="1">C32</f>
        <v>221769</v>
      </c>
      <c r="D42" s="315">
        <f ca="1">C33</f>
        <v>4191</v>
      </c>
      <c r="E42" s="315">
        <f ca="1">C34</f>
        <v>20990</v>
      </c>
      <c r="F42" s="316">
        <f ca="1">C35</f>
        <v>1399</v>
      </c>
      <c r="G42" s="309"/>
      <c r="H42" s="309"/>
      <c r="I42" s="317"/>
      <c r="J42" s="2024"/>
      <c r="K42" s="1266" t="s">
        <v>361</v>
      </c>
      <c r="L42" s="2041" t="s">
        <v>362</v>
      </c>
      <c r="M42" s="1267" t="s">
        <v>363</v>
      </c>
      <c r="N42" s="2042" t="s">
        <v>364</v>
      </c>
      <c r="O42" s="2043" t="s">
        <v>365</v>
      </c>
      <c r="P42" s="2022"/>
      <c r="V42" s="2022"/>
    </row>
    <row r="43" spans="1:26" ht="30">
      <c r="A43" s="3386" t="s">
        <v>2728</v>
      </c>
      <c r="B43" s="3387"/>
      <c r="C43" s="262">
        <f>IF(H33="正常操作",G33+G34+G35,G34+G35)</f>
        <v>0</v>
      </c>
      <c r="D43" s="315" t="s">
        <v>43</v>
      </c>
      <c r="E43" s="315" t="s">
        <v>44</v>
      </c>
      <c r="F43" s="316" t="s">
        <v>44</v>
      </c>
      <c r="G43" s="2884" t="s">
        <v>951</v>
      </c>
      <c r="H43" s="309"/>
      <c r="I43" s="317"/>
      <c r="J43" s="2024"/>
      <c r="K43" s="1268" t="str">
        <f>C4</f>
        <v>比较法-住宅、综合</v>
      </c>
      <c r="L43" s="1269">
        <f ca="1">IF(L42="估价结果/万元",C19,C20)</f>
        <v>218228</v>
      </c>
      <c r="M43" s="1270">
        <f>C18</f>
        <v>0.5</v>
      </c>
      <c r="N43" s="1271">
        <f ca="1">IF(N42="测算结果/万元",G19,G20)</f>
        <v>221769</v>
      </c>
      <c r="O43" s="1272">
        <f ca="1">IF(O42="最终结果/万元",C32,C33)</f>
        <v>221769</v>
      </c>
      <c r="P43" s="2022"/>
      <c r="V43" s="2022"/>
    </row>
    <row r="44" spans="1:26" ht="30.75" hidden="1" thickBot="1">
      <c r="A44" s="3376" t="str">
        <f>IF(OR(项目基本情况!E8="抵押价格",项目基本情况!E8="已注销及未注销"),"3.抵押价格","——")</f>
        <v>——</v>
      </c>
      <c r="B44" s="3377"/>
      <c r="C44" s="262" t="str">
        <f>IF(A44="——","——",C42-C43)</f>
        <v>——</v>
      </c>
      <c r="D44" s="315" t="e">
        <f>ROUND(C44*10000/'数据-汇总表'!E3,0)</f>
        <v>#VALUE!</v>
      </c>
      <c r="E44" s="315" t="e">
        <f>ROUND(C44*10000/'数据-汇总表'!D3,0)</f>
        <v>#VALUE!</v>
      </c>
      <c r="F44" s="316" t="e">
        <f>ROUND(C44/('数据-汇总表'!D3/666.67),0)</f>
        <v>#VALUE!</v>
      </c>
      <c r="G44" s="309"/>
      <c r="H44" s="309"/>
      <c r="I44" s="317"/>
      <c r="J44" s="2024"/>
      <c r="K44" s="1273" t="str">
        <f>D4</f>
        <v>剩余法-待开发</v>
      </c>
      <c r="L44" s="1274">
        <f ca="1">IF(L42="估价结果/万元",D19,D20)</f>
        <v>225309</v>
      </c>
      <c r="M44" s="1275">
        <f>D18</f>
        <v>0.5</v>
      </c>
      <c r="N44" s="1276"/>
      <c r="O44" s="1277"/>
      <c r="P44" s="2022"/>
      <c r="V44" s="2022"/>
    </row>
    <row r="45" spans="1:26" ht="15" hidden="1">
      <c r="A45" s="3381" t="str">
        <f>IF(项目基本情况!E8="已注销及未注销","4.抵押担保权已注销时的抵押价格",IF(项目基本情况!E8="已注销","3.抵押担保权已注销时的抵押价格","——"))</f>
        <v>——</v>
      </c>
      <c r="B45" s="3382"/>
      <c r="C45" s="179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hidden="1" thickBot="1">
      <c r="A46" s="3378" t="str">
        <f>IF(项目基本情况!E9="抵押净值",IF(A45="——","4.抵押净值","5.抵押净值"),"——")</f>
        <v>——</v>
      </c>
      <c r="B46" s="3379"/>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8"/>
      <c r="C47" s="320" t="s">
        <v>3211</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5.75">
      <c r="A48" s="3211" t="s">
        <v>3214</v>
      </c>
      <c r="B48" s="3212"/>
      <c r="C48" s="3212"/>
      <c r="D48" s="3213"/>
      <c r="E48" s="3213"/>
      <c r="F48" s="3213"/>
      <c r="G48" s="321"/>
      <c r="H48" s="326"/>
      <c r="I48" s="327"/>
      <c r="J48" s="2024"/>
      <c r="K48" s="2022"/>
      <c r="L48" s="2022"/>
      <c r="M48" s="2022"/>
      <c r="N48" s="2022"/>
      <c r="O48" s="2022"/>
      <c r="P48" s="2022"/>
      <c r="Q48" s="2022"/>
      <c r="R48" s="2022"/>
      <c r="S48" s="2022"/>
      <c r="T48" s="2022"/>
      <c r="U48" s="2022"/>
      <c r="V48" s="2022"/>
    </row>
    <row r="49" spans="1:22" ht="15.75">
      <c r="A49" s="3211" t="s">
        <v>3213</v>
      </c>
      <c r="B49" s="3212"/>
      <c r="C49" s="3212"/>
      <c r="D49" s="3213"/>
      <c r="E49" s="3213"/>
      <c r="F49" s="3213"/>
      <c r="G49" s="321"/>
      <c r="H49" s="326"/>
      <c r="I49" s="327"/>
      <c r="J49" s="2025"/>
      <c r="K49" s="2022"/>
      <c r="L49" s="2022"/>
      <c r="M49" s="2022"/>
      <c r="N49" s="2022"/>
      <c r="O49" s="2022"/>
      <c r="P49" s="2022"/>
      <c r="Q49" s="2022"/>
      <c r="R49" s="2022"/>
      <c r="S49" s="2022"/>
      <c r="T49" s="2022"/>
      <c r="U49" s="2022"/>
      <c r="V49" s="2022"/>
    </row>
    <row r="50" spans="1:22" ht="15.75">
      <c r="A50" s="3211" t="s">
        <v>3212</v>
      </c>
      <c r="B50" s="325"/>
      <c r="C50" s="325"/>
      <c r="D50" s="321"/>
      <c r="E50" s="321"/>
      <c r="F50" s="321"/>
      <c r="G50" s="321"/>
      <c r="H50" s="326"/>
      <c r="I50" s="327"/>
      <c r="J50" s="2025"/>
      <c r="K50" s="2022"/>
      <c r="L50" s="2022"/>
      <c r="M50" s="2022"/>
      <c r="N50" s="2022"/>
      <c r="O50" s="2022"/>
      <c r="P50" s="2022"/>
      <c r="Q50" s="2022"/>
      <c r="R50" s="2022"/>
      <c r="S50" s="2022"/>
      <c r="T50" s="2022"/>
      <c r="U50" s="2022"/>
      <c r="V50" s="2022"/>
    </row>
    <row r="51" spans="1:22" ht="15.75">
      <c r="A51" s="3211" t="s">
        <v>3215</v>
      </c>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5"/>
      <c r="B52" s="325"/>
      <c r="C52" s="325"/>
      <c r="D52" s="321"/>
      <c r="E52" s="321"/>
      <c r="F52" s="321"/>
      <c r="G52" s="321"/>
      <c r="H52" s="326"/>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2" t="s">
        <v>367</v>
      </c>
      <c r="G53" s="333"/>
      <c r="H53" s="333"/>
      <c r="I53" s="334" t="s">
        <v>368</v>
      </c>
      <c r="J53" s="2025"/>
      <c r="K53" s="2022"/>
      <c r="L53" s="2022"/>
      <c r="M53" s="2022"/>
      <c r="N53" s="2022"/>
      <c r="O53" s="2022"/>
      <c r="P53" s="2022"/>
      <c r="Q53" s="2022"/>
      <c r="R53" s="2022"/>
      <c r="S53" s="2022"/>
      <c r="T53" s="2022"/>
      <c r="U53" s="2022"/>
      <c r="V53" s="2022"/>
    </row>
    <row r="54" spans="1:22" ht="12.75">
      <c r="A54" s="255"/>
      <c r="B54" s="335" t="s">
        <v>369</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3"/>
      <c r="C56" s="333"/>
      <c r="D56" s="333"/>
      <c r="E56" s="333"/>
      <c r="F56" s="333"/>
      <c r="G56" s="333"/>
      <c r="H56" s="333"/>
      <c r="I56" s="334" t="s">
        <v>370</v>
      </c>
      <c r="J56" s="2025"/>
      <c r="K56" s="2022"/>
      <c r="L56" s="2022"/>
      <c r="M56" s="2022"/>
      <c r="N56" s="2022"/>
      <c r="O56" s="2022"/>
      <c r="P56" s="2022"/>
      <c r="Q56" s="2022"/>
      <c r="R56" s="2022"/>
      <c r="S56" s="2022"/>
      <c r="T56" s="2022"/>
      <c r="U56" s="2022"/>
      <c r="V56" s="2022"/>
    </row>
    <row r="57" spans="1:22" ht="12.75">
      <c r="A57" s="255"/>
      <c r="B57" s="335" t="s">
        <v>371</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5"/>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3"/>
      <c r="C59" s="333"/>
      <c r="D59" s="333"/>
      <c r="E59" s="333"/>
      <c r="F59" s="333"/>
      <c r="G59" s="333"/>
      <c r="H59" s="333"/>
      <c r="I59" s="334" t="s">
        <v>370</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5"/>
      <c r="C61" s="336"/>
      <c r="D61" s="214"/>
      <c r="E61" s="214"/>
      <c r="F61" s="251"/>
      <c r="G61" s="255"/>
      <c r="H61" s="255"/>
      <c r="I61" s="255"/>
      <c r="J61" s="2025"/>
      <c r="K61" s="2022"/>
      <c r="L61" s="2022"/>
      <c r="M61" s="2022"/>
      <c r="N61" s="2022"/>
      <c r="O61" s="2022"/>
      <c r="P61" s="2022"/>
      <c r="Q61" s="2022"/>
      <c r="R61" s="2022"/>
      <c r="S61" s="2022"/>
      <c r="T61" s="2022"/>
      <c r="U61" s="2022"/>
      <c r="V61" s="2022"/>
    </row>
    <row r="62" spans="1:22" ht="18.75">
      <c r="A62" s="1279" t="s">
        <v>372</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44" t="s">
        <v>373</v>
      </c>
      <c r="B63" s="3345"/>
      <c r="C63" s="3346"/>
      <c r="D63" s="337">
        <f ca="1">ROUND(C42*F63,0)</f>
        <v>133061</v>
      </c>
      <c r="E63" s="300" t="s">
        <v>374</v>
      </c>
      <c r="F63" s="338">
        <v>0.6</v>
      </c>
      <c r="G63" s="339" t="s">
        <v>375</v>
      </c>
      <c r="H63" s="309"/>
      <c r="I63" s="309"/>
      <c r="J63" s="2022"/>
      <c r="K63" s="2022"/>
      <c r="L63" s="2022"/>
      <c r="M63" s="2022"/>
      <c r="N63" s="2022"/>
      <c r="O63" s="2022"/>
      <c r="P63" s="309"/>
      <c r="Q63" s="2022"/>
      <c r="R63" s="2022"/>
      <c r="S63" s="2022"/>
      <c r="T63" s="2022"/>
      <c r="U63" s="2022"/>
      <c r="V63" s="2022"/>
    </row>
    <row r="64" spans="1:22" ht="14.25" customHeight="1">
      <c r="A64" s="3383" t="s">
        <v>377</v>
      </c>
      <c r="B64" s="3384"/>
      <c r="C64" s="3384"/>
      <c r="D64" s="3384"/>
      <c r="E64" s="3384"/>
      <c r="F64" s="3384"/>
      <c r="G64" s="3385"/>
      <c r="H64" s="1283"/>
      <c r="I64" s="943"/>
      <c r="J64" s="1984"/>
      <c r="K64" s="1556" t="s">
        <v>376</v>
      </c>
      <c r="L64" s="11"/>
      <c r="M64" s="11"/>
      <c r="N64" s="11"/>
      <c r="O64" s="11"/>
      <c r="P64" s="309"/>
      <c r="Q64" s="2022"/>
      <c r="R64" s="2022"/>
      <c r="S64" s="2022"/>
      <c r="T64" s="2022"/>
      <c r="U64" s="2022"/>
      <c r="V64" s="2022"/>
    </row>
    <row r="65" spans="1:22" ht="12" customHeight="1">
      <c r="A65" s="340" t="s">
        <v>379</v>
      </c>
      <c r="B65" s="341"/>
      <c r="C65" s="342"/>
      <c r="D65" s="343" t="s">
        <v>380</v>
      </c>
      <c r="E65" s="53" t="s">
        <v>381</v>
      </c>
      <c r="F65" s="344" t="s">
        <v>382</v>
      </c>
      <c r="G65" s="345" t="s">
        <v>383</v>
      </c>
      <c r="H65" s="1283"/>
      <c r="I65" s="943"/>
      <c r="J65" s="1984"/>
      <c r="K65" s="1284"/>
      <c r="L65" s="1285"/>
      <c r="M65" s="1285"/>
      <c r="N65" s="1317" t="s">
        <v>378</v>
      </c>
      <c r="O65" s="1318"/>
      <c r="P65" s="1319"/>
      <c r="Q65" s="2022"/>
      <c r="R65" s="2022"/>
      <c r="S65" s="2022"/>
      <c r="T65" s="2022"/>
      <c r="U65" s="2022"/>
      <c r="V65" s="2022"/>
    </row>
    <row r="66" spans="1:22" ht="25.5">
      <c r="A66" s="3380" t="s">
        <v>385</v>
      </c>
      <c r="B66" s="3351"/>
      <c r="C66" s="3351"/>
      <c r="D66" s="259">
        <f ca="1">IF(H66="情况1",0,IF(H66="情况2",D70,IF(H66="情况3",D71,IF(H66="情况4",D72))))</f>
        <v>7097</v>
      </c>
      <c r="E66" s="988" t="str">
        <f>IF(H66="情况4","(销售额-原购置价)×税（费）率","销售额×税（费）率")</f>
        <v>销售额×税（费）率</v>
      </c>
      <c r="F66" s="346">
        <f>IF(H66="情况1","免征",'数据-取费表'!B41)</f>
        <v>5.6000000000000001E-2</v>
      </c>
      <c r="G66" s="347" t="s">
        <v>386</v>
      </c>
      <c r="H66" s="191" t="s">
        <v>387</v>
      </c>
      <c r="I66" s="1283"/>
      <c r="J66" s="2028"/>
      <c r="K66" s="1286">
        <v>1</v>
      </c>
      <c r="L66" s="3320" t="s">
        <v>384</v>
      </c>
      <c r="M66" s="3321"/>
      <c r="N66" s="2476"/>
      <c r="O66" s="2477"/>
      <c r="P66" s="2478"/>
      <c r="Q66" s="2022"/>
      <c r="R66" s="2022"/>
      <c r="S66" s="2022"/>
      <c r="T66" s="2022"/>
      <c r="U66" s="2022"/>
      <c r="V66" s="2022"/>
    </row>
    <row r="67" spans="1:22" ht="25.5" customHeight="1">
      <c r="A67" s="348" t="s">
        <v>389</v>
      </c>
      <c r="B67" s="3363" t="s">
        <v>390</v>
      </c>
      <c r="C67" s="3363"/>
      <c r="D67" s="349">
        <v>0</v>
      </c>
      <c r="E67" s="41" t="s">
        <v>391</v>
      </c>
      <c r="F67" s="62" t="s">
        <v>21</v>
      </c>
      <c r="G67" s="3347"/>
      <c r="H67" s="309"/>
      <c r="I67" s="1287"/>
      <c r="J67" s="2029"/>
      <c r="K67" s="1970">
        <v>2</v>
      </c>
      <c r="L67" s="3319" t="s">
        <v>388</v>
      </c>
      <c r="M67" s="3319"/>
      <c r="N67" s="1320">
        <f>'数据-取费表'!B2</f>
        <v>43182</v>
      </c>
      <c r="O67" s="1320"/>
      <c r="P67" s="1320"/>
      <c r="Q67" s="2022"/>
      <c r="R67" s="2022"/>
      <c r="S67" s="2022"/>
      <c r="T67" s="2022"/>
      <c r="U67" s="2022"/>
      <c r="V67" s="2022"/>
    </row>
    <row r="68" spans="1:22" ht="25.5" customHeight="1">
      <c r="A68" s="350"/>
      <c r="B68" s="3363" t="s">
        <v>393</v>
      </c>
      <c r="C68" s="3363"/>
      <c r="D68" s="351"/>
      <c r="E68" s="77"/>
      <c r="F68" s="352"/>
      <c r="G68" s="3348"/>
      <c r="H68" s="309"/>
      <c r="I68" s="1287"/>
      <c r="J68" s="2029"/>
      <c r="K68" s="1970">
        <v>3</v>
      </c>
      <c r="L68" s="3319" t="s">
        <v>392</v>
      </c>
      <c r="M68" s="3319"/>
      <c r="N68" s="1288">
        <f ca="1">C42</f>
        <v>221769</v>
      </c>
      <c r="O68" s="1288"/>
      <c r="P68" s="1288"/>
      <c r="Q68" s="2022"/>
      <c r="R68" s="2022"/>
      <c r="S68" s="2022"/>
      <c r="T68" s="2022"/>
      <c r="U68" s="2022"/>
      <c r="V68" s="2022"/>
    </row>
    <row r="69" spans="1:22" ht="12" customHeight="1">
      <c r="A69" s="353"/>
      <c r="B69" s="3363" t="s">
        <v>394</v>
      </c>
      <c r="C69" s="3363"/>
      <c r="D69" s="354"/>
      <c r="E69" s="73"/>
      <c r="F69" s="352"/>
      <c r="G69" s="3349"/>
      <c r="H69" s="309"/>
      <c r="I69" s="1287"/>
      <c r="J69" s="2029"/>
      <c r="K69" s="1289">
        <v>4</v>
      </c>
      <c r="L69" s="3325" t="s">
        <v>2881</v>
      </c>
      <c r="M69" s="3326"/>
      <c r="N69" s="1290" t="str">
        <f>C44</f>
        <v>——</v>
      </c>
      <c r="O69" s="1290"/>
      <c r="P69" s="1290"/>
      <c r="Q69" s="2022"/>
      <c r="R69" s="2022"/>
      <c r="S69" s="2022"/>
      <c r="T69" s="2022"/>
      <c r="U69" s="2022"/>
      <c r="V69" s="2022"/>
    </row>
    <row r="70" spans="1:22" ht="24" customHeight="1">
      <c r="A70" s="355" t="s">
        <v>395</v>
      </c>
      <c r="B70" s="3363" t="s">
        <v>396</v>
      </c>
      <c r="C70" s="3363"/>
      <c r="D70" s="354">
        <f ca="1">ROUND(D63*'数据-取费表'!B41/(1+'数据-取费表'!C42),0)</f>
        <v>7097</v>
      </c>
      <c r="E70" s="17" t="s">
        <v>397</v>
      </c>
      <c r="F70" s="356">
        <f>'数据-取费表'!B41</f>
        <v>5.6000000000000001E-2</v>
      </c>
      <c r="G70" s="357"/>
      <c r="H70" s="309"/>
      <c r="I70" s="1287"/>
      <c r="J70" s="2029"/>
      <c r="K70" s="3080"/>
      <c r="L70" s="3081"/>
      <c r="M70" s="3081"/>
      <c r="N70" s="3082" t="s">
        <v>2886</v>
      </c>
      <c r="O70" s="3081"/>
      <c r="P70" s="3083"/>
      <c r="Q70" s="2022"/>
      <c r="R70" s="2022"/>
      <c r="S70" s="2022"/>
      <c r="T70" s="2022"/>
      <c r="U70" s="2022"/>
      <c r="V70" s="2022"/>
    </row>
    <row r="71" spans="1:22" ht="12" customHeight="1">
      <c r="A71" s="355" t="s">
        <v>403</v>
      </c>
      <c r="B71" s="3362" t="s">
        <v>404</v>
      </c>
      <c r="C71" s="3374"/>
      <c r="D71" s="354">
        <f ca="1">ROUND(D63*'数据-取费表'!B41/(1+'数据-取费表'!C42),0)</f>
        <v>7097</v>
      </c>
      <c r="E71" s="17" t="s">
        <v>397</v>
      </c>
      <c r="F71" s="356">
        <f>'数据-取费表'!B41</f>
        <v>5.6000000000000001E-2</v>
      </c>
      <c r="G71" s="357"/>
      <c r="H71" s="309"/>
      <c r="I71" s="1287"/>
      <c r="J71" s="2029"/>
      <c r="K71" s="3079" t="s">
        <v>398</v>
      </c>
      <c r="L71" s="3327" t="s">
        <v>399</v>
      </c>
      <c r="M71" s="3327"/>
      <c r="N71" s="3079" t="s">
        <v>400</v>
      </c>
      <c r="O71" s="3079" t="s">
        <v>401</v>
      </c>
      <c r="P71" s="3079" t="s">
        <v>402</v>
      </c>
      <c r="Q71" s="2022"/>
      <c r="R71" s="2022"/>
      <c r="S71" s="2022"/>
      <c r="T71" s="2022"/>
      <c r="U71" s="2022"/>
      <c r="V71" s="2022"/>
    </row>
    <row r="72" spans="1:22" ht="12" customHeight="1">
      <c r="A72" s="355" t="s">
        <v>406</v>
      </c>
      <c r="B72" s="3362" t="s">
        <v>407</v>
      </c>
      <c r="C72" s="3374"/>
      <c r="D72" s="354">
        <f ca="1">C86</f>
        <v>6985</v>
      </c>
      <c r="E72" s="73" t="s">
        <v>408</v>
      </c>
      <c r="F72" s="356">
        <f>'数据-取费表'!B41</f>
        <v>5.6000000000000001E-2</v>
      </c>
      <c r="G72" s="357"/>
      <c r="H72" s="1293"/>
      <c r="I72" s="1287"/>
      <c r="J72" s="2029"/>
      <c r="K72" s="1970">
        <v>1</v>
      </c>
      <c r="L72" s="3324" t="s">
        <v>405</v>
      </c>
      <c r="M72" s="3324"/>
      <c r="N72" s="1291">
        <f ca="1">D66</f>
        <v>7097</v>
      </c>
      <c r="O72" s="1853" t="str">
        <f>E66</f>
        <v>销售额×税（费）率</v>
      </c>
      <c r="P72" s="1292">
        <f>F66</f>
        <v>5.6000000000000001E-2</v>
      </c>
      <c r="Q72" s="2022"/>
      <c r="R72" s="2022"/>
      <c r="S72" s="2022"/>
      <c r="T72" s="2022"/>
      <c r="U72" s="2022"/>
      <c r="V72" s="2022"/>
    </row>
    <row r="73" spans="1:22" ht="24" customHeight="1">
      <c r="A73" s="3350" t="s">
        <v>410</v>
      </c>
      <c r="B73" s="3351"/>
      <c r="C73" s="3351"/>
      <c r="D73" s="358">
        <f>IF(H73="个人住宅",0,ROUND(D63*I73,0))</f>
        <v>0</v>
      </c>
      <c r="E73" s="17" t="s">
        <v>411</v>
      </c>
      <c r="F73" s="356" t="str">
        <f>IF(H73="正常",I73,"免征")</f>
        <v>免征</v>
      </c>
      <c r="G73" s="357"/>
      <c r="H73" s="191" t="s">
        <v>2452</v>
      </c>
      <c r="I73" s="356">
        <f>'数据-取费表'!B49</f>
        <v>5.0000000000000001E-4</v>
      </c>
      <c r="J73" s="2029"/>
      <c r="K73" s="1970">
        <v>2</v>
      </c>
      <c r="L73" s="3324" t="s">
        <v>409</v>
      </c>
      <c r="M73" s="3324"/>
      <c r="N73" s="1291">
        <f t="shared" ref="N73:P74" si="1">D73</f>
        <v>0</v>
      </c>
      <c r="O73" s="1853" t="str">
        <f t="shared" si="1"/>
        <v>销售额×税（费）率</v>
      </c>
      <c r="P73" s="1292" t="str">
        <f t="shared" si="1"/>
        <v>免征</v>
      </c>
      <c r="Q73" s="2022"/>
      <c r="R73" s="2022"/>
      <c r="S73" s="2022"/>
      <c r="T73" s="2022"/>
      <c r="U73" s="2022"/>
      <c r="V73" s="2022"/>
    </row>
    <row r="74" spans="1:22" ht="24.75">
      <c r="A74" s="3350" t="s">
        <v>414</v>
      </c>
      <c r="B74" s="3351"/>
      <c r="C74" s="3351"/>
      <c r="D74" s="358">
        <f ca="1">IF(H74="个人住宅",D75,D76)</f>
        <v>74653</v>
      </c>
      <c r="E74" s="17" t="s">
        <v>415</v>
      </c>
      <c r="F74" s="356" t="str">
        <f>IF(H74="正常",F76,"免征")</f>
        <v>——</v>
      </c>
      <c r="G74" s="978" t="s">
        <v>416</v>
      </c>
      <c r="H74" s="359" t="s">
        <v>412</v>
      </c>
      <c r="I74" s="42"/>
      <c r="J74" s="2029"/>
      <c r="K74" s="1970">
        <v>3</v>
      </c>
      <c r="L74" s="3324" t="s">
        <v>413</v>
      </c>
      <c r="M74" s="3324"/>
      <c r="N74" s="1291">
        <f t="shared" ca="1" si="1"/>
        <v>74653</v>
      </c>
      <c r="O74" s="1853" t="str">
        <f t="shared" si="1"/>
        <v>增值额×税（费）率</v>
      </c>
      <c r="P74" s="1294" t="str">
        <f t="shared" si="1"/>
        <v>——</v>
      </c>
      <c r="Q74" s="2022"/>
      <c r="R74" s="2022"/>
      <c r="S74" s="2022"/>
      <c r="T74" s="2022"/>
      <c r="U74" s="2022"/>
      <c r="V74" s="2022"/>
    </row>
    <row r="75" spans="1:22" ht="24">
      <c r="A75" s="355" t="s">
        <v>417</v>
      </c>
      <c r="B75" s="3331" t="s">
        <v>418</v>
      </c>
      <c r="C75" s="3332"/>
      <c r="D75" s="360">
        <v>0</v>
      </c>
      <c r="E75" s="41" t="s">
        <v>419</v>
      </c>
      <c r="F75" s="361"/>
      <c r="G75" s="357"/>
      <c r="H75" s="42"/>
      <c r="I75" s="42"/>
      <c r="J75" s="2029"/>
      <c r="K75" s="3072">
        <f>IF(H77="非个人房产","",4)</f>
        <v>4</v>
      </c>
      <c r="L75" s="3324" t="str">
        <f>IF(H77="非个人房产","——","个人所得税")</f>
        <v>个人所得税</v>
      </c>
      <c r="M75" s="3324"/>
      <c r="N75" s="1295">
        <f ca="1">D77</f>
        <v>1331</v>
      </c>
      <c r="O75" s="1866" t="str">
        <f>E77</f>
        <v>销售额×税（费）率</v>
      </c>
      <c r="P75" s="1296">
        <f>F77</f>
        <v>0.01</v>
      </c>
      <c r="Q75" s="2022"/>
      <c r="R75" s="2022"/>
      <c r="S75" s="2022"/>
      <c r="T75" s="2022"/>
      <c r="U75" s="2022"/>
      <c r="V75" s="2022"/>
    </row>
    <row r="76" spans="1:22" ht="24.75">
      <c r="A76" s="355" t="s">
        <v>395</v>
      </c>
      <c r="B76" s="3331" t="s">
        <v>421</v>
      </c>
      <c r="C76" s="3373"/>
      <c r="D76" s="358">
        <f ca="1">IF(H76="转让取得",C99,C115)</f>
        <v>74653</v>
      </c>
      <c r="E76" s="17" t="s">
        <v>422</v>
      </c>
      <c r="F76" s="53" t="s">
        <v>21</v>
      </c>
      <c r="G76" s="357"/>
      <c r="H76" s="359" t="s">
        <v>423</v>
      </c>
      <c r="I76" s="42"/>
      <c r="J76" s="2029"/>
      <c r="K76" s="3072" t="str">
        <f>IF(项目基本情况!K6="上海银行",IF(K75="",4,K75+1),"")</f>
        <v/>
      </c>
      <c r="L76" s="3312" t="str">
        <f>IF(项目基本情况!K6="上海银行","其他处置费用","")</f>
        <v/>
      </c>
      <c r="M76" s="3313"/>
      <c r="N76" s="1291" t="str">
        <f>IF(项目基本情况!K6="上海银行",N89,"")</f>
        <v/>
      </c>
      <c r="O76" s="3314" t="str">
        <f>IF(项目基本情况!K6="上海银行","包含处置中涉及的律师、诉讼、拍卖、评估等费用","")</f>
        <v/>
      </c>
      <c r="P76" s="3315"/>
      <c r="Q76" s="2022"/>
      <c r="R76" s="2022"/>
      <c r="S76" s="2022"/>
      <c r="T76" s="2022"/>
      <c r="U76" s="2022"/>
      <c r="V76" s="2022"/>
    </row>
    <row r="77" spans="1:22" ht="26.25" thickBot="1">
      <c r="A77" s="3342" t="s">
        <v>425</v>
      </c>
      <c r="B77" s="3343"/>
      <c r="C77" s="3343"/>
      <c r="D77" s="362">
        <f ca="1">IF(H77="非个人房产","——",IF(H77="个人住宅",0,ROUND(D63*I77,0)))</f>
        <v>1331</v>
      </c>
      <c r="E77" s="363" t="str">
        <f>IF(H77="非个人房产","——","销售额×税（费）率")</f>
        <v>销售额×税（费）率</v>
      </c>
      <c r="F77" s="364">
        <f>IF(H77="非个人房产","——",IF(H77="个人住宅","免征",I77))</f>
        <v>0.01</v>
      </c>
      <c r="G77" s="979" t="s">
        <v>416</v>
      </c>
      <c r="H77" s="359" t="s">
        <v>2882</v>
      </c>
      <c r="I77" s="365">
        <v>0.01</v>
      </c>
      <c r="J77" s="2029"/>
      <c r="K77" s="3338">
        <f>IF(AND(K75="",K76=""),4,IF(项目基本情况!K6="上海银行",K76+1,K75+1))</f>
        <v>5</v>
      </c>
      <c r="L77" s="3324" t="s">
        <v>2883</v>
      </c>
      <c r="M77" s="3078" t="s">
        <v>420</v>
      </c>
      <c r="N77" s="1297"/>
      <c r="O77" s="1298">
        <f ca="1">SUMIF(N72:N76,"&lt;9e307")</f>
        <v>83081</v>
      </c>
      <c r="P77" s="1299"/>
      <c r="Q77" s="3076" t="e">
        <f ca="1">O77/N69</f>
        <v>#VALUE!</v>
      </c>
      <c r="R77" s="2022"/>
      <c r="S77" s="2022"/>
      <c r="T77" s="2022"/>
      <c r="U77" s="2022"/>
      <c r="V77" s="2022"/>
    </row>
    <row r="78" spans="1:22" ht="12" customHeight="1">
      <c r="A78" s="1300"/>
      <c r="B78" s="309"/>
      <c r="C78" s="309"/>
      <c r="D78" s="309"/>
      <c r="E78" s="42"/>
      <c r="F78" s="42"/>
      <c r="G78" s="42"/>
      <c r="H78" s="998"/>
      <c r="I78" s="309"/>
      <c r="J78" s="2029"/>
      <c r="K78" s="3338"/>
      <c r="L78" s="3324"/>
      <c r="M78" s="3078" t="s">
        <v>424</v>
      </c>
      <c r="N78" s="1297"/>
      <c r="O78" s="1298" t="str">
        <f ca="1">NUMBERSTRING(INT(O77*10000),2)&amp;"元整"</f>
        <v>捌亿叁仟零捌拾壹万元整</v>
      </c>
      <c r="P78" s="1299"/>
      <c r="Q78" s="2022"/>
      <c r="R78" s="2022"/>
      <c r="S78" s="2022"/>
      <c r="T78" s="2022"/>
      <c r="U78" s="2022"/>
      <c r="V78" s="2022"/>
    </row>
    <row r="79" spans="1:22" ht="13.5" thickBot="1">
      <c r="A79" s="3328" t="s">
        <v>426</v>
      </c>
      <c r="B79" s="3328"/>
      <c r="C79" s="3328"/>
      <c r="D79" s="3328"/>
      <c r="E79" s="3328"/>
      <c r="F79" s="42"/>
      <c r="G79" s="42"/>
      <c r="H79" s="998"/>
      <c r="I79" s="309"/>
      <c r="J79" s="2029"/>
      <c r="K79" s="3322">
        <f>K77+1</f>
        <v>6</v>
      </c>
      <c r="L79" s="3324" t="s">
        <v>2884</v>
      </c>
      <c r="M79" s="3078" t="s">
        <v>420</v>
      </c>
      <c r="N79" s="1297"/>
      <c r="O79" s="1298" t="e">
        <f ca="1">N69-O77</f>
        <v>#VALUE!</v>
      </c>
      <c r="P79" s="1299"/>
      <c r="Q79" s="2022"/>
      <c r="R79" s="2022"/>
      <c r="S79" s="2022"/>
      <c r="T79" s="2022"/>
      <c r="U79" s="2022"/>
      <c r="V79" s="2022"/>
    </row>
    <row r="80" spans="1:22" ht="12.75">
      <c r="A80" s="3329" t="s">
        <v>427</v>
      </c>
      <c r="B80" s="3330"/>
      <c r="C80" s="989"/>
      <c r="D80" s="989" t="s">
        <v>428</v>
      </c>
      <c r="E80" s="366" t="s">
        <v>429</v>
      </c>
      <c r="F80" s="42"/>
      <c r="G80" s="42"/>
      <c r="H80" s="998"/>
      <c r="I80" s="309"/>
      <c r="J80" s="2022"/>
      <c r="K80" s="3323"/>
      <c r="L80" s="3324"/>
      <c r="M80" s="3078" t="s">
        <v>424</v>
      </c>
      <c r="N80" s="1297"/>
      <c r="O80" s="1298" t="e">
        <f ca="1">NUMBERSTRING(INT(O79*10000),2)&amp;"元整"</f>
        <v>#VALUE!</v>
      </c>
      <c r="P80" s="1299"/>
      <c r="Q80" s="2022"/>
      <c r="R80" s="2022"/>
      <c r="S80" s="2022"/>
      <c r="T80" s="2022"/>
      <c r="U80" s="2022"/>
      <c r="V80" s="2022"/>
    </row>
    <row r="81" spans="1:26" ht="13.5" thickBot="1">
      <c r="A81" s="377" t="s">
        <v>1823</v>
      </c>
      <c r="B81" s="367" t="s">
        <v>430</v>
      </c>
      <c r="C81" s="368">
        <f ca="1">ROUND((C82+C83)/(1+'数据-取费表'!C42),0)</f>
        <v>126725</v>
      </c>
      <c r="D81" s="369"/>
      <c r="E81" s="370"/>
      <c r="F81" s="42"/>
      <c r="G81" s="42"/>
      <c r="H81" s="998"/>
      <c r="I81" s="309"/>
      <c r="J81" s="2022"/>
      <c r="K81" s="3072">
        <f>K79+1</f>
        <v>7</v>
      </c>
      <c r="L81" s="3336" t="s">
        <v>2885</v>
      </c>
      <c r="M81" s="3337"/>
      <c r="N81" s="1301"/>
      <c r="O81" s="1302" t="e">
        <f ca="1">ROUND(O79*10000/'数据-汇总表'!E3,0)</f>
        <v>#VALUE!</v>
      </c>
      <c r="P81" s="1303"/>
      <c r="Q81" s="2022"/>
      <c r="R81" s="2022"/>
      <c r="S81" s="2022"/>
      <c r="T81" s="2022"/>
      <c r="U81" s="2022"/>
      <c r="V81" s="2022"/>
    </row>
    <row r="82" spans="1:26" ht="13.5" thickTop="1">
      <c r="A82" s="371" t="s">
        <v>1824</v>
      </c>
      <c r="B82" s="372" t="s">
        <v>431</v>
      </c>
      <c r="C82" s="373">
        <f ca="1">D63</f>
        <v>133061</v>
      </c>
      <c r="D82" s="374" t="s">
        <v>19</v>
      </c>
      <c r="E82" s="375"/>
      <c r="F82" s="42"/>
      <c r="G82" s="42"/>
      <c r="H82" s="998"/>
      <c r="I82" s="309"/>
      <c r="J82" s="2022"/>
      <c r="K82" s="2022"/>
      <c r="L82" s="2022"/>
      <c r="M82" s="2022"/>
      <c r="N82" s="2022"/>
      <c r="O82" s="2022"/>
      <c r="P82" s="2022"/>
      <c r="Q82" s="2022"/>
      <c r="R82" s="2022"/>
      <c r="S82" s="2022"/>
      <c r="T82" s="2022"/>
      <c r="U82" s="2022"/>
      <c r="V82" s="2022"/>
    </row>
    <row r="83" spans="1:26" ht="12.75">
      <c r="A83" s="371" t="s">
        <v>1825</v>
      </c>
      <c r="B83" s="372" t="s">
        <v>432</v>
      </c>
      <c r="C83" s="376">
        <v>0</v>
      </c>
      <c r="D83" s="374"/>
      <c r="E83" s="375"/>
      <c r="F83" s="42"/>
      <c r="G83" s="42"/>
      <c r="H83" s="998"/>
      <c r="I83" s="309"/>
      <c r="J83" s="2022"/>
      <c r="K83" s="3311" t="s">
        <v>2872</v>
      </c>
      <c r="L83" s="3084" t="s">
        <v>2873</v>
      </c>
      <c r="M83" s="3074" t="e">
        <f>IF(N69&gt;10000,N69*0.5%,IF(AND(N69&gt;1000,N69&lt;=10000),N69*1%,IF(AND(N69&gt;100,N69&lt;=1000),N69*3%,IF(AND(N69&gt;10,N69&lt;=100),N69*5%,N69*8%))))</f>
        <v>#VALUE!</v>
      </c>
      <c r="N83" s="53" t="e">
        <f>ROUND(M83,1)</f>
        <v>#VALUE!</v>
      </c>
      <c r="O83" s="3077"/>
      <c r="P83" s="2022"/>
      <c r="Q83" s="2022"/>
      <c r="R83" s="2022"/>
      <c r="S83" s="2022"/>
      <c r="T83" s="2022"/>
      <c r="U83" s="2022"/>
      <c r="V83" s="2022"/>
    </row>
    <row r="84" spans="1:26" ht="12.75">
      <c r="A84" s="377" t="s">
        <v>1826</v>
      </c>
      <c r="B84" s="378" t="s">
        <v>433</v>
      </c>
      <c r="C84" s="379">
        <v>2000</v>
      </c>
      <c r="D84" s="380" t="s">
        <v>19</v>
      </c>
      <c r="E84" s="3119" t="s">
        <v>2929</v>
      </c>
      <c r="F84" s="42"/>
      <c r="G84" s="42"/>
      <c r="H84" s="998"/>
      <c r="I84" s="309"/>
      <c r="J84" s="2022"/>
      <c r="K84" s="3311"/>
      <c r="L84" s="3084" t="s">
        <v>2874</v>
      </c>
      <c r="M84" s="30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2875</v>
      </c>
      <c r="P84" s="2022"/>
      <c r="Q84" s="2022"/>
      <c r="R84" s="2022"/>
      <c r="S84" s="2022"/>
      <c r="T84" s="2022"/>
      <c r="U84" s="2022"/>
      <c r="V84" s="2022"/>
    </row>
    <row r="85" spans="1:26" ht="12.75">
      <c r="A85" s="377" t="s">
        <v>1827</v>
      </c>
      <c r="B85" s="378" t="s">
        <v>434</v>
      </c>
      <c r="C85" s="381">
        <f ca="1">C81-C84</f>
        <v>124725</v>
      </c>
      <c r="D85" s="374" t="s">
        <v>19</v>
      </c>
      <c r="E85" s="375"/>
      <c r="F85" s="42"/>
      <c r="G85" s="42"/>
      <c r="H85" s="998"/>
      <c r="I85" s="309"/>
      <c r="J85" s="2022"/>
      <c r="K85" s="3311"/>
      <c r="L85" s="3084" t="s">
        <v>2876</v>
      </c>
      <c r="M85" s="3074" t="e">
        <f>IF(N69&gt;1000,N69*0.1%,IF(AND(N69&gt;500,N69&lt;=1000),N69*0.5%,IF(AND(N69&gt;50,N69&lt;=500),N69*1%,IF(AND(N69&gt;1,N69&lt;=50),N69*1.5%))))</f>
        <v>#VALUE!</v>
      </c>
      <c r="N85" s="53" t="e">
        <f t="shared" si="2"/>
        <v>#VALUE!</v>
      </c>
      <c r="O85" s="2022" t="s">
        <v>2875</v>
      </c>
      <c r="P85" s="2022"/>
      <c r="Q85" s="2022"/>
      <c r="R85" s="2022"/>
      <c r="S85" s="2022"/>
      <c r="T85" s="2022"/>
      <c r="U85" s="2022"/>
      <c r="V85" s="2022"/>
    </row>
    <row r="86" spans="1:26" ht="13.5" thickBot="1">
      <c r="A86" s="382" t="s">
        <v>1828</v>
      </c>
      <c r="B86" s="383" t="s">
        <v>435</v>
      </c>
      <c r="C86" s="384">
        <f ca="1">IF(C85&lt;=0,0,ROUND(C85*D86,0))</f>
        <v>6985</v>
      </c>
      <c r="D86" s="385">
        <f>'数据-取费表'!B41</f>
        <v>5.6000000000000001E-2</v>
      </c>
      <c r="E86" s="386"/>
      <c r="F86" s="42"/>
      <c r="G86" s="42"/>
      <c r="H86" s="998"/>
      <c r="I86" s="309"/>
      <c r="J86" s="2022"/>
      <c r="K86" s="3311"/>
      <c r="L86" s="3084" t="s">
        <v>2877</v>
      </c>
      <c r="M86" s="3074" t="e">
        <f>N69*0.5%</f>
        <v>#VALUE!</v>
      </c>
      <c r="N86" s="53" t="e">
        <f>IF(M86&gt;0.5,0.5,ROUND(M86,0))</f>
        <v>#VALUE!</v>
      </c>
      <c r="O86" s="2022" t="s">
        <v>2878</v>
      </c>
      <c r="P86" s="2022"/>
      <c r="Q86" s="2022"/>
      <c r="R86" s="2022"/>
      <c r="S86" s="2022"/>
      <c r="T86" s="2022"/>
      <c r="U86" s="2022"/>
      <c r="V86" s="2022"/>
    </row>
    <row r="87" spans="1:26" s="1249" customFormat="1" ht="14.25" customHeight="1">
      <c r="A87" s="1304"/>
      <c r="B87" s="1305"/>
      <c r="C87" s="1306"/>
      <c r="D87" s="1307"/>
      <c r="E87" s="1308"/>
      <c r="F87" s="42"/>
      <c r="G87" s="42"/>
      <c r="H87" s="998"/>
      <c r="I87" s="309"/>
      <c r="J87" s="2022"/>
      <c r="K87" s="3311"/>
      <c r="L87" s="3084" t="s">
        <v>2879</v>
      </c>
      <c r="M87" s="30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7"/>
      <c r="P87" s="309"/>
      <c r="Q87" s="2022"/>
      <c r="R87" s="2022"/>
      <c r="S87" s="2022"/>
      <c r="T87" s="2022"/>
      <c r="U87" s="2022"/>
      <c r="V87" s="2022"/>
      <c r="W87" s="290"/>
      <c r="X87" s="290"/>
      <c r="Y87" s="290"/>
      <c r="Z87" s="290"/>
    </row>
    <row r="88" spans="1:26" s="1309" customFormat="1" ht="15" thickBot="1">
      <c r="A88" s="3365" t="s">
        <v>436</v>
      </c>
      <c r="B88" s="3366"/>
      <c r="C88" s="3366"/>
      <c r="D88" s="3366"/>
      <c r="E88" s="3366"/>
      <c r="F88" s="3366"/>
      <c r="G88" s="3366"/>
      <c r="H88" s="3366"/>
      <c r="I88" s="1310"/>
      <c r="J88" s="2030"/>
      <c r="K88" s="3311"/>
      <c r="L88" s="3084" t="s">
        <v>2880</v>
      </c>
      <c r="M88" s="3074" t="e">
        <f>IF(N69&gt;10000,N69*0.5%,IF(AND(N69&gt;5000,N69&lt;=10000),N69*1%,IF(AND(N69&gt;1000,N69&lt;=5000),N69*2%,IF(AND(N69&gt;200,N69&lt;=1000),N69*3%,N69*5%))))</f>
        <v>#VALUE!</v>
      </c>
      <c r="N88" s="53" t="e">
        <f>ROUND(M88,1)</f>
        <v>#VALUE!</v>
      </c>
      <c r="O88" s="3077"/>
      <c r="P88" s="11"/>
      <c r="Q88" s="2027"/>
      <c r="R88" s="2027"/>
      <c r="S88" s="2027"/>
      <c r="T88" s="2027"/>
      <c r="U88" s="2027"/>
      <c r="V88" s="2027"/>
      <c r="W88" s="2031"/>
      <c r="X88" s="2031"/>
      <c r="Y88" s="2031"/>
      <c r="Z88" s="2031"/>
    </row>
    <row r="89" spans="1:26" s="1309" customFormat="1" ht="14.25">
      <c r="A89" s="3329" t="s">
        <v>427</v>
      </c>
      <c r="B89" s="3330"/>
      <c r="C89" s="989"/>
      <c r="D89" s="989" t="s">
        <v>428</v>
      </c>
      <c r="E89" s="387" t="s">
        <v>437</v>
      </c>
      <c r="F89" s="388"/>
      <c r="G89" s="388"/>
      <c r="H89" s="389"/>
      <c r="I89" s="1311"/>
      <c r="J89" s="2032"/>
      <c r="K89" s="3311"/>
      <c r="L89" s="3084" t="s">
        <v>27</v>
      </c>
      <c r="M89" s="3075"/>
      <c r="N89" s="53" t="e">
        <f>ROUND(SUM(N83:N88),0)</f>
        <v>#VALUE!</v>
      </c>
      <c r="O89" s="3085" t="e">
        <f>N89/N69</f>
        <v>#VALUE!</v>
      </c>
      <c r="P89" s="2027"/>
      <c r="Q89" s="2027"/>
      <c r="R89" s="2027"/>
      <c r="S89" s="2027"/>
      <c r="T89" s="2027"/>
      <c r="U89" s="2027"/>
      <c r="V89" s="2027"/>
      <c r="W89" s="2031"/>
      <c r="X89" s="2031"/>
      <c r="Y89" s="2031"/>
      <c r="Z89" s="2031"/>
    </row>
    <row r="90" spans="1:26" s="1309" customFormat="1" ht="14.25">
      <c r="A90" s="377" t="s">
        <v>1823</v>
      </c>
      <c r="B90" s="378" t="s">
        <v>438</v>
      </c>
      <c r="C90" s="381">
        <f ca="1">ROUND(D63/(1+'数据-取费表'!C42),0)</f>
        <v>126725</v>
      </c>
      <c r="D90" s="374" t="s">
        <v>19</v>
      </c>
      <c r="E90" s="986"/>
      <c r="F90" s="985"/>
      <c r="G90" s="985"/>
      <c r="H90" s="390"/>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7" t="s">
        <v>1829</v>
      </c>
      <c r="B91" s="344" t="s">
        <v>439</v>
      </c>
      <c r="C91" s="381">
        <f ca="1">C92+C96</f>
        <v>3341</v>
      </c>
      <c r="D91" s="374" t="s">
        <v>19</v>
      </c>
      <c r="E91" s="986"/>
      <c r="F91" s="985"/>
      <c r="G91" s="985"/>
      <c r="H91" s="390"/>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1" t="s">
        <v>1830</v>
      </c>
      <c r="B92" s="372" t="s">
        <v>440</v>
      </c>
      <c r="C92" s="374">
        <f>ROUND(IF(G95="2016年5月1日后购买",C93/(1+'数据-取费表'!C30)+C94+C95,C93+C94+C95),0)</f>
        <v>2581</v>
      </c>
      <c r="D92" s="374" t="s">
        <v>19</v>
      </c>
      <c r="E92" s="986"/>
      <c r="F92" s="985"/>
      <c r="G92" s="985"/>
      <c r="H92" s="390"/>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1" t="s">
        <v>1831</v>
      </c>
      <c r="B93" s="372" t="s">
        <v>441</v>
      </c>
      <c r="C93" s="392">
        <v>2000</v>
      </c>
      <c r="D93" s="374" t="s">
        <v>19</v>
      </c>
      <c r="E93" s="393" t="s">
        <v>442</v>
      </c>
      <c r="F93" s="394" t="s">
        <v>443</v>
      </c>
      <c r="G93" s="393" t="s">
        <v>444</v>
      </c>
      <c r="H93" s="395">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1" t="s">
        <v>1832</v>
      </c>
      <c r="B94" s="396" t="s">
        <v>445</v>
      </c>
      <c r="C94" s="374">
        <f>IF(F93="购房发票",ROUND(C93*H93*5%,0),0)</f>
        <v>500</v>
      </c>
      <c r="D94" s="397">
        <v>0.05</v>
      </c>
      <c r="E94" s="3362" t="s">
        <v>446</v>
      </c>
      <c r="F94" s="3363"/>
      <c r="G94" s="3363"/>
      <c r="H94" s="3364"/>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1" t="s">
        <v>1833</v>
      </c>
      <c r="B95" s="372" t="s">
        <v>447</v>
      </c>
      <c r="C95" s="374">
        <f>ROUND(IF(G95="个人买卖住房",0,IF(G95="2016年5月1日前购买",C93*D95,C93*D95/(1+'数据-取费表'!C42))),0)</f>
        <v>81</v>
      </c>
      <c r="D95" s="398">
        <f>'数据-取费表'!B48+'数据-取费表'!B49</f>
        <v>4.0500000000000001E-2</v>
      </c>
      <c r="E95" s="26" t="s">
        <v>448</v>
      </c>
      <c r="F95" s="399"/>
      <c r="G95" s="400" t="s">
        <v>2426</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1" t="s">
        <v>1834</v>
      </c>
      <c r="B96" s="372" t="s">
        <v>449</v>
      </c>
      <c r="C96" s="401">
        <f ca="1">ROUND(D63*D96/(1+'数据-取费表'!C42),0)</f>
        <v>760</v>
      </c>
      <c r="D96" s="402">
        <f>'数据-取费表'!B43</f>
        <v>6.000000000000001E-3</v>
      </c>
      <c r="E96" s="3352" t="s">
        <v>2425</v>
      </c>
      <c r="F96" s="3353"/>
      <c r="G96" s="3353"/>
      <c r="H96" s="3354"/>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8" t="s">
        <v>450</v>
      </c>
      <c r="C97" s="381">
        <f ca="1">C90-C91</f>
        <v>123384</v>
      </c>
      <c r="D97" s="374" t="s">
        <v>19</v>
      </c>
      <c r="E97" s="986"/>
      <c r="F97" s="985"/>
      <c r="G97" s="985"/>
      <c r="H97" s="390"/>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8" t="s">
        <v>451</v>
      </c>
      <c r="C98" s="403">
        <f ca="1">IF(C97&lt;=0,0,C97/C91)</f>
        <v>36.930260401077518</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3" t="s">
        <v>452</v>
      </c>
      <c r="C99" s="404">
        <f ca="1">ROUND(IF(C97&lt;=0,0,IF(C98&gt;=200%,C97*60%-C91*35%,IF(C98&gt;=100%,C97*50%-C91*15%,IF(C98&gt;=50%,C97*40%-C91*5%,IF(C98&lt;50%,C97*30%,0))))),0)</f>
        <v>72861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65" t="s">
        <v>453</v>
      </c>
      <c r="B101" s="3366"/>
      <c r="C101" s="3366"/>
      <c r="D101" s="3366"/>
      <c r="E101" s="3366"/>
      <c r="F101" s="3366"/>
      <c r="G101" s="3366"/>
      <c r="H101" s="3366"/>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29" t="s">
        <v>427</v>
      </c>
      <c r="B102" s="3330"/>
      <c r="C102" s="989"/>
      <c r="D102" s="989" t="s">
        <v>428</v>
      </c>
      <c r="E102" s="387" t="s">
        <v>437</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7" t="s">
        <v>1823</v>
      </c>
      <c r="B103" s="378" t="s">
        <v>438</v>
      </c>
      <c r="C103" s="381">
        <f ca="1">ROUND(D63/(1+'数据-取费表'!C42),0)</f>
        <v>126725</v>
      </c>
      <c r="D103" s="374" t="s">
        <v>19</v>
      </c>
      <c r="E103" s="986"/>
      <c r="F103" s="985"/>
      <c r="G103" s="985"/>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7" t="s">
        <v>1829</v>
      </c>
      <c r="B104" s="344" t="s">
        <v>439</v>
      </c>
      <c r="C104" s="381">
        <f ca="1">IF(H106="仅含出让金",C105+C108+C109+C110+C111+C112,C105+C109+C110+C111+C112)</f>
        <v>1455</v>
      </c>
      <c r="D104" s="411"/>
      <c r="E104" s="986"/>
      <c r="F104" s="985"/>
      <c r="G104" s="985"/>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1" t="s">
        <v>1830</v>
      </c>
      <c r="B105" s="372" t="s">
        <v>454</v>
      </c>
      <c r="C105" s="401">
        <f>C106+C107</f>
        <v>577</v>
      </c>
      <c r="D105" s="402"/>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1" t="s">
        <v>1831</v>
      </c>
      <c r="B106" s="372" t="s">
        <v>455</v>
      </c>
      <c r="C106" s="412">
        <v>555</v>
      </c>
      <c r="D106" s="402"/>
      <c r="E106" s="413" t="s">
        <v>456</v>
      </c>
      <c r="F106" s="981"/>
      <c r="G106" s="414" t="s">
        <v>457</v>
      </c>
      <c r="H106" s="415" t="s">
        <v>2436</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1" t="s">
        <v>1832</v>
      </c>
      <c r="B107" s="372" t="s">
        <v>447</v>
      </c>
      <c r="C107" s="401">
        <f>ROUND(C106*D107,0)</f>
        <v>22</v>
      </c>
      <c r="D107" s="402">
        <f>'数据-取费表'!B48+'数据-取费表'!B49</f>
        <v>4.0500000000000001E-2</v>
      </c>
      <c r="E107" s="413" t="s">
        <v>458</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1" t="s">
        <v>1834</v>
      </c>
      <c r="B108" s="372" t="s">
        <v>459</v>
      </c>
      <c r="C108" s="412"/>
      <c r="D108" s="402"/>
      <c r="E108" s="413"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2" t="s">
        <v>460</v>
      </c>
      <c r="C109" s="401">
        <f>IF(H109="——",IF(F1="现房",'剩余法-现房'!C18,'剩余法-待开发'!C18),I109)</f>
        <v>55</v>
      </c>
      <c r="D109" s="402"/>
      <c r="E109" s="3355" t="s">
        <v>461</v>
      </c>
      <c r="F109" s="3353"/>
      <c r="G109" s="3353"/>
      <c r="H109" s="1935" t="s">
        <v>2278</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2" t="s">
        <v>462</v>
      </c>
      <c r="C110" s="401">
        <f>ROUND((C105+C108+C109)*D110,0)</f>
        <v>63</v>
      </c>
      <c r="D110" s="402">
        <v>0.1</v>
      </c>
      <c r="E110" s="3355" t="s">
        <v>463</v>
      </c>
      <c r="F110" s="3353"/>
      <c r="G110" s="3353"/>
      <c r="H110" s="3354"/>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2" t="s">
        <v>449</v>
      </c>
      <c r="C111" s="401">
        <f ca="1">ROUND(D63*D111/(1+'数据-取费表'!C42),0)</f>
        <v>760</v>
      </c>
      <c r="D111" s="402">
        <f>'数据-取费表'!B43</f>
        <v>6.000000000000001E-3</v>
      </c>
      <c r="E111" s="3352" t="s">
        <v>2425</v>
      </c>
      <c r="F111" s="3353"/>
      <c r="G111" s="3353"/>
      <c r="H111" s="3354"/>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2" t="s">
        <v>464</v>
      </c>
      <c r="C112" s="401">
        <f>ROUND(C108*D112,0)</f>
        <v>0</v>
      </c>
      <c r="D112" s="402">
        <v>0.2</v>
      </c>
      <c r="E112" s="3355" t="s">
        <v>2450</v>
      </c>
      <c r="F112" s="3353"/>
      <c r="G112" s="3353"/>
      <c r="H112" s="3354"/>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8" t="s">
        <v>450</v>
      </c>
      <c r="C113" s="381">
        <f ca="1">ROUND(C103-C104,0)</f>
        <v>125270</v>
      </c>
      <c r="D113" s="374" t="s">
        <v>19</v>
      </c>
      <c r="E113" s="986"/>
      <c r="F113" s="985"/>
      <c r="G113" s="985"/>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8" t="s">
        <v>451</v>
      </c>
      <c r="C114" s="403">
        <f ca="1">IF(C113&lt;=0,0,C113/C104)</f>
        <v>86.096219931271477</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3" t="s">
        <v>452</v>
      </c>
      <c r="C115" s="404">
        <f ca="1">ROUND(IF(C113&lt;=0,0,IF(C114&gt;=200%,C113*60%-C104*35%,IF(C114&gt;=100%,C113*50%-C104*15%,IF(C114&gt;=50%,C113*40%-C104*5%,IF(C114&lt;50%,C113*30%,0))))),0)</f>
        <v>74653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7" t="s">
        <v>465</v>
      </c>
      <c r="B1" s="2827"/>
      <c r="C1" s="2098"/>
      <c r="D1" s="2098"/>
      <c r="E1" s="2098"/>
      <c r="F1" s="2098"/>
      <c r="G1" s="2098"/>
      <c r="H1" s="2098"/>
      <c r="I1" s="2098"/>
      <c r="J1" s="2098"/>
      <c r="K1" s="418">
        <f>MATCH(B1,'数据-取费表'!A6:A16,0)+5</f>
        <v>10</v>
      </c>
    </row>
    <row r="2" spans="1:41" s="2035" customFormat="1" ht="18" customHeight="1">
      <c r="A2" s="419" t="s">
        <v>466</v>
      </c>
      <c r="B2" s="420">
        <f ca="1">C32</f>
        <v>0</v>
      </c>
      <c r="C2" s="2098"/>
      <c r="D2" s="2098"/>
      <c r="E2" s="2098"/>
      <c r="F2" s="2098"/>
      <c r="G2" s="2098"/>
      <c r="H2" s="2098"/>
      <c r="I2" s="2098"/>
      <c r="J2" s="2098"/>
      <c r="K2" s="2098"/>
    </row>
    <row r="3" spans="1:41" s="2035" customFormat="1" ht="18" customHeight="1">
      <c r="A3" s="1374" t="s">
        <v>1684</v>
      </c>
      <c r="B3" s="421">
        <f ca="1">ROUND(B2*10000/IF(B1="",'数据-汇总表'!E3,INDIRECT("'数据-取费表'!K"&amp;$K$1)),0)</f>
        <v>0</v>
      </c>
      <c r="C3" s="2098"/>
      <c r="D3" s="2098"/>
      <c r="E3" s="2098"/>
      <c r="F3" s="2098"/>
      <c r="G3" s="2098"/>
      <c r="H3" s="2098"/>
      <c r="I3" s="2098"/>
      <c r="J3" s="2098"/>
      <c r="K3" s="2098"/>
    </row>
    <row r="4" spans="1:41" s="2035" customFormat="1" ht="18" customHeight="1">
      <c r="A4" s="422" t="s">
        <v>467</v>
      </c>
      <c r="B4" s="423">
        <f ca="1">ROUND(B2*10000/IF(B1="",'数据-汇总表'!D3,INDIRECT("'数据-取费表'!R"&amp;$K$1)),0)</f>
        <v>0</v>
      </c>
      <c r="C4" s="2055"/>
      <c r="D4" s="2098"/>
      <c r="E4" s="2098"/>
      <c r="F4" s="2098"/>
      <c r="G4" s="2098"/>
      <c r="H4" s="2098"/>
      <c r="I4" s="2098"/>
      <c r="J4" s="2098"/>
      <c r="K4" s="2098"/>
    </row>
    <row r="5" spans="1:41" s="2035" customFormat="1" ht="18" customHeight="1" thickBot="1">
      <c r="A5" s="425"/>
      <c r="B5" s="426">
        <f ca="1">ROUND(B2/(IF(B1="",'数据-汇总表'!D3,INDIRECT("'数据-取费表'!R"&amp;$K$1))/666.67),0)</f>
        <v>0</v>
      </c>
      <c r="C5" s="427" t="s">
        <v>468</v>
      </c>
      <c r="D5" s="2098"/>
      <c r="E5" s="2098"/>
      <c r="F5" s="2098"/>
      <c r="G5" s="2098"/>
      <c r="H5" s="2098"/>
      <c r="I5" s="2098"/>
      <c r="J5" s="2098"/>
      <c r="K5" s="2098"/>
    </row>
    <row r="6" spans="1:41" s="2105" customFormat="1" ht="16.5" customHeight="1">
      <c r="A6" s="428" t="s">
        <v>2650</v>
      </c>
      <c r="B6" s="429"/>
      <c r="C6" s="1617">
        <f>SUM(C10:K10)</f>
        <v>0</v>
      </c>
      <c r="D6" s="2103"/>
      <c r="E6" s="2103"/>
      <c r="F6" s="2103"/>
      <c r="G6" s="2103"/>
      <c r="H6" s="2103"/>
      <c r="I6" s="2103"/>
      <c r="J6" s="2103"/>
      <c r="K6" s="2104"/>
    </row>
    <row r="7" spans="1:41" s="2107" customFormat="1" ht="15">
      <c r="A7" s="430" t="s">
        <v>469</v>
      </c>
      <c r="B7" s="431" t="s">
        <v>470</v>
      </c>
      <c r="C7" s="432"/>
      <c r="D7" s="432"/>
      <c r="E7" s="432"/>
      <c r="F7" s="432"/>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4" t="s">
        <v>471</v>
      </c>
      <c r="C8" s="435"/>
      <c r="D8" s="435"/>
      <c r="E8" s="435"/>
      <c r="F8" s="435"/>
      <c r="G8" s="435"/>
      <c r="H8" s="435"/>
      <c r="I8" s="435"/>
      <c r="J8" s="435"/>
      <c r="K8" s="436"/>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4" t="s">
        <v>472</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473</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0" t="s">
        <v>469</v>
      </c>
      <c r="B12" s="440" t="s">
        <v>470</v>
      </c>
      <c r="C12" s="441" t="s">
        <v>474</v>
      </c>
      <c r="D12" s="442" t="s">
        <v>475</v>
      </c>
      <c r="E12" s="442" t="s">
        <v>476</v>
      </c>
      <c r="F12" s="442" t="s">
        <v>477</v>
      </c>
      <c r="G12" s="440"/>
      <c r="H12" s="443"/>
      <c r="I12" s="443"/>
      <c r="J12" s="443"/>
      <c r="K12" s="444"/>
    </row>
    <row r="13" spans="1:41" s="2110" customFormat="1" ht="13.5" customHeight="1">
      <c r="A13" s="1627" t="s">
        <v>1848</v>
      </c>
      <c r="B13" s="445" t="s">
        <v>478</v>
      </c>
      <c r="C13" s="446">
        <f ca="1">IF(B1="",'数据-取费表'!M16,INDIRECT("'数据-取费表'!M"&amp;$K$1)+INDIRECT("'数据-取费表'!t"&amp;$K$1))</f>
        <v>109145</v>
      </c>
      <c r="D13" s="447"/>
      <c r="E13" s="361"/>
      <c r="F13" s="448"/>
      <c r="G13" s="440"/>
      <c r="H13" s="443"/>
      <c r="I13" s="443"/>
      <c r="J13" s="443"/>
      <c r="K13" s="444"/>
    </row>
    <row r="14" spans="1:41" s="2110" customFormat="1" ht="13.5" customHeight="1">
      <c r="A14" s="1627" t="s">
        <v>1849</v>
      </c>
      <c r="B14" s="445" t="s">
        <v>479</v>
      </c>
      <c r="C14" s="53">
        <f ca="1">ROUND(C13*F14,0)</f>
        <v>3274</v>
      </c>
      <c r="D14" s="447"/>
      <c r="E14" s="361"/>
      <c r="F14" s="449">
        <f>'数据-取费表'!B33</f>
        <v>0.03</v>
      </c>
      <c r="G14" s="440" t="s">
        <v>501</v>
      </c>
      <c r="H14" s="443"/>
      <c r="I14" s="443"/>
      <c r="J14" s="443"/>
      <c r="K14" s="444"/>
    </row>
    <row r="15" spans="1:41" s="2110" customFormat="1" ht="13.5" customHeight="1">
      <c r="A15" s="1627" t="s">
        <v>1850</v>
      </c>
      <c r="B15" s="445" t="s">
        <v>481</v>
      </c>
      <c r="C15" s="53">
        <f ca="1">ROUND(IF(B1="",SUMIF('数据-取费表'!C:C,"住宅",'数据-取费表'!M:M)*F15,IF(INDIRECT("'数据-取费表'!c"&amp;$K$1)="住宅",INDIRECT("'数据-取费表'!M"&amp;$K$1)*F15,0)),0)</f>
        <v>2445</v>
      </c>
      <c r="D15" s="447"/>
      <c r="E15" s="361"/>
      <c r="F15" s="449">
        <f>'数据-取费表'!B34</f>
        <v>0.03</v>
      </c>
      <c r="G15" s="440" t="s">
        <v>501</v>
      </c>
      <c r="H15" s="443"/>
      <c r="I15" s="443"/>
      <c r="J15" s="443"/>
      <c r="K15" s="444"/>
    </row>
    <row r="16" spans="1:41" s="2111" customFormat="1" ht="13.5" customHeight="1">
      <c r="A16" s="1627" t="s">
        <v>1851</v>
      </c>
      <c r="B16" s="445" t="s">
        <v>483</v>
      </c>
      <c r="C16" s="53">
        <f ca="1">ROUND(D16*E16/10000,0)</f>
        <v>10583</v>
      </c>
      <c r="D16" s="447">
        <f ca="1">IF(B1="",'数据-汇总表'!E3,INDIRECT("'数据-取费表'!K"&amp;$K$1)+INDIRECT("'数据-取费表'!S"&amp;$K$1))</f>
        <v>529172.31000000006</v>
      </c>
      <c r="E16" s="53">
        <f>'数据-取费表'!B35</f>
        <v>200</v>
      </c>
      <c r="F16" s="449"/>
      <c r="G16" s="440"/>
      <c r="H16" s="443"/>
      <c r="I16" s="443"/>
      <c r="J16" s="443"/>
      <c r="K16" s="444"/>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5" t="s">
        <v>484</v>
      </c>
      <c r="C17" s="450">
        <f ca="1">ROUND(C13*F17,0)</f>
        <v>1637</v>
      </c>
      <c r="D17" s="451"/>
      <c r="E17" s="450"/>
      <c r="F17" s="452">
        <f>'数据-取费表'!B36</f>
        <v>1.4999999999999999E-2</v>
      </c>
      <c r="G17" s="440" t="s">
        <v>501</v>
      </c>
      <c r="H17" s="453"/>
      <c r="I17" s="453"/>
      <c r="J17" s="453"/>
      <c r="K17" s="454"/>
    </row>
    <row r="18" spans="1:14" s="2113" customFormat="1" ht="13.5" customHeight="1">
      <c r="A18" s="1628" t="s">
        <v>1853</v>
      </c>
      <c r="B18" s="455" t="s">
        <v>486</v>
      </c>
      <c r="C18" s="456">
        <f ca="1">SUM(C13:C17)</f>
        <v>127084</v>
      </c>
      <c r="D18" s="457"/>
      <c r="E18" s="458"/>
      <c r="F18" s="458"/>
      <c r="G18" s="1322" t="s">
        <v>2429</v>
      </c>
      <c r="H18" s="443"/>
      <c r="I18" s="443"/>
      <c r="J18" s="443"/>
      <c r="K18" s="444"/>
    </row>
    <row r="19" spans="1:14" s="2113" customFormat="1" ht="13.5" customHeight="1">
      <c r="A19" s="1628" t="s">
        <v>1854</v>
      </c>
      <c r="B19" s="455" t="s">
        <v>492</v>
      </c>
      <c r="C19" s="456">
        <f ca="1">ROUND(C18*F19,0)</f>
        <v>1906</v>
      </c>
      <c r="D19" s="458"/>
      <c r="E19" s="458"/>
      <c r="F19" s="462">
        <f>'数据-取费表'!B37</f>
        <v>1.4999999999999999E-2</v>
      </c>
      <c r="G19" s="440" t="s">
        <v>502</v>
      </c>
      <c r="H19" s="443"/>
      <c r="I19" s="443"/>
      <c r="J19" s="443"/>
      <c r="K19" s="444"/>
      <c r="L19" s="2115"/>
      <c r="M19" s="2115"/>
      <c r="N19" s="2115"/>
    </row>
    <row r="20" spans="1:14" s="2113" customFormat="1" ht="13.5" customHeight="1">
      <c r="A20" s="1628" t="s">
        <v>1855</v>
      </c>
      <c r="B20" s="455" t="s">
        <v>503</v>
      </c>
      <c r="C20" s="3048">
        <f>F20</f>
        <v>1.4999999999999999E-2</v>
      </c>
      <c r="D20" s="465" t="s">
        <v>504</v>
      </c>
      <c r="E20" s="465"/>
      <c r="F20" s="482">
        <f>'数据-取费表'!B38</f>
        <v>1.4999999999999999E-2</v>
      </c>
      <c r="G20" s="1322" t="s">
        <v>505</v>
      </c>
      <c r="H20" s="443"/>
      <c r="I20" s="443"/>
      <c r="J20" s="443"/>
      <c r="K20" s="444"/>
      <c r="L20" s="2115"/>
      <c r="M20" s="2115"/>
      <c r="N20" s="2115"/>
    </row>
    <row r="21" spans="1:14" s="2115" customFormat="1" ht="13.5" customHeight="1">
      <c r="A21" s="1628" t="s">
        <v>1858</v>
      </c>
      <c r="B21" s="457" t="s">
        <v>493</v>
      </c>
      <c r="C21" s="466">
        <f ca="1">C22</f>
        <v>7704</v>
      </c>
      <c r="D21" s="463">
        <f ca="1">C23</f>
        <v>8.9999999999999998E-4</v>
      </c>
      <c r="E21" s="465" t="s">
        <v>506</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2" t="s">
        <v>2451</v>
      </c>
    </row>
    <row r="22" spans="1:14" s="2114" customFormat="1" ht="13.5" customHeight="1">
      <c r="A22" s="1627" t="s">
        <v>1848</v>
      </c>
      <c r="B22" s="1323" t="s">
        <v>2432</v>
      </c>
      <c r="C22" s="483">
        <f ca="1">ROUND(IF('数据-取费表'!B22&lt;=1,(C18+C19)*F21*'数据-取费表'!B20/2,(C18+C19)*(POWER((1+F21),'数据-取费表'!B20/2)-1)),0)</f>
        <v>7704</v>
      </c>
      <c r="D22" s="468"/>
      <c r="E22" s="469"/>
      <c r="F22" s="470"/>
      <c r="G22" s="2585" t="str">
        <f>IF('数据-取费表'!B22&lt;=1,"((1)+(2))×年利率×建设期÷2","((1)+(2))×((1+年利率)^(建设期÷2)-1)")</f>
        <v>((1)+(2))×((1+年利率)^(建设期÷2)-1)</v>
      </c>
      <c r="H22" s="453"/>
      <c r="I22" s="453"/>
      <c r="J22" s="453"/>
      <c r="K22" s="454"/>
    </row>
    <row r="23" spans="1:14" s="2114" customFormat="1" ht="13.5" customHeight="1">
      <c r="A23" s="1627" t="s">
        <v>1849</v>
      </c>
      <c r="B23" s="1323" t="s">
        <v>507</v>
      </c>
      <c r="C23" s="484">
        <f ca="1">ROUND(IF('数据-取费表'!B22&lt;=1,F20*F21*'数据-取费表'!B20/2,F20*(POWER((1+F21),'数据-取费表'!B20/2)-1)),4)</f>
        <v>8.9999999999999998E-4</v>
      </c>
      <c r="D23" s="468"/>
      <c r="E23" s="469"/>
      <c r="F23" s="470"/>
      <c r="G23" s="2585" t="str">
        <f>IF('数据-取费表'!B22&lt;=1,"销售费用率×年利率×建设期÷2","销售费用率×((1+年利率)^(建设期÷2)-1)")</f>
        <v>销售费用率×((1+年利率)^(建设期÷2)-1)</v>
      </c>
      <c r="H23" s="453"/>
      <c r="I23" s="453"/>
      <c r="J23" s="453"/>
      <c r="K23" s="454"/>
    </row>
    <row r="24" spans="1:14" s="2114" customFormat="1" ht="13.5" customHeight="1">
      <c r="A24" s="1628" t="s">
        <v>1859</v>
      </c>
      <c r="B24" s="3050" t="s">
        <v>2830</v>
      </c>
      <c r="C24" s="474">
        <f ca="1">C25</f>
        <v>5160</v>
      </c>
      <c r="D24" s="485">
        <f ca="1">C26</f>
        <v>5.9999999999999995E-4</v>
      </c>
      <c r="E24" s="465" t="s">
        <v>506</v>
      </c>
      <c r="F24" s="475">
        <f ca="1">IF(B1="",'数据-取费表'!Q16,INDIRECT("'数据-取费表'!q"&amp;$K$1))</f>
        <v>0.04</v>
      </c>
      <c r="G24" s="440"/>
      <c r="H24" s="443"/>
      <c r="I24" s="443"/>
      <c r="J24" s="443"/>
      <c r="K24" s="444"/>
    </row>
    <row r="25" spans="1:14" s="2114" customFormat="1" ht="13.5" customHeight="1">
      <c r="A25" s="1627" t="s">
        <v>1848</v>
      </c>
      <c r="B25" s="1323" t="s">
        <v>2433</v>
      </c>
      <c r="C25" s="486">
        <f ca="1">ROUND((C18+C19)*F24,0)</f>
        <v>5160</v>
      </c>
      <c r="D25" s="468"/>
      <c r="E25" s="469"/>
      <c r="F25" s="476"/>
      <c r="G25" s="1321" t="s">
        <v>2430</v>
      </c>
      <c r="H25" s="453"/>
      <c r="I25" s="453"/>
      <c r="J25" s="453"/>
      <c r="K25" s="454"/>
    </row>
    <row r="26" spans="1:14" s="2114" customFormat="1" ht="13.5" customHeight="1">
      <c r="A26" s="1627" t="s">
        <v>1849</v>
      </c>
      <c r="B26" s="1323" t="s">
        <v>508</v>
      </c>
      <c r="C26" s="487">
        <f ca="1">ROUND(F20*F24,4)</f>
        <v>5.9999999999999995E-4</v>
      </c>
      <c r="D26" s="468"/>
      <c r="E26" s="477"/>
      <c r="F26" s="476"/>
      <c r="G26" s="1321" t="s">
        <v>509</v>
      </c>
      <c r="H26" s="453"/>
      <c r="I26" s="453"/>
      <c r="J26" s="453"/>
      <c r="K26" s="454"/>
    </row>
    <row r="27" spans="1:14" s="2114" customFormat="1" ht="13.5" customHeight="1">
      <c r="A27" s="1631" t="s">
        <v>1867</v>
      </c>
      <c r="B27" s="455" t="s">
        <v>510</v>
      </c>
      <c r="C27" s="3049">
        <f>ROUND(F27/(1+'数据-取费表'!C42),4)</f>
        <v>5.33E-2</v>
      </c>
      <c r="D27" s="458" t="s">
        <v>2828</v>
      </c>
      <c r="E27" s="458"/>
      <c r="F27" s="462">
        <f>'数据-取费表'!B41</f>
        <v>5.6000000000000001E-2</v>
      </c>
      <c r="G27" s="1954" t="s">
        <v>2290</v>
      </c>
      <c r="H27" s="443"/>
      <c r="I27" s="443"/>
      <c r="J27" s="443"/>
      <c r="K27" s="444"/>
    </row>
    <row r="28" spans="1:14" s="2115" customFormat="1" ht="13.5" customHeight="1">
      <c r="A28" s="1631" t="s">
        <v>1868</v>
      </c>
      <c r="B28" s="472" t="s">
        <v>511</v>
      </c>
      <c r="C28" s="466">
        <f ca="1">ROUND((C18+C19+C21+C24)/(1-C20-D21-D24-C27),0)</f>
        <v>152498</v>
      </c>
      <c r="D28" s="473"/>
      <c r="E28" s="465"/>
      <c r="F28" s="467"/>
      <c r="G28" s="1322" t="s">
        <v>2431</v>
      </c>
      <c r="H28" s="443"/>
      <c r="I28" s="443"/>
      <c r="J28" s="443"/>
      <c r="K28" s="444"/>
    </row>
    <row r="29" spans="1:14" s="2115" customFormat="1" ht="13.5" customHeight="1">
      <c r="A29" s="1631" t="s">
        <v>1869</v>
      </c>
      <c r="B29" s="472" t="s">
        <v>512</v>
      </c>
      <c r="C29" s="488">
        <f ca="1">IF(B1="",'数据-取费表'!N16,INDIRECT("'数据-取费表'!N"&amp;$K$1))</f>
        <v>0</v>
      </c>
      <c r="D29" s="489"/>
      <c r="E29" s="490"/>
      <c r="F29" s="491"/>
      <c r="G29" s="440"/>
      <c r="H29" s="443"/>
      <c r="I29" s="443"/>
      <c r="J29" s="443"/>
      <c r="K29" s="444"/>
    </row>
    <row r="30" spans="1:14" s="2115" customFormat="1" ht="13.5" customHeight="1">
      <c r="A30" s="439">
        <v>2</v>
      </c>
      <c r="B30" s="472" t="s">
        <v>513</v>
      </c>
      <c r="C30" s="493">
        <f ca="1">ROUND(C28*C29,0)</f>
        <v>0</v>
      </c>
      <c r="D30" s="489"/>
      <c r="E30" s="494"/>
      <c r="F30" s="495"/>
      <c r="G30" s="1324" t="s">
        <v>514</v>
      </c>
      <c r="H30" s="492"/>
      <c r="I30" s="492"/>
      <c r="J30" s="443"/>
      <c r="K30" s="444"/>
    </row>
    <row r="31" spans="1:14" s="2120" customFormat="1" ht="13.5" customHeight="1">
      <c r="A31" s="2500" t="s">
        <v>1865</v>
      </c>
      <c r="B31" s="1325"/>
      <c r="C31" s="496">
        <f>ROUND(C6*F31/(1+'数据-取费表'!C42),0)</f>
        <v>0</v>
      </c>
      <c r="D31" s="1326"/>
      <c r="E31" s="1326"/>
      <c r="F31" s="497">
        <f>'数据-取费表'!B41</f>
        <v>5.6000000000000001E-2</v>
      </c>
      <c r="G31" s="1327"/>
      <c r="H31" s="1327"/>
      <c r="I31" s="1327"/>
      <c r="J31" s="1328"/>
      <c r="K31" s="1329"/>
    </row>
    <row r="32" spans="1:14" s="2079" customFormat="1" ht="13.5" customHeight="1" thickBot="1">
      <c r="A32" s="478" t="s">
        <v>1866</v>
      </c>
      <c r="B32" s="479"/>
      <c r="C32" s="480">
        <f ca="1">IF('数据-取费表'!B20&lt;=1,(C6-C30-C31)/(1+F21*'数据-取费表'!B20+F24)/(1+'数据-取费表'!B48+'数据-取费表'!B49),(C6-C30-C31)/(1+(POWER((1+F21),'数据-取费表'!B20)-1)+F24)/(1+'数据-取费表'!B48+'数据-取费表'!B49))</f>
        <v>0</v>
      </c>
      <c r="D32" s="479"/>
      <c r="E32" s="479"/>
      <c r="F32" s="479"/>
      <c r="G32" s="2501" t="s">
        <v>2964</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4" zoomScale="85" zoomScaleNormal="95" zoomScaleSheetLayoutView="85" workbookViewId="0">
      <selection activeCell="F14" sqref="F14"/>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466</v>
      </c>
      <c r="B2" s="504">
        <f>F68</f>
        <v>218228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0"/>
    </row>
    <row r="3" spans="1:30" s="1331" customFormat="1" ht="28.5" customHeight="1">
      <c r="A3" s="1374" t="s">
        <v>1684</v>
      </c>
      <c r="B3" s="506">
        <f>ROUND(B2*10000/'数据-汇总表'!E3,0)</f>
        <v>4124</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30" s="1331" customFormat="1" ht="28.5" customHeight="1">
      <c r="A4" s="507" t="s">
        <v>519</v>
      </c>
      <c r="B4" s="423">
        <f>IF(B48="单位面积地价",C50,ROUND(B2*10000/'数据-汇总表'!D3,0))</f>
        <v>20654</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1377</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4"/>
    </row>
    <row r="6" spans="1:30" ht="20.25">
      <c r="A6" s="508" t="s">
        <v>520</v>
      </c>
      <c r="B6" s="509"/>
      <c r="C6" s="3410" t="s">
        <v>521</v>
      </c>
      <c r="D6" s="3411"/>
      <c r="E6" s="3410" t="s">
        <v>522</v>
      </c>
      <c r="F6" s="3411"/>
      <c r="G6" s="3410" t="s">
        <v>523</v>
      </c>
      <c r="H6" s="3411"/>
      <c r="I6" s="3410" t="s">
        <v>524</v>
      </c>
      <c r="J6" s="3411"/>
      <c r="K6" s="510" t="s">
        <v>525</v>
      </c>
      <c r="L6" s="2127"/>
      <c r="M6" s="2126"/>
      <c r="N6" s="2126"/>
      <c r="O6" s="2128"/>
      <c r="P6" s="3412" t="s">
        <v>526</v>
      </c>
      <c r="Q6" s="3413"/>
      <c r="R6" s="3398" t="s">
        <v>522</v>
      </c>
      <c r="S6" s="3399"/>
      <c r="T6" s="3398" t="s">
        <v>523</v>
      </c>
      <c r="U6" s="3399"/>
      <c r="V6" s="3418" t="s">
        <v>524</v>
      </c>
      <c r="W6" s="3418"/>
      <c r="X6" s="1562"/>
      <c r="Y6" s="3398" t="s">
        <v>526</v>
      </c>
      <c r="Z6" s="3399"/>
      <c r="AA6" s="3393" t="s">
        <v>522</v>
      </c>
      <c r="AB6" s="3394" t="s">
        <v>523</v>
      </c>
      <c r="AC6" s="3393" t="s">
        <v>524</v>
      </c>
    </row>
    <row r="7" spans="1:30" ht="20.25">
      <c r="A7" s="511"/>
      <c r="B7" s="512"/>
      <c r="C7" s="3421" t="str">
        <f>土地案例清单!D2</f>
        <v>P(2018)009号</v>
      </c>
      <c r="D7" s="3422"/>
      <c r="E7" s="3421" t="str">
        <f>土地案例清单!D5</f>
        <v>P(2017)083号</v>
      </c>
      <c r="F7" s="3422"/>
      <c r="G7" s="3421" t="str">
        <f>土地案例清单!D6</f>
        <v>P(2017)082号</v>
      </c>
      <c r="H7" s="3422"/>
      <c r="I7" s="3421" t="str">
        <f>土地案例清单!D16</f>
        <v>P(2016)084号</v>
      </c>
      <c r="J7" s="3422"/>
      <c r="K7" s="510"/>
      <c r="L7" s="2127"/>
      <c r="M7" s="2126"/>
      <c r="N7" s="2126"/>
      <c r="O7" s="2128"/>
      <c r="P7" s="3414"/>
      <c r="Q7" s="3415"/>
      <c r="R7" s="3400"/>
      <c r="S7" s="3401"/>
      <c r="T7" s="3400"/>
      <c r="U7" s="3401"/>
      <c r="V7" s="3418"/>
      <c r="W7" s="3418"/>
      <c r="X7" s="1562"/>
      <c r="Y7" s="3400"/>
      <c r="Z7" s="3401"/>
      <c r="AA7" s="3394"/>
      <c r="AB7" s="3394"/>
      <c r="AC7" s="3394"/>
    </row>
    <row r="8" spans="1:30" ht="21" thickBot="1">
      <c r="A8" s="511"/>
      <c r="B8" s="512"/>
      <c r="C8" s="3423" t="str">
        <f>土地案例清单!A2</f>
        <v>江夏区纸坊街齐心村</v>
      </c>
      <c r="D8" s="3424"/>
      <c r="E8" s="3423" t="str">
        <f>土地案例清单!A5</f>
        <v>江夏区大桥新区豹山村</v>
      </c>
      <c r="F8" s="3424"/>
      <c r="G8" s="3419" t="str">
        <f>土地案例清单!A6</f>
        <v>江夏区大桥新区豹山村</v>
      </c>
      <c r="H8" s="3420"/>
      <c r="I8" s="3419" t="str">
        <f>土地案例清单!A16</f>
        <v>江夏区纸坊街复江道</v>
      </c>
      <c r="J8" s="3420"/>
      <c r="K8" s="510" t="s">
        <v>527</v>
      </c>
      <c r="L8" s="2127"/>
      <c r="M8" s="2126"/>
      <c r="N8" s="2126"/>
      <c r="O8" s="2128"/>
      <c r="P8" s="3416"/>
      <c r="Q8" s="3417"/>
      <c r="R8" s="3400"/>
      <c r="S8" s="3401"/>
      <c r="T8" s="3402"/>
      <c r="U8" s="3403"/>
      <c r="V8" s="3418"/>
      <c r="W8" s="3418"/>
      <c r="X8" s="1562"/>
      <c r="Y8" s="3402"/>
      <c r="Z8" s="3403"/>
      <c r="AA8" s="3395"/>
      <c r="AB8" s="3395"/>
      <c r="AC8" s="3395"/>
    </row>
    <row r="9" spans="1:30" s="1215" customFormat="1" ht="21" thickBot="1">
      <c r="A9" s="2930"/>
      <c r="B9" s="2937" t="s">
        <v>528</v>
      </c>
      <c r="C9" s="2929">
        <f>'数据-取费表'!B2</f>
        <v>43182</v>
      </c>
      <c r="D9" s="516">
        <v>100</v>
      </c>
      <c r="E9" s="517" t="str">
        <f>土地案例清单!H5</f>
        <v>2017-09-14</v>
      </c>
      <c r="F9" s="518">
        <f>SUMIF(72:72,YEAR(E9)&amp;"-"&amp;INT((MONTH(E9)+2)/3),73:73)</f>
        <v>98</v>
      </c>
      <c r="G9" s="519" t="str">
        <f>土地案例清单!H6</f>
        <v>2017-09-14</v>
      </c>
      <c r="H9" s="516">
        <f>SUMIF(72:72,YEAR(G9)&amp;"-"&amp;INT((MONTH(G9)+2)/3),73:73)</f>
        <v>98</v>
      </c>
      <c r="I9" s="519" t="str">
        <f>土地案例清单!H16</f>
        <v>2016-08-23</v>
      </c>
      <c r="J9" s="516">
        <f>SUMIF(72:72,YEAR(I9)&amp;"-"&amp;INT((MONTH(I9)+2)/3),73:73)</f>
        <v>94</v>
      </c>
      <c r="K9" s="520"/>
      <c r="L9" s="2129"/>
      <c r="M9" s="2126"/>
      <c r="N9" s="2126"/>
      <c r="O9" s="2130"/>
      <c r="P9" s="3396" t="s">
        <v>529</v>
      </c>
      <c r="Q9" s="3405"/>
      <c r="R9" s="1563" t="s">
        <v>8</v>
      </c>
      <c r="S9" s="1564">
        <f t="shared" ref="S9:S17" si="0">F9</f>
        <v>98</v>
      </c>
      <c r="T9" s="1563" t="s">
        <v>8</v>
      </c>
      <c r="U9" s="1564">
        <f t="shared" ref="U9:U17" si="1">H9</f>
        <v>98</v>
      </c>
      <c r="V9" s="1563" t="s">
        <v>8</v>
      </c>
      <c r="W9" s="1564">
        <f t="shared" ref="W9:W17" si="2">J9</f>
        <v>94</v>
      </c>
      <c r="X9" s="1565"/>
      <c r="Y9" s="3396" t="s">
        <v>529</v>
      </c>
      <c r="Z9" s="3397"/>
      <c r="AA9" s="1566">
        <f>D9/F9</f>
        <v>1.0204081632653061</v>
      </c>
      <c r="AB9" s="1566">
        <f>D9/H9</f>
        <v>1.0204081632653061</v>
      </c>
      <c r="AC9" s="1566">
        <f>D9/J9</f>
        <v>1.0638297872340425</v>
      </c>
    </row>
    <row r="10" spans="1:30" s="1215" customFormat="1" ht="21" thickBot="1">
      <c r="A10" s="2931"/>
      <c r="B10" s="2938" t="s">
        <v>530</v>
      </c>
      <c r="C10" s="852" t="s">
        <v>531</v>
      </c>
      <c r="D10" s="516">
        <v>100</v>
      </c>
      <c r="E10" s="521" t="s">
        <v>3101</v>
      </c>
      <c r="F10" s="518">
        <f>SUMIF(75:75,E10,76:76)-SUMIF(75:75,C10,76:76)+100</f>
        <v>100</v>
      </c>
      <c r="G10" s="521" t="s">
        <v>3101</v>
      </c>
      <c r="H10" s="516">
        <f>SUMIF(75:75,G10,76:76)-SUMIF(75:75,C10,76:76)+100</f>
        <v>100</v>
      </c>
      <c r="I10" s="521" t="s">
        <v>3101</v>
      </c>
      <c r="J10" s="516">
        <f>SUMIF(75:75,I10,76:76)-SUMIF(75:75,C10,76:76)+100</f>
        <v>100</v>
      </c>
      <c r="K10" s="520"/>
      <c r="L10" s="2129"/>
      <c r="M10" s="2126"/>
      <c r="N10" s="2126"/>
      <c r="O10" s="2130"/>
      <c r="P10" s="3396" t="s">
        <v>532</v>
      </c>
      <c r="Q10" s="3397"/>
      <c r="R10" s="1563" t="s">
        <v>8</v>
      </c>
      <c r="S10" s="1564">
        <f t="shared" si="0"/>
        <v>100</v>
      </c>
      <c r="T10" s="1563" t="s">
        <v>8</v>
      </c>
      <c r="U10" s="1564">
        <f t="shared" si="1"/>
        <v>100</v>
      </c>
      <c r="V10" s="1563" t="s">
        <v>8</v>
      </c>
      <c r="W10" s="1564">
        <f t="shared" si="2"/>
        <v>100</v>
      </c>
      <c r="X10" s="1565"/>
      <c r="Y10" s="3396" t="s">
        <v>532</v>
      </c>
      <c r="Z10" s="3397"/>
      <c r="AA10" s="1566">
        <f t="shared" ref="AA10:AA47" si="3">D10/F10</f>
        <v>1</v>
      </c>
      <c r="AB10" s="1566">
        <f t="shared" ref="AB10:AB47" si="4">D10/H10</f>
        <v>1</v>
      </c>
      <c r="AC10" s="1566">
        <f t="shared" ref="AC10:AC47" si="5">D10/J10</f>
        <v>1</v>
      </c>
    </row>
    <row r="11" spans="1:30" s="1215" customFormat="1" ht="20.25">
      <c r="A11" s="2932"/>
      <c r="B11" s="2939" t="s">
        <v>2754</v>
      </c>
      <c r="C11" s="2926" t="s">
        <v>2973</v>
      </c>
      <c r="D11" s="252">
        <v>100</v>
      </c>
      <c r="E11" s="2926" t="s">
        <v>2973</v>
      </c>
      <c r="F11" s="252">
        <f>SUMIF(77:77,E11,78:78)-SUMIF(77:77,C11,78:78)+100</f>
        <v>100</v>
      </c>
      <c r="G11" s="2926" t="s">
        <v>2973</v>
      </c>
      <c r="H11" s="252">
        <f>SUMIF(77:77,G11,78:78)-SUMIF(77:77,C11,78:78)+100</f>
        <v>100</v>
      </c>
      <c r="I11" s="2926" t="s">
        <v>2973</v>
      </c>
      <c r="J11" s="252">
        <f>SUMIF(77:77,I11,78:78)-SUMIF(77:77,C11,78:78)+100</f>
        <v>100</v>
      </c>
      <c r="K11" s="520"/>
      <c r="L11" s="2129"/>
      <c r="M11" s="2126"/>
      <c r="N11" s="2126"/>
      <c r="O11" s="2131"/>
      <c r="P11" s="3404" t="s">
        <v>534</v>
      </c>
      <c r="Q11" s="1146" t="str">
        <f t="shared" ref="Q11:Q17" si="6">B11</f>
        <v>用途</v>
      </c>
      <c r="R11" s="1563" t="s">
        <v>8</v>
      </c>
      <c r="S11" s="1564">
        <f t="shared" si="0"/>
        <v>100</v>
      </c>
      <c r="T11" s="1563" t="s">
        <v>8</v>
      </c>
      <c r="U11" s="1564">
        <f t="shared" si="1"/>
        <v>100</v>
      </c>
      <c r="V11" s="1563" t="s">
        <v>8</v>
      </c>
      <c r="W11" s="1564">
        <f t="shared" si="2"/>
        <v>100</v>
      </c>
      <c r="X11" s="1565"/>
      <c r="Y11" s="3361" t="s">
        <v>535</v>
      </c>
      <c r="Z11" s="1145" t="str">
        <f t="shared" ref="Z11:Z17" si="7">Q11</f>
        <v>用途</v>
      </c>
      <c r="AA11" s="1566">
        <f t="shared" si="3"/>
        <v>1</v>
      </c>
      <c r="AB11" s="1566">
        <f t="shared" si="4"/>
        <v>1</v>
      </c>
      <c r="AC11" s="1566">
        <f t="shared" si="5"/>
        <v>1</v>
      </c>
    </row>
    <row r="12" spans="1:30" s="1333" customFormat="1" ht="27">
      <c r="A12" s="2933"/>
      <c r="B12" s="2938" t="s">
        <v>2755</v>
      </c>
      <c r="C12" s="905">
        <f>'数据-取费表'!F6</f>
        <v>69.959999999999994</v>
      </c>
      <c r="D12" s="253">
        <v>100</v>
      </c>
      <c r="E12" s="525" t="s">
        <v>3103</v>
      </c>
      <c r="F12" s="253">
        <f>ROUND(100/'数据-取费表'!G16,0)</f>
        <v>100</v>
      </c>
      <c r="G12" s="526" t="s">
        <v>3103</v>
      </c>
      <c r="H12" s="253">
        <f>ROUND(100/'数据-取费表'!G16,0)</f>
        <v>100</v>
      </c>
      <c r="I12" s="526" t="s">
        <v>3103</v>
      </c>
      <c r="J12" s="253">
        <f>ROUND(100/'数据-取费表'!G16,0)</f>
        <v>100</v>
      </c>
      <c r="K12" s="527"/>
      <c r="L12" s="2132"/>
      <c r="M12" s="2126"/>
      <c r="N12" s="2126"/>
      <c r="O12" s="2133"/>
      <c r="P12" s="3404"/>
      <c r="Q12" s="1146" t="str">
        <f t="shared" si="6"/>
        <v>土地使用年限（年）</v>
      </c>
      <c r="R12" s="1563" t="s">
        <v>8</v>
      </c>
      <c r="S12" s="1564">
        <f t="shared" si="0"/>
        <v>100</v>
      </c>
      <c r="T12" s="1563" t="s">
        <v>8</v>
      </c>
      <c r="U12" s="1564">
        <f t="shared" si="1"/>
        <v>100</v>
      </c>
      <c r="V12" s="1563" t="s">
        <v>8</v>
      </c>
      <c r="W12" s="1564">
        <f t="shared" si="2"/>
        <v>100</v>
      </c>
      <c r="X12" s="1565"/>
      <c r="Y12" s="3361"/>
      <c r="Z12" s="1145" t="str">
        <f t="shared" si="7"/>
        <v>土地使用年限（年）</v>
      </c>
      <c r="AA12" s="1566">
        <f t="shared" si="3"/>
        <v>1</v>
      </c>
      <c r="AB12" s="1566">
        <f t="shared" si="4"/>
        <v>1</v>
      </c>
      <c r="AC12" s="1566">
        <f t="shared" si="5"/>
        <v>1</v>
      </c>
    </row>
    <row r="13" spans="1:30" ht="20.25">
      <c r="A13" s="2934"/>
      <c r="B13" s="2938" t="s">
        <v>2756</v>
      </c>
      <c r="C13" s="530">
        <f>'数据-汇总表'!I7</f>
        <v>3.5</v>
      </c>
      <c r="D13" s="253">
        <v>100</v>
      </c>
      <c r="E13" s="529">
        <v>2.9</v>
      </c>
      <c r="F13" s="253">
        <f>LOOKUP(E13,82:82,83:83)-LOOKUP(C13,82:82,83:83)+100</f>
        <v>110</v>
      </c>
      <c r="G13" s="530">
        <v>2.9</v>
      </c>
      <c r="H13" s="253">
        <f>LOOKUP(G13,82:82,83:83)-LOOKUP(C13,82:82,83:83)+100</f>
        <v>110</v>
      </c>
      <c r="I13" s="529">
        <v>4.78</v>
      </c>
      <c r="J13" s="253">
        <f>LOOKUP(I13,82:82,83:83)-LOOKUP(C13,82:82,83:83)+100</f>
        <v>90</v>
      </c>
      <c r="K13" s="531">
        <v>5</v>
      </c>
      <c r="L13" s="2134"/>
      <c r="M13" s="2126"/>
      <c r="N13" s="2126"/>
      <c r="O13" s="2135"/>
      <c r="P13" s="3404"/>
      <c r="Q13" s="1146" t="str">
        <f t="shared" si="6"/>
        <v>容积率</v>
      </c>
      <c r="R13" s="1563" t="s">
        <v>8</v>
      </c>
      <c r="S13" s="1564">
        <f t="shared" si="0"/>
        <v>110</v>
      </c>
      <c r="T13" s="1563" t="s">
        <v>8</v>
      </c>
      <c r="U13" s="1564">
        <f t="shared" si="1"/>
        <v>110</v>
      </c>
      <c r="V13" s="1563" t="s">
        <v>8</v>
      </c>
      <c r="W13" s="1564">
        <f t="shared" si="2"/>
        <v>90</v>
      </c>
      <c r="X13" s="1565"/>
      <c r="Y13" s="3361"/>
      <c r="Z13" s="1145" t="str">
        <f t="shared" si="7"/>
        <v>容积率</v>
      </c>
      <c r="AA13" s="1566">
        <f t="shared" si="3"/>
        <v>0.90909090909090906</v>
      </c>
      <c r="AB13" s="1566">
        <f t="shared" si="4"/>
        <v>0.90909090909090906</v>
      </c>
      <c r="AC13" s="1566">
        <f t="shared" si="5"/>
        <v>1.1111111111111112</v>
      </c>
    </row>
    <row r="14" spans="1:30" s="1215" customFormat="1" ht="21" thickBot="1">
      <c r="A14" s="2931"/>
      <c r="B14" s="2940" t="s">
        <v>2757</v>
      </c>
      <c r="C14" s="2927" t="s">
        <v>3104</v>
      </c>
      <c r="D14" s="534">
        <v>100</v>
      </c>
      <c r="E14" s="1369" t="s">
        <v>3105</v>
      </c>
      <c r="F14" s="253">
        <f>SUMIF(84:84,E14,85:85)-SUMIF(84:84,C14,85:85)+100</f>
        <v>120</v>
      </c>
      <c r="G14" s="3190" t="s">
        <v>3105</v>
      </c>
      <c r="H14" s="253">
        <f>SUMIF(84:84,G14,85:85)-SUMIF(84:84,C14,85:85)+100</f>
        <v>120</v>
      </c>
      <c r="I14" s="3191" t="s">
        <v>3105</v>
      </c>
      <c r="J14" s="253">
        <f>SUMIF(84:84,I14,85:85)-SUMIF(84:84,C14,85:85)+100</f>
        <v>120</v>
      </c>
      <c r="K14" s="527"/>
      <c r="L14" s="2129"/>
      <c r="M14" s="2126"/>
      <c r="N14" s="2126"/>
      <c r="O14" s="2131"/>
      <c r="P14" s="3404"/>
      <c r="Q14" s="1146" t="str">
        <f t="shared" si="6"/>
        <v>配建</v>
      </c>
      <c r="R14" s="1563" t="s">
        <v>8</v>
      </c>
      <c r="S14" s="1564">
        <f t="shared" si="0"/>
        <v>120</v>
      </c>
      <c r="T14" s="1563" t="s">
        <v>8</v>
      </c>
      <c r="U14" s="1564">
        <f t="shared" si="1"/>
        <v>120</v>
      </c>
      <c r="V14" s="1563" t="s">
        <v>8</v>
      </c>
      <c r="W14" s="1564">
        <f t="shared" si="2"/>
        <v>120</v>
      </c>
      <c r="X14" s="1565"/>
      <c r="Y14" s="3361"/>
      <c r="Z14" s="1145" t="str">
        <f t="shared" si="7"/>
        <v>配建</v>
      </c>
      <c r="AA14" s="1566">
        <f>D14/F14</f>
        <v>0.83333333333333337</v>
      </c>
      <c r="AB14" s="1566">
        <f>D14/H14</f>
        <v>0.83333333333333337</v>
      </c>
      <c r="AC14" s="1566">
        <f>D14/J14</f>
        <v>0.83333333333333337</v>
      </c>
    </row>
    <row r="15" spans="1:30" ht="20.25" hidden="1">
      <c r="A15" s="2935"/>
      <c r="B15" s="2941"/>
      <c r="C15" s="907"/>
      <c r="D15" s="536">
        <v>100</v>
      </c>
      <c r="E15" s="537"/>
      <c r="F15" s="253">
        <f>SUMIF(86:86,E15,87:87)-SUMIF(86:86,C15,87:87)+100</f>
        <v>100</v>
      </c>
      <c r="G15" s="538"/>
      <c r="H15" s="536">
        <f>SUMIF(86:86,G15,87:87)-SUMIF(86:86,C15,87:87)+100</f>
        <v>100</v>
      </c>
      <c r="I15" s="538"/>
      <c r="J15" s="536">
        <f>SUMIF(86:86,I15,87:87)-SUMIF(86:86,C15,87:87)+100</f>
        <v>100</v>
      </c>
      <c r="K15" s="527"/>
      <c r="L15" s="2136"/>
      <c r="M15" s="2126"/>
      <c r="N15" s="2126"/>
      <c r="O15" s="2135"/>
      <c r="P15" s="3404"/>
      <c r="Q15" s="1146">
        <f t="shared" si="6"/>
        <v>0</v>
      </c>
      <c r="R15" s="1563" t="s">
        <v>8</v>
      </c>
      <c r="S15" s="1564">
        <f t="shared" si="0"/>
        <v>100</v>
      </c>
      <c r="T15" s="1563" t="s">
        <v>8</v>
      </c>
      <c r="U15" s="1564">
        <f t="shared" si="1"/>
        <v>100</v>
      </c>
      <c r="V15" s="1563" t="s">
        <v>8</v>
      </c>
      <c r="W15" s="1564">
        <f t="shared" si="2"/>
        <v>100</v>
      </c>
      <c r="X15" s="1565"/>
      <c r="Y15" s="3361"/>
      <c r="Z15" s="1145">
        <f t="shared" si="7"/>
        <v>0</v>
      </c>
      <c r="AA15" s="1566">
        <f>D15/F15</f>
        <v>1</v>
      </c>
      <c r="AB15" s="1566">
        <f>D15/H15</f>
        <v>1</v>
      </c>
      <c r="AC15" s="1566">
        <f>D15/J15</f>
        <v>1</v>
      </c>
    </row>
    <row r="16" spans="1:30" ht="21" hidden="1" thickBot="1">
      <c r="A16" s="2936"/>
      <c r="B16" s="2942"/>
      <c r="C16" s="910"/>
      <c r="D16" s="542">
        <v>100</v>
      </c>
      <c r="E16" s="537"/>
      <c r="F16" s="542">
        <f>SUMIF(88:88,E16,89:89)-SUMIF(88:88,C16,89:89)+100</f>
        <v>100</v>
      </c>
      <c r="G16" s="538"/>
      <c r="H16" s="542">
        <f>SUMIF(88:88,G16,89:89)-SUMIF(88:88,C16,89:89)+100</f>
        <v>100</v>
      </c>
      <c r="I16" s="538"/>
      <c r="J16" s="542">
        <f>SUMIF(88:88,I16,89:89)-SUMIF(88:88,C16,89:89)+100</f>
        <v>100</v>
      </c>
      <c r="K16" s="527"/>
      <c r="L16" s="2136"/>
      <c r="M16" s="2126"/>
      <c r="N16" s="2126"/>
      <c r="O16" s="2135"/>
      <c r="P16" s="3404"/>
      <c r="Q16" s="1146">
        <f t="shared" si="6"/>
        <v>0</v>
      </c>
      <c r="R16" s="1563" t="s">
        <v>8</v>
      </c>
      <c r="S16" s="1564">
        <f t="shared" si="0"/>
        <v>100</v>
      </c>
      <c r="T16" s="1563" t="s">
        <v>8</v>
      </c>
      <c r="U16" s="1564">
        <f t="shared" si="1"/>
        <v>100</v>
      </c>
      <c r="V16" s="1563" t="s">
        <v>8</v>
      </c>
      <c r="W16" s="1564">
        <f t="shared" si="2"/>
        <v>100</v>
      </c>
      <c r="X16" s="1565"/>
      <c r="Y16" s="3361"/>
      <c r="Z16" s="1145">
        <f t="shared" si="7"/>
        <v>0</v>
      </c>
      <c r="AA16" s="1566">
        <f>D16/F16</f>
        <v>1</v>
      </c>
      <c r="AB16" s="1566">
        <f>D16/H16</f>
        <v>1</v>
      </c>
      <c r="AC16" s="1566">
        <f>D16/J16</f>
        <v>1</v>
      </c>
    </row>
    <row r="17" spans="1:29" ht="20.25">
      <c r="A17" s="2928" t="s">
        <v>2752</v>
      </c>
      <c r="B17" s="574" t="s">
        <v>295</v>
      </c>
      <c r="C17" s="544">
        <f>估价对象房地状况!C15</f>
        <v>0</v>
      </c>
      <c r="D17" s="547">
        <v>100</v>
      </c>
      <c r="E17" s="548"/>
      <c r="F17" s="545">
        <f>SUMIF(90:90,E18,91:91)-SUMIF(90:90,C18,91:91)+100</f>
        <v>95</v>
      </c>
      <c r="G17" s="546"/>
      <c r="H17" s="545">
        <f>SUMIF(90:90,G18,91:91)-SUMIF(90:90,C18,91:91)+100</f>
        <v>95</v>
      </c>
      <c r="I17" s="548"/>
      <c r="J17" s="545">
        <f>SUMIF(90:90,I18,91:91)-SUMIF(90:90,C18,91:91)+100</f>
        <v>100</v>
      </c>
      <c r="K17" s="531">
        <v>5</v>
      </c>
      <c r="L17" s="2136"/>
      <c r="M17" s="2126"/>
      <c r="N17" s="2126"/>
      <c r="O17" s="2135"/>
      <c r="P17" s="3406" t="s">
        <v>539</v>
      </c>
      <c r="Q17" s="1567" t="str">
        <f t="shared" si="6"/>
        <v>居住社区成熟度</v>
      </c>
      <c r="R17" s="1568" t="s">
        <v>8</v>
      </c>
      <c r="S17" s="1569">
        <f t="shared" si="0"/>
        <v>95</v>
      </c>
      <c r="T17" s="1568" t="s">
        <v>8</v>
      </c>
      <c r="U17" s="1569">
        <f t="shared" si="1"/>
        <v>95</v>
      </c>
      <c r="V17" s="1568" t="s">
        <v>8</v>
      </c>
      <c r="W17" s="1569">
        <f t="shared" si="2"/>
        <v>100</v>
      </c>
      <c r="X17" s="1562"/>
      <c r="Y17" s="3406" t="s">
        <v>539</v>
      </c>
      <c r="Z17" s="1570" t="str">
        <f t="shared" si="7"/>
        <v>居住社区成熟度</v>
      </c>
      <c r="AA17" s="1571">
        <f t="shared" si="3"/>
        <v>1.0526315789473684</v>
      </c>
      <c r="AB17" s="1571">
        <f t="shared" si="4"/>
        <v>1.0526315789473684</v>
      </c>
      <c r="AC17" s="1571">
        <f t="shared" si="5"/>
        <v>1</v>
      </c>
    </row>
    <row r="18" spans="1:29" ht="20.25">
      <c r="A18" s="528"/>
      <c r="B18" s="549"/>
      <c r="C18" s="550" t="s">
        <v>3106</v>
      </c>
      <c r="D18" s="553"/>
      <c r="E18" s="554" t="s">
        <v>3107</v>
      </c>
      <c r="F18" s="551"/>
      <c r="G18" s="552" t="s">
        <v>3107</v>
      </c>
      <c r="H18" s="555"/>
      <c r="I18" s="554" t="s">
        <v>3106</v>
      </c>
      <c r="J18" s="551"/>
      <c r="K18" s="527"/>
      <c r="L18" s="2136"/>
      <c r="M18" s="2126"/>
      <c r="N18" s="2126"/>
      <c r="O18" s="2135"/>
      <c r="P18" s="3407"/>
      <c r="Q18" s="1567"/>
      <c r="R18" s="1568"/>
      <c r="S18" s="1569"/>
      <c r="T18" s="1568"/>
      <c r="U18" s="1569"/>
      <c r="V18" s="1568"/>
      <c r="W18" s="1569"/>
      <c r="X18" s="1562"/>
      <c r="Y18" s="3407"/>
      <c r="Z18" s="1570"/>
      <c r="AA18" s="1571">
        <v>1</v>
      </c>
      <c r="AB18" s="1571">
        <v>1</v>
      </c>
      <c r="AC18" s="1571">
        <v>1</v>
      </c>
    </row>
    <row r="19" spans="1:29" ht="20.25">
      <c r="A19" s="528"/>
      <c r="B19" s="556" t="s">
        <v>540</v>
      </c>
      <c r="C19" s="557">
        <f>估价对象房地状况!C16</f>
        <v>0</v>
      </c>
      <c r="D19" s="559">
        <v>100</v>
      </c>
      <c r="E19" s="560"/>
      <c r="F19" s="555">
        <f>SUMIF(92:92,E20,93:93)-SUMIF(92:92,C20,93:93)+100</f>
        <v>98</v>
      </c>
      <c r="G19" s="558"/>
      <c r="H19" s="561">
        <f>SUMIF(92:92,G20,93:93)-SUMIF(92:92,C20,93:93)+100</f>
        <v>98</v>
      </c>
      <c r="I19" s="560"/>
      <c r="J19" s="561">
        <f>SUMIF(92:92,I20,93:93)-SUMIF(92:92,C20,93:93)+100</f>
        <v>100</v>
      </c>
      <c r="K19" s="531">
        <v>2</v>
      </c>
      <c r="L19" s="2136"/>
      <c r="M19" s="2126"/>
      <c r="N19" s="2126"/>
      <c r="O19" s="2135"/>
      <c r="P19" s="3407"/>
      <c r="Q19" s="1567" t="str">
        <f>B19</f>
        <v>商业繁华度</v>
      </c>
      <c r="R19" s="1568" t="s">
        <v>8</v>
      </c>
      <c r="S19" s="1569">
        <f>F19</f>
        <v>98</v>
      </c>
      <c r="T19" s="1568" t="s">
        <v>8</v>
      </c>
      <c r="U19" s="1569">
        <f>H19</f>
        <v>98</v>
      </c>
      <c r="V19" s="1568" t="s">
        <v>8</v>
      </c>
      <c r="W19" s="1569">
        <f>J19</f>
        <v>100</v>
      </c>
      <c r="X19" s="1562"/>
      <c r="Y19" s="3407"/>
      <c r="Z19" s="1570" t="str">
        <f>Q19</f>
        <v>商业繁华度</v>
      </c>
      <c r="AA19" s="1571">
        <f t="shared" si="3"/>
        <v>1.0204081632653061</v>
      </c>
      <c r="AB19" s="1571">
        <f t="shared" si="4"/>
        <v>1.0204081632653061</v>
      </c>
      <c r="AC19" s="1571">
        <f t="shared" si="5"/>
        <v>1</v>
      </c>
    </row>
    <row r="20" spans="1:29" ht="20.25">
      <c r="A20" s="528"/>
      <c r="B20" s="562"/>
      <c r="C20" s="563" t="s">
        <v>3107</v>
      </c>
      <c r="D20" s="559"/>
      <c r="E20" s="565" t="s">
        <v>3108</v>
      </c>
      <c r="F20" s="555"/>
      <c r="G20" s="564" t="s">
        <v>3108</v>
      </c>
      <c r="H20" s="551"/>
      <c r="I20" s="565" t="s">
        <v>3107</v>
      </c>
      <c r="J20" s="551"/>
      <c r="K20" s="527"/>
      <c r="L20" s="2136"/>
      <c r="M20" s="2126"/>
      <c r="N20" s="2126"/>
      <c r="O20" s="2135"/>
      <c r="P20" s="3407"/>
      <c r="Q20" s="1567"/>
      <c r="R20" s="1568"/>
      <c r="S20" s="1569"/>
      <c r="T20" s="1568"/>
      <c r="U20" s="1569"/>
      <c r="V20" s="1568"/>
      <c r="W20" s="1569"/>
      <c r="X20" s="1562"/>
      <c r="Y20" s="3407"/>
      <c r="Z20" s="1570"/>
      <c r="AA20" s="1571">
        <v>1</v>
      </c>
      <c r="AB20" s="1571">
        <v>1</v>
      </c>
      <c r="AC20" s="1571">
        <v>1</v>
      </c>
    </row>
    <row r="21" spans="1:29" ht="20.25" hidden="1">
      <c r="A21" s="528"/>
      <c r="B21" s="556" t="s">
        <v>541</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36"/>
      <c r="M21" s="2126"/>
      <c r="N21" s="2126"/>
      <c r="O21" s="2135"/>
      <c r="P21" s="3407"/>
      <c r="Q21" s="1567" t="str">
        <f>B21</f>
        <v>办公集聚程度</v>
      </c>
      <c r="R21" s="1568" t="s">
        <v>8</v>
      </c>
      <c r="S21" s="1569">
        <f>F21</f>
        <v>100</v>
      </c>
      <c r="T21" s="1568" t="s">
        <v>8</v>
      </c>
      <c r="U21" s="1569">
        <f>H21</f>
        <v>100</v>
      </c>
      <c r="V21" s="1568" t="s">
        <v>8</v>
      </c>
      <c r="W21" s="1569">
        <f>J21</f>
        <v>100</v>
      </c>
      <c r="X21" s="1562"/>
      <c r="Y21" s="3407"/>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6"/>
      <c r="M22" s="2126"/>
      <c r="N22" s="2126"/>
      <c r="O22" s="2135"/>
      <c r="P22" s="3407"/>
      <c r="Q22" s="1567"/>
      <c r="R22" s="1568"/>
      <c r="S22" s="1569"/>
      <c r="T22" s="1568"/>
      <c r="U22" s="1569"/>
      <c r="V22" s="1568"/>
      <c r="W22" s="1569"/>
      <c r="X22" s="1562"/>
      <c r="Y22" s="3407"/>
      <c r="Z22" s="1570"/>
      <c r="AA22" s="1571">
        <v>1</v>
      </c>
      <c r="AB22" s="1571">
        <v>1</v>
      </c>
      <c r="AC22" s="1571">
        <v>1</v>
      </c>
    </row>
    <row r="23" spans="1:29" ht="20.25">
      <c r="A23" s="528"/>
      <c r="B23" s="556" t="s">
        <v>542</v>
      </c>
      <c r="C23" s="569">
        <f>估价对象房地状况!C18</f>
        <v>0</v>
      </c>
      <c r="D23" s="559">
        <v>100</v>
      </c>
      <c r="E23" s="560"/>
      <c r="F23" s="561">
        <f>SUMIF(96:96,E24,97:97)-SUMIF(96:96,C24,97:97)+100</f>
        <v>97</v>
      </c>
      <c r="G23" s="558"/>
      <c r="H23" s="555">
        <f>SUMIF(96:96,G24,97:97)-SUMIF(96:96,C24,97:97)+100</f>
        <v>97</v>
      </c>
      <c r="I23" s="560"/>
      <c r="J23" s="555">
        <f>SUMIF(96:96,I24,97:97)-SUMIF(96:96,C24,97:97)+100</f>
        <v>100</v>
      </c>
      <c r="K23" s="531">
        <v>3</v>
      </c>
      <c r="L23" s="2136"/>
      <c r="M23" s="2126"/>
      <c r="N23" s="2126"/>
      <c r="O23" s="2135"/>
      <c r="P23" s="3407"/>
      <c r="Q23" s="1567" t="str">
        <f>B23</f>
        <v>交通便捷度</v>
      </c>
      <c r="R23" s="1568" t="s">
        <v>8</v>
      </c>
      <c r="S23" s="1569">
        <f>F23</f>
        <v>97</v>
      </c>
      <c r="T23" s="1568" t="s">
        <v>8</v>
      </c>
      <c r="U23" s="1569">
        <f>H23</f>
        <v>97</v>
      </c>
      <c r="V23" s="1568" t="s">
        <v>8</v>
      </c>
      <c r="W23" s="1569">
        <f>J23</f>
        <v>100</v>
      </c>
      <c r="X23" s="1562"/>
      <c r="Y23" s="3407"/>
      <c r="Z23" s="1570" t="str">
        <f>Q23</f>
        <v>交通便捷度</v>
      </c>
      <c r="AA23" s="1571">
        <f t="shared" si="3"/>
        <v>1.0309278350515463</v>
      </c>
      <c r="AB23" s="1571">
        <f t="shared" si="4"/>
        <v>1.0309278350515463</v>
      </c>
      <c r="AC23" s="1571">
        <f t="shared" si="5"/>
        <v>1</v>
      </c>
    </row>
    <row r="24" spans="1:29" ht="20.25">
      <c r="A24" s="528"/>
      <c r="B24" s="574"/>
      <c r="C24" s="550" t="s">
        <v>3106</v>
      </c>
      <c r="D24" s="553"/>
      <c r="E24" s="554" t="s">
        <v>3107</v>
      </c>
      <c r="F24" s="551"/>
      <c r="G24" s="552" t="s">
        <v>3107</v>
      </c>
      <c r="H24" s="551"/>
      <c r="I24" s="554" t="s">
        <v>3106</v>
      </c>
      <c r="J24" s="551"/>
      <c r="K24" s="527"/>
      <c r="L24" s="2136"/>
      <c r="M24" s="2126"/>
      <c r="N24" s="2126"/>
      <c r="O24" s="2135"/>
      <c r="P24" s="3407"/>
      <c r="Q24" s="1567"/>
      <c r="R24" s="1568"/>
      <c r="S24" s="1569"/>
      <c r="T24" s="1568"/>
      <c r="U24" s="1569"/>
      <c r="V24" s="1568"/>
      <c r="W24" s="1569"/>
      <c r="X24" s="1562"/>
      <c r="Y24" s="3407"/>
      <c r="Z24" s="1570"/>
      <c r="AA24" s="1571">
        <v>1</v>
      </c>
      <c r="AB24" s="1571">
        <v>1</v>
      </c>
      <c r="AC24" s="1571">
        <v>1</v>
      </c>
    </row>
    <row r="25" spans="1:29" ht="27">
      <c r="A25" s="511"/>
      <c r="B25" s="257" t="s">
        <v>543</v>
      </c>
      <c r="C25" s="569">
        <f>估价对象房地状况!C19</f>
        <v>0</v>
      </c>
      <c r="D25" s="559">
        <v>100</v>
      </c>
      <c r="E25" s="560"/>
      <c r="F25" s="561">
        <f>SUMIF(98:98,E26,99:99)-SUMIF(98:98,C26,99:99)+100</f>
        <v>96</v>
      </c>
      <c r="G25" s="558"/>
      <c r="H25" s="555">
        <f>SUMIF(98:98,G26,99:99)-SUMIF(98:98,C26,99:99)+100</f>
        <v>96</v>
      </c>
      <c r="I25" s="560"/>
      <c r="J25" s="555">
        <f>SUMIF(98:98,I26,99:99)-SUMIF(98:98,C26,99:99)+100</f>
        <v>100</v>
      </c>
      <c r="K25" s="531">
        <v>2</v>
      </c>
      <c r="L25" s="2136"/>
      <c r="M25" s="2126"/>
      <c r="N25" s="2126"/>
      <c r="O25" s="2135"/>
      <c r="P25" s="3407"/>
      <c r="Q25" s="1567" t="str">
        <f t="shared" ref="Q25:Q39" si="8">B25</f>
        <v>区域土地利用方向</v>
      </c>
      <c r="R25" s="1568" t="s">
        <v>8</v>
      </c>
      <c r="S25" s="1569">
        <f>F25</f>
        <v>96</v>
      </c>
      <c r="T25" s="1568" t="s">
        <v>8</v>
      </c>
      <c r="U25" s="1569">
        <f>H25</f>
        <v>96</v>
      </c>
      <c r="V25" s="1568" t="s">
        <v>8</v>
      </c>
      <c r="W25" s="1569">
        <f>J25</f>
        <v>100</v>
      </c>
      <c r="X25" s="1562"/>
      <c r="Y25" s="3407"/>
      <c r="Z25" s="1570" t="str">
        <f>Q25</f>
        <v>区域土地利用方向</v>
      </c>
      <c r="AA25" s="1571">
        <f t="shared" si="3"/>
        <v>1.0416666666666667</v>
      </c>
      <c r="AB25" s="1571">
        <f t="shared" si="4"/>
        <v>1.0416666666666667</v>
      </c>
      <c r="AC25" s="1571">
        <f t="shared" si="5"/>
        <v>1</v>
      </c>
    </row>
    <row r="26" spans="1:29" ht="20.25">
      <c r="A26" s="511"/>
      <c r="B26" s="1002"/>
      <c r="C26" s="550" t="s">
        <v>3109</v>
      </c>
      <c r="D26" s="553"/>
      <c r="E26" s="554" t="s">
        <v>3107</v>
      </c>
      <c r="F26" s="551"/>
      <c r="G26" s="552" t="s">
        <v>3107</v>
      </c>
      <c r="H26" s="551"/>
      <c r="I26" s="554" t="s">
        <v>3109</v>
      </c>
      <c r="J26" s="551"/>
      <c r="K26" s="527"/>
      <c r="L26" s="2136"/>
      <c r="M26" s="2126"/>
      <c r="N26" s="2126"/>
      <c r="O26" s="2135"/>
      <c r="P26" s="3407"/>
      <c r="Q26" s="1567"/>
      <c r="R26" s="1568"/>
      <c r="S26" s="1569"/>
      <c r="T26" s="1568"/>
      <c r="U26" s="1569"/>
      <c r="V26" s="1568"/>
      <c r="W26" s="1569"/>
      <c r="X26" s="1562"/>
      <c r="Y26" s="3407"/>
      <c r="Z26" s="1570"/>
      <c r="AA26" s="1571"/>
      <c r="AB26" s="1571"/>
      <c r="AC26" s="1571"/>
    </row>
    <row r="27" spans="1:29" ht="27">
      <c r="A27" s="511"/>
      <c r="B27" s="574" t="s">
        <v>544</v>
      </c>
      <c r="C27" s="557">
        <f>估价对象房地状况!C20</f>
        <v>0</v>
      </c>
      <c r="D27" s="559">
        <v>100</v>
      </c>
      <c r="E27" s="560"/>
      <c r="F27" s="555">
        <f>SUMIF(100:100,E28,101:101)-SUMIF(100:100,C28,101:101)+100</f>
        <v>105</v>
      </c>
      <c r="G27" s="558"/>
      <c r="H27" s="555">
        <f>SUMIF(100:100,G28,101:101)-SUMIF(100:100,C28,101:101)+100</f>
        <v>105</v>
      </c>
      <c r="I27" s="560"/>
      <c r="J27" s="555">
        <f>SUMIF(100:100,I28,101:101)-SUMIF(100:100,C28,101:101)+100</f>
        <v>100</v>
      </c>
      <c r="K27" s="531">
        <v>5</v>
      </c>
      <c r="L27" s="2136"/>
      <c r="M27" s="2126"/>
      <c r="N27" s="2126"/>
      <c r="O27" s="2135"/>
      <c r="P27" s="3407"/>
      <c r="Q27" s="1567" t="str">
        <f t="shared" si="8"/>
        <v>自然及人文环境状况</v>
      </c>
      <c r="R27" s="1568" t="s">
        <v>8</v>
      </c>
      <c r="S27" s="1569">
        <f>F27</f>
        <v>105</v>
      </c>
      <c r="T27" s="1568" t="s">
        <v>8</v>
      </c>
      <c r="U27" s="1569">
        <f>H27</f>
        <v>105</v>
      </c>
      <c r="V27" s="1568" t="s">
        <v>8</v>
      </c>
      <c r="W27" s="1569">
        <f>J27</f>
        <v>100</v>
      </c>
      <c r="X27" s="1562"/>
      <c r="Y27" s="3407"/>
      <c r="Z27" s="1570" t="str">
        <f>Q27</f>
        <v>自然及人文环境状况</v>
      </c>
      <c r="AA27" s="1571">
        <f t="shared" si="3"/>
        <v>0.95238095238095233</v>
      </c>
      <c r="AB27" s="1571">
        <f t="shared" si="4"/>
        <v>0.95238095238095233</v>
      </c>
      <c r="AC27" s="1571">
        <f t="shared" si="5"/>
        <v>1</v>
      </c>
    </row>
    <row r="28" spans="1:29" ht="20.25">
      <c r="A28" s="511"/>
      <c r="B28" s="562"/>
      <c r="C28" s="550" t="s">
        <v>3107</v>
      </c>
      <c r="D28" s="553"/>
      <c r="E28" s="572" t="s">
        <v>3106</v>
      </c>
      <c r="F28" s="551"/>
      <c r="G28" s="550" t="s">
        <v>3106</v>
      </c>
      <c r="H28" s="551"/>
      <c r="I28" s="572" t="s">
        <v>3107</v>
      </c>
      <c r="J28" s="551"/>
      <c r="K28" s="527"/>
      <c r="L28" s="2136"/>
      <c r="M28" s="2126"/>
      <c r="N28" s="2126"/>
      <c r="O28" s="2135"/>
      <c r="P28" s="3407"/>
      <c r="Q28" s="1567"/>
      <c r="R28" s="1568"/>
      <c r="S28" s="1569"/>
      <c r="T28" s="1568"/>
      <c r="U28" s="1569"/>
      <c r="V28" s="1568"/>
      <c r="W28" s="1569"/>
      <c r="X28" s="1562"/>
      <c r="Y28" s="3407"/>
      <c r="Z28" s="1570"/>
      <c r="AA28" s="1571">
        <v>1</v>
      </c>
      <c r="AB28" s="1571">
        <v>1</v>
      </c>
      <c r="AC28" s="1571">
        <v>1</v>
      </c>
    </row>
    <row r="29" spans="1:29" s="1215" customFormat="1" ht="20.25">
      <c r="A29" s="573"/>
      <c r="B29" s="2609" t="s">
        <v>2546</v>
      </c>
      <c r="C29" s="569">
        <f>估价对象房地状况!C21</f>
        <v>0</v>
      </c>
      <c r="D29" s="559">
        <v>100</v>
      </c>
      <c r="E29" s="560"/>
      <c r="F29" s="555">
        <f>SUMIF(102:102,E30,103:103)-SUMIF(102:102,C30,103:103)+100</f>
        <v>95</v>
      </c>
      <c r="G29" s="558"/>
      <c r="H29" s="555">
        <f>SUMIF(102:102,G30,103:103)-SUMIF(102:102,C30,103:103)+100</f>
        <v>95</v>
      </c>
      <c r="I29" s="560"/>
      <c r="J29" s="555">
        <f>SUMIF(102:102,I30,103:103)-SUMIF(102:102,C30,103:103)+100</f>
        <v>100</v>
      </c>
      <c r="K29" s="531">
        <v>5</v>
      </c>
      <c r="L29" s="2129"/>
      <c r="M29" s="2126"/>
      <c r="N29" s="2126"/>
      <c r="O29" s="2131"/>
      <c r="P29" s="3407"/>
      <c r="Q29" s="1146" t="str">
        <f t="shared" si="8"/>
        <v>公共配套设施</v>
      </c>
      <c r="R29" s="1563" t="s">
        <v>8</v>
      </c>
      <c r="S29" s="1564">
        <f>F29</f>
        <v>95</v>
      </c>
      <c r="T29" s="1563" t="s">
        <v>8</v>
      </c>
      <c r="U29" s="1564">
        <f>H29</f>
        <v>95</v>
      </c>
      <c r="V29" s="1563" t="s">
        <v>8</v>
      </c>
      <c r="W29" s="1564">
        <f>J29</f>
        <v>100</v>
      </c>
      <c r="X29" s="1565"/>
      <c r="Y29" s="3407"/>
      <c r="Z29" s="1145" t="str">
        <f>Q29</f>
        <v>公共配套设施</v>
      </c>
      <c r="AA29" s="1571">
        <f>D29/F29</f>
        <v>1.0526315789473684</v>
      </c>
      <c r="AB29" s="1571">
        <f>D29/H29</f>
        <v>1.0526315789473684</v>
      </c>
      <c r="AC29" s="1571">
        <f>D29/J29</f>
        <v>1</v>
      </c>
    </row>
    <row r="30" spans="1:29" s="1215" customFormat="1" ht="20.25">
      <c r="A30" s="573"/>
      <c r="B30" s="562"/>
      <c r="C30" s="575" t="s">
        <v>3106</v>
      </c>
      <c r="D30" s="553"/>
      <c r="E30" s="572" t="s">
        <v>3107</v>
      </c>
      <c r="F30" s="551"/>
      <c r="G30" s="550" t="s">
        <v>3107</v>
      </c>
      <c r="H30" s="551"/>
      <c r="I30" s="572" t="s">
        <v>3106</v>
      </c>
      <c r="J30" s="551"/>
      <c r="K30" s="527"/>
      <c r="L30" s="2129"/>
      <c r="M30" s="2126"/>
      <c r="N30" s="2126"/>
      <c r="O30" s="2131"/>
      <c r="P30" s="3407"/>
      <c r="Q30" s="1146"/>
      <c r="R30" s="1563"/>
      <c r="S30" s="1564"/>
      <c r="T30" s="1563"/>
      <c r="U30" s="1564"/>
      <c r="V30" s="1563"/>
      <c r="W30" s="1564"/>
      <c r="X30" s="1565"/>
      <c r="Y30" s="3407"/>
      <c r="Z30" s="1145"/>
      <c r="AA30" s="1571">
        <v>1</v>
      </c>
      <c r="AB30" s="1571">
        <v>1</v>
      </c>
      <c r="AC30" s="1571">
        <v>1</v>
      </c>
    </row>
    <row r="31" spans="1:29" s="1215" customFormat="1" ht="20.25">
      <c r="A31" s="573"/>
      <c r="B31" s="2609" t="s">
        <v>2547</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29"/>
      <c r="M31" s="2126"/>
      <c r="N31" s="2126"/>
      <c r="O31" s="2131"/>
      <c r="P31" s="3407"/>
      <c r="Q31" s="2596" t="str">
        <f t="shared" ref="Q31" si="9">B31</f>
        <v>基础设施水平</v>
      </c>
      <c r="R31" s="1563" t="s">
        <v>8</v>
      </c>
      <c r="S31" s="1564">
        <f>F31</f>
        <v>100</v>
      </c>
      <c r="T31" s="1563" t="s">
        <v>8</v>
      </c>
      <c r="U31" s="1564">
        <f>H31</f>
        <v>100</v>
      </c>
      <c r="V31" s="1563" t="s">
        <v>8</v>
      </c>
      <c r="W31" s="1564">
        <f>J31</f>
        <v>100</v>
      </c>
      <c r="X31" s="1565"/>
      <c r="Y31" s="3407"/>
      <c r="Z31" s="2593" t="str">
        <f>Q31</f>
        <v>基础设施水平</v>
      </c>
      <c r="AA31" s="1571">
        <f>D31/F31</f>
        <v>1</v>
      </c>
      <c r="AB31" s="1571">
        <f>D31/H31</f>
        <v>1</v>
      </c>
      <c r="AC31" s="1571">
        <f>D31/J31</f>
        <v>1</v>
      </c>
    </row>
    <row r="32" spans="1:29" s="1215" customFormat="1" ht="20.25">
      <c r="A32" s="573"/>
      <c r="B32" s="562"/>
      <c r="C32" s="575" t="s">
        <v>3110</v>
      </c>
      <c r="D32" s="553"/>
      <c r="E32" s="2610" t="s">
        <v>3110</v>
      </c>
      <c r="F32" s="551"/>
      <c r="G32" s="575" t="s">
        <v>3110</v>
      </c>
      <c r="H32" s="551"/>
      <c r="I32" s="575" t="s">
        <v>3110</v>
      </c>
      <c r="J32" s="551"/>
      <c r="K32" s="527"/>
      <c r="L32" s="2129"/>
      <c r="M32" s="2126"/>
      <c r="N32" s="2126"/>
      <c r="O32" s="2131"/>
      <c r="P32" s="3407"/>
      <c r="Q32" s="2596"/>
      <c r="R32" s="1563"/>
      <c r="S32" s="1564"/>
      <c r="T32" s="1563"/>
      <c r="U32" s="1564"/>
      <c r="V32" s="1563"/>
      <c r="W32" s="1564"/>
      <c r="X32" s="1565"/>
      <c r="Y32" s="3407"/>
      <c r="Z32" s="2593"/>
      <c r="AA32" s="1571">
        <v>1</v>
      </c>
      <c r="AB32" s="1571">
        <v>1</v>
      </c>
      <c r="AC32" s="1571">
        <v>1</v>
      </c>
    </row>
    <row r="33" spans="1:29" ht="20.25" hidden="1">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6"/>
      <c r="M33" s="2126"/>
      <c r="N33" s="2126"/>
      <c r="O33" s="2135"/>
      <c r="P33" s="3407"/>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07"/>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98</v>
      </c>
      <c r="G34" s="558"/>
      <c r="H34" s="555">
        <f>SUMIF(108:108,G35,109:109)-SUMIF(108:108,C35,109:109)+100</f>
        <v>98</v>
      </c>
      <c r="I34" s="560"/>
      <c r="J34" s="555">
        <f>SUMIF(108:108,I35,109:109)-SUMIF(108:108,C35,109:109)+100</f>
        <v>100</v>
      </c>
      <c r="K34" s="531">
        <v>2</v>
      </c>
      <c r="L34" s="2136"/>
      <c r="M34" s="2126"/>
      <c r="N34" s="2126"/>
      <c r="O34" s="2135"/>
      <c r="P34" s="3407"/>
      <c r="Q34" s="1567" t="str">
        <f t="shared" si="8"/>
        <v>毗邻道路的类型与等级</v>
      </c>
      <c r="R34" s="1568" t="s">
        <v>8</v>
      </c>
      <c r="S34" s="1569">
        <f t="shared" si="10"/>
        <v>98</v>
      </c>
      <c r="T34" s="1568" t="s">
        <v>8</v>
      </c>
      <c r="U34" s="1569">
        <f t="shared" si="11"/>
        <v>98</v>
      </c>
      <c r="V34" s="1568" t="s">
        <v>8</v>
      </c>
      <c r="W34" s="1569">
        <f t="shared" si="12"/>
        <v>100</v>
      </c>
      <c r="X34" s="1562"/>
      <c r="Y34" s="3407"/>
      <c r="Z34" s="1570" t="str">
        <f t="shared" si="13"/>
        <v>毗邻道路的类型与等级</v>
      </c>
      <c r="AA34" s="1571">
        <f t="shared" si="3"/>
        <v>1.0204081632653061</v>
      </c>
      <c r="AB34" s="1571">
        <f t="shared" si="4"/>
        <v>1.0204081632653061</v>
      </c>
      <c r="AC34" s="1571">
        <f t="shared" si="5"/>
        <v>1</v>
      </c>
    </row>
    <row r="35" spans="1:29" ht="20.25">
      <c r="A35" s="528"/>
      <c r="B35" s="562"/>
      <c r="C35" s="550" t="s">
        <v>3113</v>
      </c>
      <c r="D35" s="553"/>
      <c r="E35" s="572" t="s">
        <v>3115</v>
      </c>
      <c r="F35" s="551"/>
      <c r="G35" s="550" t="s">
        <v>3115</v>
      </c>
      <c r="H35" s="551"/>
      <c r="I35" s="572" t="s">
        <v>3113</v>
      </c>
      <c r="J35" s="551"/>
      <c r="K35" s="577"/>
      <c r="L35" s="2136"/>
      <c r="M35" s="2126"/>
      <c r="N35" s="2126"/>
      <c r="O35" s="2135"/>
      <c r="P35" s="3407"/>
      <c r="Q35" s="1567"/>
      <c r="R35" s="1568"/>
      <c r="S35" s="1569"/>
      <c r="T35" s="1568"/>
      <c r="U35" s="1569"/>
      <c r="V35" s="1568"/>
      <c r="W35" s="1569"/>
      <c r="X35" s="1562"/>
      <c r="Y35" s="3407"/>
      <c r="Z35" s="1570"/>
      <c r="AA35" s="1571">
        <v>1</v>
      </c>
      <c r="AB35" s="1571">
        <v>1</v>
      </c>
      <c r="AC35" s="1571">
        <v>1</v>
      </c>
    </row>
    <row r="36" spans="1:29" ht="21" thickBot="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6"/>
      <c r="M36" s="2126"/>
      <c r="N36" s="2126"/>
      <c r="O36" s="2135"/>
      <c r="P36" s="3407"/>
      <c r="Q36" s="1567" t="str">
        <f t="shared" si="8"/>
        <v>土地级别</v>
      </c>
      <c r="R36" s="1568" t="s">
        <v>8</v>
      </c>
      <c r="S36" s="1569">
        <f t="shared" si="10"/>
        <v>100</v>
      </c>
      <c r="T36" s="1568" t="s">
        <v>8</v>
      </c>
      <c r="U36" s="1569">
        <f t="shared" si="11"/>
        <v>100</v>
      </c>
      <c r="V36" s="1568" t="s">
        <v>8</v>
      </c>
      <c r="W36" s="1569">
        <f t="shared" si="12"/>
        <v>100</v>
      </c>
      <c r="X36" s="1562"/>
      <c r="Y36" s="3407"/>
      <c r="Z36" s="1570" t="str">
        <f t="shared" si="13"/>
        <v>土地级别</v>
      </c>
      <c r="AA36" s="1571">
        <f t="shared" si="3"/>
        <v>1</v>
      </c>
      <c r="AB36" s="1571">
        <f t="shared" si="4"/>
        <v>1</v>
      </c>
      <c r="AC36" s="1571">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6"/>
      <c r="M37" s="2126"/>
      <c r="N37" s="2126"/>
      <c r="O37" s="2135"/>
      <c r="P37" s="3407"/>
      <c r="Q37" s="1567">
        <f t="shared" si="8"/>
        <v>0</v>
      </c>
      <c r="R37" s="1568" t="s">
        <v>8</v>
      </c>
      <c r="S37" s="1569">
        <f t="shared" si="10"/>
        <v>100</v>
      </c>
      <c r="T37" s="1568" t="s">
        <v>8</v>
      </c>
      <c r="U37" s="1569">
        <f t="shared" si="11"/>
        <v>100</v>
      </c>
      <c r="V37" s="1568" t="s">
        <v>8</v>
      </c>
      <c r="W37" s="1569">
        <f t="shared" si="12"/>
        <v>100</v>
      </c>
      <c r="X37" s="1562"/>
      <c r="Y37" s="3407"/>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6"/>
      <c r="M38" s="2126"/>
      <c r="N38" s="2126"/>
      <c r="O38" s="2135"/>
      <c r="P38" s="3408" t="s">
        <v>549</v>
      </c>
      <c r="Q38" s="1567">
        <f t="shared" si="8"/>
        <v>0</v>
      </c>
      <c r="R38" s="1568" t="s">
        <v>8</v>
      </c>
      <c r="S38" s="1569">
        <f t="shared" si="10"/>
        <v>100</v>
      </c>
      <c r="T38" s="1568" t="s">
        <v>8</v>
      </c>
      <c r="U38" s="1569">
        <f t="shared" si="11"/>
        <v>100</v>
      </c>
      <c r="V38" s="1568" t="s">
        <v>8</v>
      </c>
      <c r="W38" s="1569">
        <f t="shared" si="12"/>
        <v>100</v>
      </c>
      <c r="X38" s="1562"/>
      <c r="Y38" s="3409" t="s">
        <v>549</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4"/>
      <c r="M39" s="2126"/>
      <c r="N39" s="2126"/>
      <c r="O39" s="2137"/>
      <c r="P39" s="3409"/>
      <c r="Q39" s="1567">
        <f t="shared" si="8"/>
        <v>0</v>
      </c>
      <c r="R39" s="1572" t="s">
        <v>8</v>
      </c>
      <c r="S39" s="1573">
        <f t="shared" si="10"/>
        <v>100</v>
      </c>
      <c r="T39" s="1572" t="s">
        <v>8</v>
      </c>
      <c r="U39" s="1573">
        <f t="shared" si="11"/>
        <v>100</v>
      </c>
      <c r="V39" s="1572" t="s">
        <v>8</v>
      </c>
      <c r="W39" s="1573">
        <f t="shared" si="12"/>
        <v>100</v>
      </c>
      <c r="X39" s="1574"/>
      <c r="Y39" s="3409"/>
      <c r="Z39" s="1575">
        <f t="shared" si="13"/>
        <v>0</v>
      </c>
      <c r="AA39" s="1571">
        <f t="shared" si="3"/>
        <v>1</v>
      </c>
      <c r="AB39" s="1571">
        <f t="shared" si="4"/>
        <v>1</v>
      </c>
      <c r="AC39" s="1571">
        <f t="shared" si="5"/>
        <v>1</v>
      </c>
    </row>
    <row r="40" spans="1:29" ht="20.25">
      <c r="A40" s="2925" t="s">
        <v>2753</v>
      </c>
      <c r="B40" s="591" t="s">
        <v>551</v>
      </c>
      <c r="C40" s="592">
        <v>111528.14</v>
      </c>
      <c r="D40" s="593">
        <v>100</v>
      </c>
      <c r="E40" s="592">
        <f>土地案例清单!E5</f>
        <v>65547.7</v>
      </c>
      <c r="F40" s="593">
        <f>LOOKUP(E40,119:119,120:120)-LOOKUP(C40,119:119,120:120)+100</f>
        <v>99.5</v>
      </c>
      <c r="G40" s="592">
        <f>土地案例清单!E6</f>
        <v>64726.28</v>
      </c>
      <c r="H40" s="593">
        <f>LOOKUP(G40,119:119,120:120)-LOOKUP(C40,119:119,120:120)+100</f>
        <v>99.5</v>
      </c>
      <c r="I40" s="594">
        <f>土地案例清单!E16</f>
        <v>9503.06</v>
      </c>
      <c r="J40" s="593">
        <f>LOOKUP(I40,119:119,120:120)-LOOKUP(C40,119:119,120:120)+100</f>
        <v>98.5</v>
      </c>
      <c r="K40" s="577"/>
      <c r="L40" s="2136"/>
      <c r="M40" s="2126"/>
      <c r="N40" s="2126"/>
      <c r="O40" s="2135"/>
      <c r="P40" s="3409"/>
      <c r="Q40" s="1567" t="str">
        <f>B40</f>
        <v>宗地面积</v>
      </c>
      <c r="R40" s="1568" t="s">
        <v>8</v>
      </c>
      <c r="S40" s="1569">
        <f t="shared" si="10"/>
        <v>99.5</v>
      </c>
      <c r="T40" s="1568" t="s">
        <v>8</v>
      </c>
      <c r="U40" s="1569">
        <f t="shared" si="11"/>
        <v>99.5</v>
      </c>
      <c r="V40" s="1568" t="s">
        <v>8</v>
      </c>
      <c r="W40" s="1569">
        <f t="shared" si="12"/>
        <v>98.5</v>
      </c>
      <c r="X40" s="1562"/>
      <c r="Y40" s="3409"/>
      <c r="Z40" s="1570" t="str">
        <f t="shared" si="13"/>
        <v>宗地面积</v>
      </c>
      <c r="AA40" s="1571">
        <f t="shared" si="3"/>
        <v>1.0050251256281406</v>
      </c>
      <c r="AB40" s="1571">
        <f t="shared" si="4"/>
        <v>1.0050251256281406</v>
      </c>
      <c r="AC40" s="1571">
        <f t="shared" si="5"/>
        <v>1.015228426395939</v>
      </c>
    </row>
    <row r="41" spans="1:29" ht="20.25">
      <c r="A41" s="590"/>
      <c r="B41" s="523" t="s">
        <v>552</v>
      </c>
      <c r="C41" s="595" t="s">
        <v>3118</v>
      </c>
      <c r="D41" s="536">
        <v>100</v>
      </c>
      <c r="E41" s="595" t="s">
        <v>3118</v>
      </c>
      <c r="F41" s="536">
        <f>SUMIF(121:121,E41,122:122)-SUMIF(121:121,C41,122:122)+100</f>
        <v>100</v>
      </c>
      <c r="G41" s="595" t="s">
        <v>3118</v>
      </c>
      <c r="H41" s="536">
        <f>SUMIF(121:121,G41,122:122)-SUMIF(121:121,C41,122:122)+100</f>
        <v>100</v>
      </c>
      <c r="I41" s="595" t="s">
        <v>3118</v>
      </c>
      <c r="J41" s="536">
        <f>SUMIF(121:121,I41,122:122)-SUMIF(121:121,C41,122:122)+100</f>
        <v>100</v>
      </c>
      <c r="K41" s="580"/>
      <c r="L41" s="2136"/>
      <c r="M41" s="2126"/>
      <c r="N41" s="2126"/>
      <c r="O41" s="2135"/>
      <c r="P41" s="3409"/>
      <c r="Q41" s="1567" t="str">
        <f t="shared" ref="Q41:Q47" si="14">B41</f>
        <v>宗地形状</v>
      </c>
      <c r="R41" s="1568" t="s">
        <v>8</v>
      </c>
      <c r="S41" s="1569">
        <f t="shared" si="10"/>
        <v>100</v>
      </c>
      <c r="T41" s="1568" t="s">
        <v>8</v>
      </c>
      <c r="U41" s="1569">
        <f t="shared" si="11"/>
        <v>100</v>
      </c>
      <c r="V41" s="1568" t="s">
        <v>8</v>
      </c>
      <c r="W41" s="1569">
        <f t="shared" si="12"/>
        <v>100</v>
      </c>
      <c r="X41" s="1562"/>
      <c r="Y41" s="3409"/>
      <c r="Z41" s="1570" t="str">
        <f t="shared" si="13"/>
        <v>宗地形状</v>
      </c>
      <c r="AA41" s="1571">
        <f t="shared" si="3"/>
        <v>1</v>
      </c>
      <c r="AB41" s="1571">
        <f t="shared" si="4"/>
        <v>1</v>
      </c>
      <c r="AC41" s="1571">
        <f t="shared" si="5"/>
        <v>1</v>
      </c>
    </row>
    <row r="42" spans="1:29" ht="20.25" hidden="1">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6"/>
      <c r="M42" s="2126"/>
      <c r="N42" s="2126"/>
      <c r="O42" s="2135"/>
      <c r="P42" s="3409"/>
      <c r="Q42" s="1567" t="str">
        <f t="shared" si="14"/>
        <v>临街宽度及深度</v>
      </c>
      <c r="R42" s="1568" t="s">
        <v>8</v>
      </c>
      <c r="S42" s="1569">
        <f t="shared" si="10"/>
        <v>100</v>
      </c>
      <c r="T42" s="1568" t="s">
        <v>8</v>
      </c>
      <c r="U42" s="1569">
        <f t="shared" si="11"/>
        <v>100</v>
      </c>
      <c r="V42" s="1568" t="s">
        <v>8</v>
      </c>
      <c r="W42" s="1569">
        <f t="shared" si="12"/>
        <v>100</v>
      </c>
      <c r="X42" s="1562"/>
      <c r="Y42" s="3409"/>
      <c r="Z42" s="1570" t="str">
        <f t="shared" si="13"/>
        <v>临街宽度及深度</v>
      </c>
      <c r="AA42" s="1571">
        <f t="shared" si="3"/>
        <v>1</v>
      </c>
      <c r="AB42" s="1571">
        <f t="shared" si="4"/>
        <v>1</v>
      </c>
      <c r="AC42" s="1571">
        <f t="shared" si="5"/>
        <v>1</v>
      </c>
    </row>
    <row r="43" spans="1:29" s="1215" customFormat="1" ht="20.25">
      <c r="A43" s="596"/>
      <c r="B43" s="1889" t="s">
        <v>2421</v>
      </c>
      <c r="C43" s="597" t="s">
        <v>3125</v>
      </c>
      <c r="D43" s="253">
        <v>100</v>
      </c>
      <c r="E43" s="597" t="s">
        <v>3125</v>
      </c>
      <c r="F43" s="536">
        <f>SUMIF(125:125,E43,126:126)-SUMIF(125:125,C43,126:126)+100</f>
        <v>100</v>
      </c>
      <c r="G43" s="597" t="s">
        <v>3125</v>
      </c>
      <c r="H43" s="536">
        <f>SUMIF(125:125,G43,126:126)-SUMIF(125:125,C43,126:126)+100</f>
        <v>100</v>
      </c>
      <c r="I43" s="597" t="s">
        <v>3125</v>
      </c>
      <c r="J43" s="536">
        <f>SUMIF(125:125,I43,126:126)-SUMIF(125:125,C43,126:126)+100</f>
        <v>100</v>
      </c>
      <c r="K43" s="580"/>
      <c r="L43" s="2129"/>
      <c r="M43" s="2126"/>
      <c r="N43" s="2126"/>
      <c r="O43" s="2131"/>
      <c r="P43" s="3409"/>
      <c r="Q43" s="1567" t="str">
        <f t="shared" si="14"/>
        <v>宗地开发程度</v>
      </c>
      <c r="R43" s="1563" t="s">
        <v>8</v>
      </c>
      <c r="S43" s="1564">
        <f t="shared" si="10"/>
        <v>100</v>
      </c>
      <c r="T43" s="1563" t="s">
        <v>8</v>
      </c>
      <c r="U43" s="1564">
        <f t="shared" si="11"/>
        <v>100</v>
      </c>
      <c r="V43" s="1563" t="s">
        <v>8</v>
      </c>
      <c r="W43" s="1564">
        <f t="shared" si="12"/>
        <v>100</v>
      </c>
      <c r="X43" s="1565"/>
      <c r="Y43" s="3409"/>
      <c r="Z43" s="1145" t="str">
        <f t="shared" si="13"/>
        <v>宗地开发程度</v>
      </c>
      <c r="AA43" s="1566">
        <f t="shared" si="3"/>
        <v>1</v>
      </c>
      <c r="AB43" s="1566">
        <f t="shared" si="4"/>
        <v>1</v>
      </c>
      <c r="AC43" s="1566">
        <f t="shared" si="5"/>
        <v>1</v>
      </c>
    </row>
    <row r="44" spans="1:29" ht="21" thickBot="1">
      <c r="A44" s="590"/>
      <c r="B44" s="523" t="s">
        <v>554</v>
      </c>
      <c r="C44" s="595" t="s">
        <v>3127</v>
      </c>
      <c r="D44" s="536">
        <v>100</v>
      </c>
      <c r="E44" s="595" t="s">
        <v>3127</v>
      </c>
      <c r="F44" s="536">
        <f>SUMIF(127:127,E44,128:128)-SUMIF(127:127,C44,128:128)+100</f>
        <v>100</v>
      </c>
      <c r="G44" s="595" t="s">
        <v>3127</v>
      </c>
      <c r="H44" s="536">
        <f>SUMIF(127:127,G44,128:128)-SUMIF(127:127,C44,128:128)+100</f>
        <v>100</v>
      </c>
      <c r="I44" s="595" t="s">
        <v>3127</v>
      </c>
      <c r="J44" s="536">
        <f>SUMIF(127:127,I44,128:128)-SUMIF(127:127,C44,128:128)+100</f>
        <v>100</v>
      </c>
      <c r="K44" s="580"/>
      <c r="L44" s="2136"/>
      <c r="M44" s="2126"/>
      <c r="N44" s="2126"/>
      <c r="O44" s="2135"/>
      <c r="P44" s="3409" t="s">
        <v>549</v>
      </c>
      <c r="Q44" s="1567" t="str">
        <f t="shared" si="14"/>
        <v>工程地质条件</v>
      </c>
      <c r="R44" s="1568" t="s">
        <v>8</v>
      </c>
      <c r="S44" s="1569">
        <f t="shared" si="10"/>
        <v>100</v>
      </c>
      <c r="T44" s="1568" t="s">
        <v>8</v>
      </c>
      <c r="U44" s="1569">
        <f t="shared" si="11"/>
        <v>100</v>
      </c>
      <c r="V44" s="1568" t="s">
        <v>8</v>
      </c>
      <c r="W44" s="1569">
        <f t="shared" si="12"/>
        <v>100</v>
      </c>
      <c r="X44" s="1562"/>
      <c r="Y44" s="3409" t="s">
        <v>549</v>
      </c>
      <c r="Z44" s="1570" t="str">
        <f t="shared" si="13"/>
        <v>工程地质条件</v>
      </c>
      <c r="AA44" s="1571">
        <f t="shared" si="3"/>
        <v>1</v>
      </c>
      <c r="AB44" s="1571">
        <f t="shared" si="4"/>
        <v>1</v>
      </c>
      <c r="AC44" s="1571">
        <f t="shared" si="5"/>
        <v>1</v>
      </c>
    </row>
    <row r="45" spans="1:29" ht="20.25" hidden="1">
      <c r="A45" s="590"/>
      <c r="B45" s="598"/>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6"/>
      <c r="M45" s="2126"/>
      <c r="N45" s="2126"/>
      <c r="O45" s="2135"/>
      <c r="P45" s="3409"/>
      <c r="Q45" s="1567">
        <f t="shared" si="14"/>
        <v>0</v>
      </c>
      <c r="R45" s="1568" t="s">
        <v>8</v>
      </c>
      <c r="S45" s="1569">
        <f t="shared" si="10"/>
        <v>100</v>
      </c>
      <c r="T45" s="1568" t="s">
        <v>8</v>
      </c>
      <c r="U45" s="1569">
        <f t="shared" si="11"/>
        <v>100</v>
      </c>
      <c r="V45" s="1568" t="s">
        <v>8</v>
      </c>
      <c r="W45" s="1569">
        <f t="shared" si="12"/>
        <v>100</v>
      </c>
      <c r="X45" s="1562"/>
      <c r="Y45" s="3409"/>
      <c r="Z45" s="1570">
        <f t="shared" si="13"/>
        <v>0</v>
      </c>
      <c r="AA45" s="1571">
        <f t="shared" si="3"/>
        <v>1</v>
      </c>
      <c r="AB45" s="1571">
        <f t="shared" si="4"/>
        <v>1</v>
      </c>
      <c r="AC45" s="1571">
        <f t="shared" si="5"/>
        <v>1</v>
      </c>
    </row>
    <row r="46" spans="1:29" ht="20.25" hidden="1">
      <c r="A46" s="590"/>
      <c r="B46" s="598"/>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6"/>
      <c r="M46" s="2126"/>
      <c r="N46" s="2126"/>
      <c r="O46" s="2135"/>
      <c r="P46" s="3409"/>
      <c r="Q46" s="1567">
        <f t="shared" si="14"/>
        <v>0</v>
      </c>
      <c r="R46" s="1568" t="s">
        <v>8</v>
      </c>
      <c r="S46" s="1569">
        <f t="shared" si="10"/>
        <v>100</v>
      </c>
      <c r="T46" s="1568" t="s">
        <v>8</v>
      </c>
      <c r="U46" s="1569">
        <f t="shared" si="11"/>
        <v>100</v>
      </c>
      <c r="V46" s="1568" t="s">
        <v>8</v>
      </c>
      <c r="W46" s="1569">
        <f t="shared" si="12"/>
        <v>100</v>
      </c>
      <c r="X46" s="1562"/>
      <c r="Y46" s="3409"/>
      <c r="Z46" s="1570">
        <f t="shared" si="13"/>
        <v>0</v>
      </c>
      <c r="AA46" s="1571">
        <f t="shared" si="3"/>
        <v>1</v>
      </c>
      <c r="AB46" s="1571">
        <f t="shared" si="4"/>
        <v>1</v>
      </c>
      <c r="AC46" s="1571">
        <f t="shared" si="5"/>
        <v>1</v>
      </c>
    </row>
    <row r="47" spans="1:29" s="1334" customFormat="1" ht="21" hidden="1" thickBot="1">
      <c r="A47" s="599"/>
      <c r="B47" s="598"/>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4"/>
      <c r="M47" s="2126"/>
      <c r="N47" s="2126"/>
      <c r="O47" s="2137"/>
      <c r="P47" s="3409"/>
      <c r="Q47" s="1567">
        <f t="shared" si="14"/>
        <v>0</v>
      </c>
      <c r="R47" s="1572" t="s">
        <v>8</v>
      </c>
      <c r="S47" s="1573">
        <f t="shared" si="10"/>
        <v>100</v>
      </c>
      <c r="T47" s="1572" t="s">
        <v>8</v>
      </c>
      <c r="U47" s="1573">
        <f t="shared" si="11"/>
        <v>100</v>
      </c>
      <c r="V47" s="1572" t="s">
        <v>8</v>
      </c>
      <c r="W47" s="1573">
        <f t="shared" si="12"/>
        <v>100</v>
      </c>
      <c r="X47" s="1574"/>
      <c r="Y47" s="3409"/>
      <c r="Z47" s="1575">
        <f t="shared" si="13"/>
        <v>0</v>
      </c>
      <c r="AA47" s="1571">
        <f t="shared" si="3"/>
        <v>1</v>
      </c>
      <c r="AB47" s="1571">
        <f t="shared" si="4"/>
        <v>1</v>
      </c>
      <c r="AC47" s="1571">
        <f t="shared" si="5"/>
        <v>1</v>
      </c>
    </row>
    <row r="48" spans="1:29" ht="20.25">
      <c r="A48" s="603" t="s">
        <v>555</v>
      </c>
      <c r="B48" s="604" t="s">
        <v>3027</v>
      </c>
      <c r="C48" s="605" t="s">
        <v>1</v>
      </c>
      <c r="D48" s="606"/>
      <c r="E48" s="607">
        <f>土地案例清单!K5</f>
        <v>6505.68</v>
      </c>
      <c r="F48" s="608"/>
      <c r="G48" s="609">
        <f>土地案例清单!K6</f>
        <v>6102.68</v>
      </c>
      <c r="H48" s="610"/>
      <c r="I48" s="607">
        <f>土地案例清单!K16</f>
        <v>5542.09</v>
      </c>
      <c r="J48" s="610"/>
      <c r="K48" s="1335"/>
      <c r="L48" s="2138"/>
      <c r="M48" s="2126"/>
      <c r="N48" s="2126"/>
      <c r="O48" s="2139"/>
      <c r="P48" s="3404" t="str">
        <f>A48</f>
        <v>成交单价</v>
      </c>
      <c r="Q48" s="3404"/>
      <c r="R48" s="3418">
        <f>E48</f>
        <v>6505.68</v>
      </c>
      <c r="S48" s="3418"/>
      <c r="T48" s="3418">
        <f>G48</f>
        <v>6102.68</v>
      </c>
      <c r="U48" s="3418"/>
      <c r="V48" s="3418">
        <f>I48</f>
        <v>5542.09</v>
      </c>
      <c r="W48" s="3418"/>
      <c r="X48" s="1554"/>
      <c r="Y48" s="1576"/>
      <c r="Z48" s="1554"/>
      <c r="AA48" s="1554"/>
      <c r="AB48" s="1554"/>
      <c r="AC48" s="1554"/>
    </row>
    <row r="49" spans="1:29" ht="21" thickBot="1">
      <c r="A49" s="611" t="s">
        <v>2691</v>
      </c>
      <c r="B49" s="612"/>
      <c r="C49" s="613">
        <f>R50</f>
        <v>5700</v>
      </c>
      <c r="D49" s="614"/>
      <c r="E49" s="613">
        <f>R49</f>
        <v>5964</v>
      </c>
      <c r="F49" s="615"/>
      <c r="G49" s="616">
        <f>T49</f>
        <v>5595</v>
      </c>
      <c r="H49" s="614"/>
      <c r="I49" s="613">
        <f>V49</f>
        <v>5542</v>
      </c>
      <c r="J49" s="614"/>
      <c r="K49" s="1336"/>
      <c r="L49" s="2138"/>
      <c r="M49" s="2126"/>
      <c r="N49" s="2126"/>
      <c r="O49" s="2139"/>
      <c r="P49" s="3404" t="str">
        <f>A49</f>
        <v>比较价格（元/平方米）</v>
      </c>
      <c r="Q49" s="3404"/>
      <c r="R49" s="3428">
        <f>ROUND(PRODUCT(R48,AA9:AA47),0)</f>
        <v>5964</v>
      </c>
      <c r="S49" s="3428"/>
      <c r="T49" s="3428">
        <f>ROUND(PRODUCT(T48,AB9:AB47),0)</f>
        <v>5595</v>
      </c>
      <c r="U49" s="3428"/>
      <c r="V49" s="3428">
        <f>ROUND(PRODUCT(V48,AC9:AC47),0)</f>
        <v>5542</v>
      </c>
      <c r="W49" s="3428"/>
      <c r="X49" s="1554"/>
      <c r="Y49" s="1554"/>
      <c r="Z49" s="1554"/>
      <c r="AA49" s="1554"/>
      <c r="AB49" s="1554"/>
      <c r="AC49" s="1554"/>
    </row>
    <row r="50" spans="1:29" ht="21" thickBot="1">
      <c r="A50" s="617" t="s">
        <v>3026</v>
      </c>
      <c r="B50" s="618"/>
      <c r="C50" s="619">
        <f>R50</f>
        <v>5700</v>
      </c>
      <c r="D50" s="619"/>
      <c r="E50" s="619"/>
      <c r="F50" s="619"/>
      <c r="G50" s="619"/>
      <c r="H50" s="619"/>
      <c r="I50" s="619"/>
      <c r="J50" s="619"/>
      <c r="K50" s="1337"/>
      <c r="L50" s="2138"/>
      <c r="M50" s="2126"/>
      <c r="N50" s="2126"/>
      <c r="O50" s="2139"/>
      <c r="P50" s="3425" t="str">
        <f>A50</f>
        <v>比较价格（楼面单价，元/平方米）</v>
      </c>
      <c r="Q50" s="3426"/>
      <c r="R50" s="3427">
        <f>ROUND(AVERAGE(R49:V49),0)</f>
        <v>5700</v>
      </c>
      <c r="S50" s="3427"/>
      <c r="T50" s="3427"/>
      <c r="U50" s="3427"/>
      <c r="V50" s="3427"/>
      <c r="W50" s="3427"/>
      <c r="X50" s="1554"/>
      <c r="Y50" s="1554"/>
      <c r="Z50" s="1554"/>
      <c r="AA50" s="1554"/>
      <c r="AB50" s="1554"/>
      <c r="AC50" s="1554"/>
    </row>
    <row r="51" spans="1:29" ht="20.25" hidden="1">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hidden="1">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f>IF(E48&lt;E49,E49/E48-1,E48/E49-1)</f>
        <v>9.0824949698189217E-2</v>
      </c>
      <c r="F53" s="623" t="str">
        <f>IF(OR(E53&gt;=0.3,E53&lt;=-0.3),"超过30%","")</f>
        <v/>
      </c>
      <c r="G53" s="622">
        <f>IF(G48&lt;G49,G49/G48-1,G48/G49-1)</f>
        <v>9.0738159070598901E-2</v>
      </c>
      <c r="H53" s="623" t="str">
        <f>IF(OR(G53&gt;=0.3,G53&lt;=-0.3),"超过30%","")</f>
        <v/>
      </c>
      <c r="I53" s="622">
        <f>IF(I48&lt;I49,I49/I48-1,I48/I49-1)</f>
        <v>1.6239624684333265E-5</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f>IF(E49&lt;G49,G49/E49-1,E49/G49-1)</f>
        <v>6.5951742627345933E-2</v>
      </c>
      <c r="F54" s="623" t="str">
        <f>IF(OR(E54&gt;=0.2,E54&lt;=-0.2),"超过20%","")</f>
        <v/>
      </c>
      <c r="G54" s="622">
        <f>IF(G49&lt;I49,I49/G49-1,G49/I49-1)</f>
        <v>9.563334536268453E-3</v>
      </c>
      <c r="H54" s="623" t="str">
        <f>IF(OR(G54&gt;=0.2,G54&lt;=-0.2),"超过20%","")</f>
        <v/>
      </c>
      <c r="I54" s="622">
        <f>IF(I49&lt;E49,E49/I49-1,I49/E49-1)</f>
        <v>7.6145795741609623E-2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f>IF(E48&lt;G48,G48/E48-1,E48/G48-1)</f>
        <v>6.6036560986320714E-2</v>
      </c>
      <c r="F55" s="623" t="str">
        <f>IF(OR(E55&gt;=0.3,E55&lt;=-0.3),"超过30%","")</f>
        <v/>
      </c>
      <c r="G55" s="622">
        <f>IF(G48&lt;I48,I48/G48-1,G48/I48-1)</f>
        <v>0.10115137069228397</v>
      </c>
      <c r="H55" s="623" t="str">
        <f>IF(OR(G55&gt;=0.3,G55&lt;=-0.3),"超过30%","")</f>
        <v/>
      </c>
      <c r="I55" s="622">
        <f>IF(I48&lt;E48,E48/I48-1,I48/E48-1)</f>
        <v>0.17386762033817571</v>
      </c>
      <c r="J55" s="623"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559</v>
      </c>
      <c r="B57" s="626" t="s">
        <v>560</v>
      </c>
      <c r="C57" s="1555" t="s">
        <v>1724</v>
      </c>
      <c r="D57" s="2221" t="s">
        <v>2292</v>
      </c>
      <c r="E57" s="627" t="s">
        <v>561</v>
      </c>
      <c r="F57" s="628" t="s">
        <v>562</v>
      </c>
      <c r="G57" s="3388" t="s">
        <v>2280</v>
      </c>
      <c r="H57" s="3389"/>
      <c r="I57" s="1550" t="s">
        <v>1722</v>
      </c>
      <c r="J57" s="1550" t="str">
        <f>项目基本情况!F41</f>
        <v>武汉市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29" t="s">
        <v>563</v>
      </c>
      <c r="B58" s="630">
        <f>C50</f>
        <v>5700</v>
      </c>
      <c r="C58" s="631">
        <v>1</v>
      </c>
      <c r="D58" s="2222">
        <v>1</v>
      </c>
      <c r="E58" s="631">
        <f>'数据-汇总表'!E8+'数据-汇总表'!E9</f>
        <v>382857</v>
      </c>
      <c r="F58" s="632">
        <f t="shared" ref="F58:F67" si="15">ROUND(B58*E58/10000,0)</f>
        <v>218228</v>
      </c>
      <c r="G58" s="3390"/>
      <c r="H58" s="3391"/>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564</v>
      </c>
      <c r="B59" s="634">
        <f>ROUND($C$50*C59*D59,0)</f>
        <v>0</v>
      </c>
      <c r="C59" s="374">
        <f t="shared" ref="C59:C67" si="16">IF($C$57="北京市系数",I59,J59)</f>
        <v>0</v>
      </c>
      <c r="D59" s="2223">
        <v>0.25</v>
      </c>
      <c r="E59" s="635">
        <v>0</v>
      </c>
      <c r="F59" s="632">
        <f t="shared" si="15"/>
        <v>0</v>
      </c>
      <c r="G59" s="3392" t="s">
        <v>2281</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565</v>
      </c>
      <c r="B60" s="634">
        <f t="shared" ref="B60:B67" si="17">ROUND($C$50*C60*D60,0)</f>
        <v>0</v>
      </c>
      <c r="C60" s="374">
        <f t="shared" si="16"/>
        <v>0</v>
      </c>
      <c r="D60" s="2223">
        <v>0.25</v>
      </c>
      <c r="E60" s="635">
        <v>0</v>
      </c>
      <c r="F60" s="632">
        <f t="shared" si="15"/>
        <v>0</v>
      </c>
      <c r="G60" s="3392"/>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566</v>
      </c>
      <c r="B61" s="634">
        <f t="shared" si="17"/>
        <v>0</v>
      </c>
      <c r="C61" s="374">
        <f t="shared" si="16"/>
        <v>0</v>
      </c>
      <c r="D61" s="2223">
        <v>0.25</v>
      </c>
      <c r="E61" s="635">
        <v>0</v>
      </c>
      <c r="F61" s="632">
        <f t="shared" si="15"/>
        <v>0</v>
      </c>
      <c r="G61" s="3392"/>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3" t="s">
        <v>567</v>
      </c>
      <c r="B62" s="634">
        <f t="shared" si="17"/>
        <v>0</v>
      </c>
      <c r="C62" s="374">
        <f t="shared" si="16"/>
        <v>0</v>
      </c>
      <c r="D62" s="2223">
        <v>0.25</v>
      </c>
      <c r="E62" s="635">
        <v>0</v>
      </c>
      <c r="F62" s="632">
        <f t="shared" si="15"/>
        <v>0</v>
      </c>
      <c r="G62" s="3392"/>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2325</v>
      </c>
      <c r="B63" s="634">
        <f t="shared" si="17"/>
        <v>0</v>
      </c>
      <c r="C63" s="374">
        <f t="shared" si="16"/>
        <v>0</v>
      </c>
      <c r="D63" s="2223">
        <v>0.25</v>
      </c>
      <c r="E63" s="637">
        <f>'数据-汇总表'!E11</f>
        <v>0</v>
      </c>
      <c r="F63" s="632">
        <f t="shared" si="15"/>
        <v>0</v>
      </c>
      <c r="G63" s="1939" t="s">
        <v>2282</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3" t="s">
        <v>568</v>
      </c>
      <c r="B64" s="634">
        <f t="shared" si="17"/>
        <v>0</v>
      </c>
      <c r="C64" s="374">
        <f t="shared" si="16"/>
        <v>0</v>
      </c>
      <c r="D64" s="2223">
        <v>0.25</v>
      </c>
      <c r="E64" s="637">
        <f>'数据-汇总表'!E12</f>
        <v>0</v>
      </c>
      <c r="F64" s="632">
        <f t="shared" si="15"/>
        <v>0</v>
      </c>
      <c r="G64" s="1940" t="s">
        <v>1677</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3" t="s">
        <v>569</v>
      </c>
      <c r="B65" s="634">
        <f t="shared" si="17"/>
        <v>0</v>
      </c>
      <c r="C65" s="374">
        <f t="shared" si="16"/>
        <v>0</v>
      </c>
      <c r="D65" s="2223">
        <v>0.25</v>
      </c>
      <c r="E65" s="637">
        <f>'数据-汇总表'!E13</f>
        <v>0</v>
      </c>
      <c r="F65" s="632">
        <f t="shared" si="15"/>
        <v>0</v>
      </c>
      <c r="G65" s="1940" t="s">
        <v>922</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3" t="s">
        <v>570</v>
      </c>
      <c r="B66" s="634">
        <f t="shared" si="17"/>
        <v>0</v>
      </c>
      <c r="C66" s="374">
        <f t="shared" si="16"/>
        <v>0</v>
      </c>
      <c r="D66" s="2223">
        <v>0.25</v>
      </c>
      <c r="E66" s="637">
        <f>'数据-汇总表'!E14</f>
        <v>134025.01</v>
      </c>
      <c r="F66" s="632">
        <f t="shared" si="15"/>
        <v>0</v>
      </c>
      <c r="G66" s="1939" t="s">
        <v>2281</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3" t="s">
        <v>571</v>
      </c>
      <c r="B67" s="634">
        <f t="shared" si="17"/>
        <v>0</v>
      </c>
      <c r="C67" s="374">
        <f t="shared" si="16"/>
        <v>0</v>
      </c>
      <c r="D67" s="2223">
        <v>0.25</v>
      </c>
      <c r="E67" s="637">
        <f>'数据-汇总表'!E15</f>
        <v>0</v>
      </c>
      <c r="F67" s="632">
        <f t="shared" si="15"/>
        <v>0</v>
      </c>
      <c r="G67" s="1941" t="s">
        <v>2282</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8" t="s">
        <v>572</v>
      </c>
      <c r="B68" s="639" t="s">
        <v>17</v>
      </c>
      <c r="C68" s="639" t="s">
        <v>18</v>
      </c>
      <c r="D68" s="639" t="s">
        <v>2293</v>
      </c>
      <c r="E68" s="639">
        <f>IF(B48="楼面地价",SUM(E58:E67),'数据-汇总表'!D3)</f>
        <v>516882.01</v>
      </c>
      <c r="F68" s="640">
        <f>IF(B48="楼面地价",SUM(F58:F67),ROUND(C50*E68/10000,0))</f>
        <v>218228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7" t="str">
        <f>YEAR(C9)&amp;"-"&amp;MONTH(C9)&amp;"-1"</f>
        <v>2018-3-1</v>
      </c>
      <c r="D70" s="2817">
        <f>EDATE(C70,-3)</f>
        <v>43070</v>
      </c>
      <c r="E70" s="2817">
        <f t="shared" ref="E70:N70" si="18">EDATE(D70,-3)</f>
        <v>42979</v>
      </c>
      <c r="F70" s="2817">
        <f t="shared" si="18"/>
        <v>42887</v>
      </c>
      <c r="G70" s="2817">
        <f t="shared" si="18"/>
        <v>42795</v>
      </c>
      <c r="H70" s="2817">
        <f t="shared" si="18"/>
        <v>42705</v>
      </c>
      <c r="I70" s="2817">
        <f t="shared" si="18"/>
        <v>42614</v>
      </c>
      <c r="J70" s="2817">
        <f t="shared" si="18"/>
        <v>42522</v>
      </c>
      <c r="K70" s="2817">
        <f t="shared" si="18"/>
        <v>42430</v>
      </c>
      <c r="L70" s="2817">
        <f t="shared" si="18"/>
        <v>42339</v>
      </c>
      <c r="M70" s="2817">
        <f t="shared" si="18"/>
        <v>42248</v>
      </c>
      <c r="N70" s="2817">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573</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2" customFormat="1" ht="15">
      <c r="A72" s="2586" t="s">
        <v>2530</v>
      </c>
      <c r="B72" s="2587"/>
      <c r="C72" s="2812" t="str">
        <f>YEAR(C70)&amp;"-"&amp;ROUNDUP(MONTH(C70)/3,0)</f>
        <v>2018-1</v>
      </c>
      <c r="D72" s="2819" t="str">
        <f>YEAR(D70)&amp;"-"&amp;ROUNDUP(MONTH(D70)/3,0)</f>
        <v>2017-4</v>
      </c>
      <c r="E72" s="2819" t="str">
        <f t="shared" ref="E72:N72" si="19">YEAR(E70)&amp;"-"&amp;ROUNDUP(MONTH(E70)/3,0)</f>
        <v>2017-3</v>
      </c>
      <c r="F72" s="2819" t="str">
        <f t="shared" si="19"/>
        <v>2017-2</v>
      </c>
      <c r="G72" s="2819" t="str">
        <f t="shared" si="19"/>
        <v>2017-1</v>
      </c>
      <c r="H72" s="2819" t="str">
        <f t="shared" si="19"/>
        <v>2016-4</v>
      </c>
      <c r="I72" s="2819" t="str">
        <f t="shared" si="19"/>
        <v>2016-3</v>
      </c>
      <c r="J72" s="2819" t="str">
        <f t="shared" si="19"/>
        <v>2016-2</v>
      </c>
      <c r="K72" s="2819" t="str">
        <f t="shared" si="19"/>
        <v>2016-1</v>
      </c>
      <c r="L72" s="2819" t="str">
        <f t="shared" si="19"/>
        <v>2015-4</v>
      </c>
      <c r="M72" s="2819" t="str">
        <f t="shared" si="19"/>
        <v>2015-3</v>
      </c>
      <c r="N72" s="2819" t="str">
        <f t="shared" si="19"/>
        <v>2015-2</v>
      </c>
      <c r="O72" s="2153"/>
      <c r="P72" s="2154"/>
      <c r="Q72" s="2155"/>
      <c r="R72" s="2155"/>
      <c r="S72" s="2155"/>
      <c r="T72" s="2155"/>
      <c r="U72" s="2155"/>
      <c r="V72" s="2155"/>
      <c r="W72" s="2155"/>
      <c r="X72" s="2155"/>
      <c r="Y72" s="2155"/>
      <c r="Z72" s="2155"/>
      <c r="AA72" s="2155"/>
      <c r="AB72" s="2155"/>
      <c r="AC72" s="2155"/>
    </row>
    <row r="73" spans="1:29" s="1215" customFormat="1" ht="27" customHeight="1">
      <c r="A73" s="2824" t="s">
        <v>2645</v>
      </c>
      <c r="B73" s="475" t="str">
        <f>"北京市平均增长率"&amp;TEXT(SUMIF(基准地价!N21:N25,A73,基准地价!P21:P25),"0.00%")</f>
        <v>北京市平均增长率2.30%</v>
      </c>
      <c r="C73" s="889">
        <v>100</v>
      </c>
      <c r="D73" s="726">
        <v>99</v>
      </c>
      <c r="E73" s="726">
        <v>98</v>
      </c>
      <c r="F73" s="726">
        <v>97</v>
      </c>
      <c r="G73" s="726">
        <v>96</v>
      </c>
      <c r="H73" s="726">
        <v>95</v>
      </c>
      <c r="I73" s="726">
        <v>94</v>
      </c>
      <c r="J73" s="726">
        <v>93</v>
      </c>
      <c r="K73" s="726">
        <v>92</v>
      </c>
      <c r="L73" s="726"/>
      <c r="M73" s="2810"/>
      <c r="N73" s="2811"/>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4" t="s">
        <v>2644</v>
      </c>
      <c r="B74" s="2823"/>
      <c r="C74" s="2808"/>
      <c r="D74" s="2809"/>
      <c r="E74" s="2809"/>
      <c r="F74" s="2809"/>
      <c r="G74" s="2809"/>
      <c r="H74" s="2809"/>
      <c r="I74" s="2809"/>
      <c r="J74" s="2809"/>
      <c r="K74" s="2809"/>
      <c r="L74" s="2809"/>
      <c r="M74" s="2809"/>
      <c r="N74" s="2809"/>
      <c r="O74" s="2156"/>
      <c r="P74" s="2152"/>
      <c r="Q74" s="2152"/>
      <c r="R74" s="1987"/>
      <c r="S74" s="1987"/>
      <c r="T74" s="1987"/>
      <c r="U74" s="1987"/>
      <c r="V74" s="1987"/>
      <c r="W74" s="1987"/>
      <c r="X74" s="1987"/>
      <c r="Y74" s="1987"/>
      <c r="Z74" s="1987"/>
      <c r="AA74" s="1987"/>
      <c r="AB74" s="1987"/>
      <c r="AC74" s="1987"/>
    </row>
    <row r="75" spans="1:29" s="1215" customFormat="1" ht="15">
      <c r="A75" s="655" t="s">
        <v>530</v>
      </c>
      <c r="B75" s="644"/>
      <c r="C75" s="656" t="s">
        <v>575</v>
      </c>
      <c r="D75" s="657"/>
      <c r="E75" s="657"/>
      <c r="F75" s="657"/>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5"/>
      <c r="B76" s="644"/>
      <c r="C76" s="645">
        <v>100</v>
      </c>
      <c r="D76" s="646"/>
      <c r="E76" s="646"/>
      <c r="F76" s="646"/>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c r="A77" s="660" t="s">
        <v>576</v>
      </c>
      <c r="B77" s="661" t="s">
        <v>533</v>
      </c>
      <c r="C77" s="3189" t="s">
        <v>3102</v>
      </c>
      <c r="D77" s="59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c r="E78" s="667"/>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536</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537</v>
      </c>
      <c r="C81" s="678" t="str">
        <f>C82&amp;"（含）"&amp;"-"&amp;D82</f>
        <v>1（含）-1.5</v>
      </c>
      <c r="D81" s="678" t="str">
        <f t="shared" ref="D81:L81" si="20">D82&amp;"（含）"&amp;"-"&amp;E82</f>
        <v>1.5（含）-2</v>
      </c>
      <c r="E81" s="678" t="str">
        <f t="shared" si="20"/>
        <v>2（含）-2.5</v>
      </c>
      <c r="F81" s="678" t="str">
        <f t="shared" si="20"/>
        <v>2.5（含）-3</v>
      </c>
      <c r="G81" s="678" t="str">
        <f t="shared" si="20"/>
        <v>3（含）-3.5</v>
      </c>
      <c r="H81" s="678" t="str">
        <f t="shared" si="20"/>
        <v>3.5（含）-4</v>
      </c>
      <c r="I81" s="678" t="str">
        <f t="shared" si="20"/>
        <v>4（含）-4.5</v>
      </c>
      <c r="J81" s="678" t="str">
        <f t="shared" si="20"/>
        <v>4.5（含）-5</v>
      </c>
      <c r="K81" s="678" t="str">
        <f t="shared" si="20"/>
        <v>5（含）-</v>
      </c>
      <c r="L81" s="678" t="str">
        <f t="shared" si="20"/>
        <v>（含）-</v>
      </c>
      <c r="M81" s="551"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7">
        <v>1</v>
      </c>
      <c r="D82" s="537">
        <v>1.5</v>
      </c>
      <c r="E82" s="537">
        <v>2</v>
      </c>
      <c r="F82" s="537">
        <v>2.5</v>
      </c>
      <c r="G82" s="537">
        <v>3</v>
      </c>
      <c r="H82" s="537">
        <v>3.5</v>
      </c>
      <c r="I82" s="537">
        <v>4</v>
      </c>
      <c r="J82" s="537">
        <v>4.5</v>
      </c>
      <c r="K82" s="537">
        <v>5</v>
      </c>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95</v>
      </c>
      <c r="E83" s="675">
        <f t="shared" ref="E83:M83" si="21">IF($B$48="单位面积地价",D83+$K13,D83-$K13)</f>
        <v>90</v>
      </c>
      <c r="F83" s="675">
        <f t="shared" si="21"/>
        <v>85</v>
      </c>
      <c r="G83" s="675">
        <f t="shared" si="21"/>
        <v>80</v>
      </c>
      <c r="H83" s="675">
        <f t="shared" si="21"/>
        <v>75</v>
      </c>
      <c r="I83" s="675">
        <f t="shared" si="21"/>
        <v>70</v>
      </c>
      <c r="J83" s="675">
        <f t="shared" si="21"/>
        <v>65</v>
      </c>
      <c r="K83" s="675">
        <f t="shared" si="21"/>
        <v>60</v>
      </c>
      <c r="L83" s="675">
        <f t="shared" si="21"/>
        <v>55</v>
      </c>
      <c r="M83" s="675">
        <f t="shared" si="21"/>
        <v>50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3"/>
      <c r="B84" s="669" t="str">
        <f>B14</f>
        <v>配建</v>
      </c>
      <c r="C84" s="3192" t="s">
        <v>3104</v>
      </c>
      <c r="D84" s="1370" t="s">
        <v>3105</v>
      </c>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v>100</v>
      </c>
      <c r="D85" s="667">
        <v>120</v>
      </c>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3"/>
      <c r="B86" s="669">
        <f>B15</f>
        <v>0</v>
      </c>
      <c r="C86" s="684"/>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3"/>
      <c r="B87" s="674"/>
      <c r="C87" s="688"/>
      <c r="D87" s="688"/>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3"/>
      <c r="B88" s="677">
        <f>B16</f>
        <v>0</v>
      </c>
      <c r="C88" s="657"/>
      <c r="D88" s="657"/>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4"/>
      <c r="B89" s="695"/>
      <c r="C89" s="696"/>
      <c r="D89" s="696"/>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ht="15" thickTop="1">
      <c r="A90" s="660" t="s">
        <v>538</v>
      </c>
      <c r="B90" s="661" t="s">
        <v>577</v>
      </c>
      <c r="C90" s="699" t="s">
        <v>578</v>
      </c>
      <c r="D90" s="699" t="s">
        <v>579</v>
      </c>
      <c r="E90" s="699" t="s">
        <v>580</v>
      </c>
      <c r="F90" s="699" t="s">
        <v>581</v>
      </c>
      <c r="G90" s="699" t="s">
        <v>582</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95</v>
      </c>
      <c r="E91" s="675">
        <f>D91-$K17</f>
        <v>90</v>
      </c>
      <c r="F91" s="675">
        <f>E91-$K17</f>
        <v>85</v>
      </c>
      <c r="G91" s="675">
        <f>F91-$K17</f>
        <v>80</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583</v>
      </c>
      <c r="C92" s="704" t="s">
        <v>578</v>
      </c>
      <c r="D92" s="704" t="s">
        <v>579</v>
      </c>
      <c r="E92" s="704" t="s">
        <v>580</v>
      </c>
      <c r="F92" s="704" t="s">
        <v>581</v>
      </c>
      <c r="G92" s="704" t="s">
        <v>582</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98</v>
      </c>
      <c r="E93" s="675">
        <f>D93-$K19</f>
        <v>96</v>
      </c>
      <c r="F93" s="675">
        <f>E93-$K19</f>
        <v>94</v>
      </c>
      <c r="G93" s="675">
        <f>F93-$K19</f>
        <v>92</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584</v>
      </c>
      <c r="C94" s="704" t="s">
        <v>578</v>
      </c>
      <c r="D94" s="704" t="s">
        <v>579</v>
      </c>
      <c r="E94" s="704" t="s">
        <v>580</v>
      </c>
      <c r="F94" s="704" t="s">
        <v>581</v>
      </c>
      <c r="G94" s="704" t="s">
        <v>582</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585</v>
      </c>
      <c r="C96" s="704" t="s">
        <v>578</v>
      </c>
      <c r="D96" s="704" t="s">
        <v>579</v>
      </c>
      <c r="E96" s="704" t="s">
        <v>580</v>
      </c>
      <c r="F96" s="704" t="s">
        <v>581</v>
      </c>
      <c r="G96" s="704" t="s">
        <v>582</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5"/>
      <c r="B98" s="669" t="s">
        <v>586</v>
      </c>
      <c r="C98" s="704" t="s">
        <v>578</v>
      </c>
      <c r="D98" s="704" t="s">
        <v>579</v>
      </c>
      <c r="E98" s="704" t="s">
        <v>580</v>
      </c>
      <c r="F98" s="704" t="s">
        <v>581</v>
      </c>
      <c r="G98" s="704" t="s">
        <v>582</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5"/>
      <c r="B100" s="669" t="s">
        <v>587</v>
      </c>
      <c r="C100" s="699" t="s">
        <v>578</v>
      </c>
      <c r="D100" s="699" t="s">
        <v>579</v>
      </c>
      <c r="E100" s="699" t="s">
        <v>580</v>
      </c>
      <c r="F100" s="699" t="s">
        <v>581</v>
      </c>
      <c r="G100" s="699" t="s">
        <v>582</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5"/>
      <c r="B101" s="674"/>
      <c r="C101" s="675">
        <v>100</v>
      </c>
      <c r="D101" s="675">
        <f>C101-$K27</f>
        <v>95</v>
      </c>
      <c r="E101" s="675">
        <f>D101-$K27</f>
        <v>90</v>
      </c>
      <c r="F101" s="675">
        <f>E101-$K27</f>
        <v>85</v>
      </c>
      <c r="G101" s="675">
        <f>F101-$K27</f>
        <v>80</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3"/>
      <c r="B102" s="1890" t="s">
        <v>2546</v>
      </c>
      <c r="C102" s="699" t="s">
        <v>578</v>
      </c>
      <c r="D102" s="699" t="s">
        <v>579</v>
      </c>
      <c r="E102" s="699" t="s">
        <v>580</v>
      </c>
      <c r="F102" s="699" t="s">
        <v>581</v>
      </c>
      <c r="G102" s="699" t="s">
        <v>582</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3"/>
      <c r="B104" s="2615" t="s">
        <v>2548</v>
      </c>
      <c r="C104" s="2616" t="s">
        <v>2549</v>
      </c>
      <c r="D104" s="2616" t="s">
        <v>2550</v>
      </c>
      <c r="E104" s="2616" t="s">
        <v>2551</v>
      </c>
      <c r="F104" s="2616" t="s">
        <v>2552</v>
      </c>
      <c r="G104" s="2616" t="s">
        <v>2553</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3"/>
      <c r="B105" s="677"/>
      <c r="C105" s="675">
        <v>100</v>
      </c>
      <c r="D105" s="675">
        <f>C105-$K31</f>
        <v>98</v>
      </c>
      <c r="E105" s="675">
        <f>D105-$K31</f>
        <v>96</v>
      </c>
      <c r="F105" s="675">
        <f>E105-$K31</f>
        <v>94</v>
      </c>
      <c r="G105" s="675">
        <f>F105-$K31</f>
        <v>92</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0"/>
      <c r="O107" s="2160"/>
      <c r="P107" s="2159"/>
      <c r="Q107" s="2152"/>
      <c r="R107" s="2139"/>
      <c r="S107" s="2139"/>
      <c r="T107" s="2139"/>
      <c r="U107" s="2139"/>
      <c r="V107" s="2139"/>
      <c r="W107" s="2139"/>
      <c r="X107" s="2139"/>
      <c r="Y107" s="2139"/>
      <c r="Z107" s="2139"/>
      <c r="AA107" s="2139"/>
      <c r="AB107" s="2139"/>
      <c r="AC107" s="2139"/>
    </row>
    <row r="108" spans="1:29" ht="28.5" thickTop="1">
      <c r="A108" s="665"/>
      <c r="B108" s="669" t="s">
        <v>547</v>
      </c>
      <c r="C108" s="3192" t="s">
        <v>3111</v>
      </c>
      <c r="D108" s="684" t="s">
        <v>3112</v>
      </c>
      <c r="E108" s="3192" t="s">
        <v>3114</v>
      </c>
      <c r="F108" s="3192" t="s">
        <v>3116</v>
      </c>
      <c r="G108" s="3192" t="s">
        <v>3117</v>
      </c>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98</v>
      </c>
      <c r="E109" s="675">
        <f t="shared" ref="E109:M109" si="23">D109-$K34</f>
        <v>96</v>
      </c>
      <c r="F109" s="675">
        <f t="shared" si="23"/>
        <v>94</v>
      </c>
      <c r="G109" s="675">
        <f t="shared" si="23"/>
        <v>92</v>
      </c>
      <c r="H109" s="675">
        <f t="shared" si="23"/>
        <v>90</v>
      </c>
      <c r="I109" s="675">
        <f t="shared" si="23"/>
        <v>88</v>
      </c>
      <c r="J109" s="675">
        <f t="shared" si="23"/>
        <v>86</v>
      </c>
      <c r="K109" s="675">
        <f t="shared" si="23"/>
        <v>84</v>
      </c>
      <c r="L109" s="675">
        <f t="shared" si="23"/>
        <v>82</v>
      </c>
      <c r="M109" s="675">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5"/>
      <c r="B110" s="669" t="s">
        <v>548</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0</v>
      </c>
      <c r="C112" s="684"/>
      <c r="D112" s="684"/>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3"/>
      <c r="B114" s="669">
        <f>B38</f>
        <v>0</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4"/>
      <c r="B116" s="725">
        <f>B39</f>
        <v>0</v>
      </c>
      <c r="C116" s="726"/>
      <c r="D116" s="726"/>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3"/>
      <c r="B117" s="677"/>
      <c r="C117" s="646"/>
      <c r="D117" s="588"/>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550</v>
      </c>
      <c r="B118" s="661" t="s">
        <v>592</v>
      </c>
      <c r="C118" s="700" t="str">
        <f t="shared" ref="C118:L118" si="25">C119&amp;"(含)"&amp;"-"&amp;D119</f>
        <v>0(含)-10000</v>
      </c>
      <c r="D118" s="700" t="str">
        <f t="shared" si="25"/>
        <v>10000(含)-50000</v>
      </c>
      <c r="E118" s="700" t="str">
        <f t="shared" si="25"/>
        <v>50000(含)-100000</v>
      </c>
      <c r="F118" s="700" t="str">
        <f t="shared" si="25"/>
        <v>100000(含)-150000</v>
      </c>
      <c r="G118" s="700" t="str">
        <f t="shared" si="25"/>
        <v>150000(含)-</v>
      </c>
      <c r="H118" s="700" t="str">
        <f t="shared" si="25"/>
        <v>(含)-</v>
      </c>
      <c r="I118" s="700" t="str">
        <f t="shared" si="25"/>
        <v>(含)-</v>
      </c>
      <c r="J118" s="3111" t="str">
        <f t="shared" si="25"/>
        <v>(含)-</v>
      </c>
      <c r="K118" s="3111" t="str">
        <f t="shared" si="25"/>
        <v>(含)-</v>
      </c>
      <c r="L118" s="3112" t="str">
        <f t="shared" si="25"/>
        <v>(含)-</v>
      </c>
      <c r="M118" s="3113"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v>
      </c>
      <c r="E119" s="726">
        <v>50000</v>
      </c>
      <c r="F119" s="726">
        <v>100000</v>
      </c>
      <c r="G119" s="726">
        <v>150000</v>
      </c>
      <c r="H119" s="726"/>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100.5</v>
      </c>
      <c r="E120" s="722">
        <v>101</v>
      </c>
      <c r="F120" s="722">
        <v>101.5</v>
      </c>
      <c r="G120" s="722">
        <v>102</v>
      </c>
      <c r="H120" s="722"/>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593</v>
      </c>
      <c r="C121" s="3193" t="s">
        <v>3119</v>
      </c>
      <c r="D121" s="3193" t="s">
        <v>3120</v>
      </c>
      <c r="E121" s="714"/>
      <c r="F121" s="714"/>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1"/>
      <c r="B123" s="669" t="s">
        <v>594</v>
      </c>
      <c r="C123" s="684"/>
      <c r="D123" s="684"/>
      <c r="E123" s="684"/>
      <c r="F123" s="714"/>
      <c r="G123" s="714"/>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4"/>
      <c r="B125" s="1890" t="s">
        <v>2422</v>
      </c>
      <c r="C125" s="1370" t="s">
        <v>3121</v>
      </c>
      <c r="D125" s="1370" t="s">
        <v>3122</v>
      </c>
      <c r="E125" s="1370" t="s">
        <v>3123</v>
      </c>
      <c r="F125" s="1370" t="s">
        <v>3124</v>
      </c>
      <c r="G125" s="1370" t="s">
        <v>3126</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595</v>
      </c>
      <c r="C127" s="3192" t="s">
        <v>3128</v>
      </c>
      <c r="D127" s="684"/>
      <c r="E127" s="714"/>
      <c r="F127" s="714"/>
      <c r="G127" s="714"/>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1"/>
      <c r="B129" s="669">
        <f>B45</f>
        <v>0</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thickTop="1">
      <c r="A131" s="731"/>
      <c r="B131" s="669">
        <f>B46</f>
        <v>0</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4"/>
      <c r="B133" s="669">
        <f>B47</f>
        <v>0</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2" manualBreakCount="2">
    <brk id="55" max="10" man="1"/>
    <brk id="128"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219" t="str">
        <f>项目基本情况!B1</f>
        <v>武汉市江夏区纸坊街齐心村出让国有建设用地使用权市场价格预评估</v>
      </c>
      <c r="C37" s="3219"/>
      <c r="D37" s="3219"/>
      <c r="E37" s="3219"/>
      <c r="F37" s="3219"/>
      <c r="G37" s="3219"/>
      <c r="H37" s="3219"/>
      <c r="I37" s="3219"/>
    </row>
    <row r="38" spans="1:9">
      <c r="A38" s="1650"/>
      <c r="B38" s="1650"/>
    </row>
    <row r="39" spans="1:9">
      <c r="A39" s="1648" t="s">
        <v>1901</v>
      </c>
      <c r="B39" s="1648" t="s">
        <v>2045</v>
      </c>
    </row>
    <row r="40" spans="1:9">
      <c r="A40" s="1648"/>
      <c r="B40" s="1648" t="str">
        <f>项目基本情况!B5</f>
        <v>中信信托有限责任公司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504"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c r="A3" s="1375" t="s">
        <v>1685</v>
      </c>
      <c r="B3" s="506"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4"/>
      <c r="AC3" s="424"/>
    </row>
    <row r="4" spans="1:29" s="1331" customFormat="1" ht="28.5" customHeight="1">
      <c r="A4" s="507" t="s">
        <v>519</v>
      </c>
      <c r="B4" s="423"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4"/>
    </row>
    <row r="6" spans="1:29" ht="15">
      <c r="A6" s="508" t="s">
        <v>520</v>
      </c>
      <c r="B6" s="509"/>
      <c r="C6" s="3410" t="s">
        <v>521</v>
      </c>
      <c r="D6" s="3411"/>
      <c r="E6" s="3434" t="s">
        <v>522</v>
      </c>
      <c r="F6" s="3435"/>
      <c r="G6" s="3410" t="s">
        <v>523</v>
      </c>
      <c r="H6" s="3411"/>
      <c r="I6" s="3410" t="s">
        <v>524</v>
      </c>
      <c r="J6" s="3411"/>
      <c r="K6" s="510" t="s">
        <v>525</v>
      </c>
      <c r="L6" s="2127"/>
      <c r="M6" s="2128"/>
      <c r="N6" s="2128"/>
      <c r="O6" s="2128"/>
      <c r="P6" s="3412" t="s">
        <v>526</v>
      </c>
      <c r="Q6" s="3413"/>
      <c r="R6" s="3398" t="s">
        <v>522</v>
      </c>
      <c r="S6" s="3399"/>
      <c r="T6" s="3398" t="s">
        <v>523</v>
      </c>
      <c r="U6" s="3399"/>
      <c r="V6" s="3418" t="s">
        <v>524</v>
      </c>
      <c r="W6" s="3418"/>
      <c r="X6" s="1562"/>
      <c r="Y6" s="3398" t="s">
        <v>526</v>
      </c>
      <c r="Z6" s="3399"/>
      <c r="AA6" s="3393" t="s">
        <v>522</v>
      </c>
      <c r="AB6" s="3394" t="s">
        <v>523</v>
      </c>
      <c r="AC6" s="3393" t="s">
        <v>524</v>
      </c>
    </row>
    <row r="7" spans="1:29" ht="15">
      <c r="A7" s="511"/>
      <c r="B7" s="512"/>
      <c r="C7" s="3421" t="s">
        <v>2916</v>
      </c>
      <c r="D7" s="3422"/>
      <c r="E7" s="3436" t="s">
        <v>2917</v>
      </c>
      <c r="F7" s="3437"/>
      <c r="G7" s="3421" t="s">
        <v>2918</v>
      </c>
      <c r="H7" s="3422"/>
      <c r="I7" s="3421" t="s">
        <v>2919</v>
      </c>
      <c r="J7" s="3422"/>
      <c r="K7" s="510"/>
      <c r="L7" s="2127"/>
      <c r="M7" s="2128"/>
      <c r="N7" s="2128"/>
      <c r="O7" s="2128"/>
      <c r="P7" s="3414"/>
      <c r="Q7" s="3415"/>
      <c r="R7" s="3400"/>
      <c r="S7" s="3401"/>
      <c r="T7" s="3400"/>
      <c r="U7" s="3401"/>
      <c r="V7" s="3418"/>
      <c r="W7" s="3418"/>
      <c r="X7" s="1562"/>
      <c r="Y7" s="3400"/>
      <c r="Z7" s="3401"/>
      <c r="AA7" s="3394"/>
      <c r="AB7" s="3394"/>
      <c r="AC7" s="3394"/>
    </row>
    <row r="8" spans="1:29" ht="15.75" thickBot="1">
      <c r="A8" s="513"/>
      <c r="B8" s="514"/>
      <c r="C8" s="3419" t="s">
        <v>2920</v>
      </c>
      <c r="D8" s="3420"/>
      <c r="E8" s="3438" t="s">
        <v>2920</v>
      </c>
      <c r="F8" s="3439"/>
      <c r="G8" s="3419" t="s">
        <v>2920</v>
      </c>
      <c r="H8" s="3420"/>
      <c r="I8" s="3419" t="s">
        <v>2920</v>
      </c>
      <c r="J8" s="3420"/>
      <c r="K8" s="510" t="s">
        <v>527</v>
      </c>
      <c r="L8" s="2127"/>
      <c r="M8" s="2128"/>
      <c r="N8" s="2128"/>
      <c r="O8" s="2128"/>
      <c r="P8" s="3416"/>
      <c r="Q8" s="3417"/>
      <c r="R8" s="3400"/>
      <c r="S8" s="3401"/>
      <c r="T8" s="3402"/>
      <c r="U8" s="3403"/>
      <c r="V8" s="3418"/>
      <c r="W8" s="3418"/>
      <c r="X8" s="1562"/>
      <c r="Y8" s="3402"/>
      <c r="Z8" s="3403"/>
      <c r="AA8" s="3395"/>
      <c r="AB8" s="3395"/>
      <c r="AC8" s="3395"/>
    </row>
    <row r="9" spans="1:29" s="1215" customFormat="1" ht="15.75" thickBot="1">
      <c r="A9" s="2930"/>
      <c r="B9" s="2937" t="s">
        <v>528</v>
      </c>
      <c r="C9" s="515">
        <f>'数据-取费表'!B2</f>
        <v>43182</v>
      </c>
      <c r="D9" s="516">
        <v>100</v>
      </c>
      <c r="E9" s="517"/>
      <c r="F9" s="518">
        <f>SUMIF(67:67,YEAR(E9)&amp;"-"&amp;INT((MONTH(E9)+2)/3),68:68)</f>
        <v>0</v>
      </c>
      <c r="G9" s="519"/>
      <c r="H9" s="516">
        <f>SUMIF(67:67,YEAR(G9)&amp;"-"&amp;INT((MONTH(G9)+2)/3),68:68)</f>
        <v>0</v>
      </c>
      <c r="I9" s="519"/>
      <c r="J9" s="516">
        <f>SUMIF(67:67,YEAR(I9)&amp;"-"&amp;INT((MONTH(I9)+2)/3),68:68)</f>
        <v>0</v>
      </c>
      <c r="K9" s="520"/>
      <c r="L9" s="2129"/>
      <c r="M9" s="2130"/>
      <c r="N9" s="2130"/>
      <c r="O9" s="2130"/>
      <c r="P9" s="3396" t="s">
        <v>529</v>
      </c>
      <c r="Q9" s="3405"/>
      <c r="R9" s="1563" t="s">
        <v>8</v>
      </c>
      <c r="S9" s="1564">
        <f t="shared" ref="S9:S17" si="0">F9</f>
        <v>0</v>
      </c>
      <c r="T9" s="1563" t="s">
        <v>8</v>
      </c>
      <c r="U9" s="1564">
        <f t="shared" ref="U9:U17" si="1">H9</f>
        <v>0</v>
      </c>
      <c r="V9" s="1563" t="s">
        <v>8</v>
      </c>
      <c r="W9" s="1564">
        <f t="shared" ref="W9:W17" si="2">J9</f>
        <v>0</v>
      </c>
      <c r="X9" s="1565"/>
      <c r="Y9" s="3396" t="s">
        <v>529</v>
      </c>
      <c r="Z9" s="3397"/>
      <c r="AA9" s="1566" t="e">
        <f>D9/F9</f>
        <v>#DIV/0!</v>
      </c>
      <c r="AB9" s="1566" t="e">
        <f>D9/H9</f>
        <v>#DIV/0!</v>
      </c>
      <c r="AC9" s="1566" t="e">
        <f>D9/J9</f>
        <v>#DIV/0!</v>
      </c>
    </row>
    <row r="10" spans="1:29" s="1215" customFormat="1" ht="15.75" thickBot="1">
      <c r="A10" s="2931"/>
      <c r="B10" s="2938"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29"/>
      <c r="M10" s="2130"/>
      <c r="N10" s="2130"/>
      <c r="O10" s="2130"/>
      <c r="P10" s="3396" t="s">
        <v>532</v>
      </c>
      <c r="Q10" s="3397"/>
      <c r="R10" s="1563" t="s">
        <v>8</v>
      </c>
      <c r="S10" s="1564">
        <f t="shared" si="0"/>
        <v>0</v>
      </c>
      <c r="T10" s="1563" t="s">
        <v>8</v>
      </c>
      <c r="U10" s="1564">
        <f t="shared" si="1"/>
        <v>0</v>
      </c>
      <c r="V10" s="1563" t="s">
        <v>8</v>
      </c>
      <c r="W10" s="1564">
        <f t="shared" si="2"/>
        <v>0</v>
      </c>
      <c r="X10" s="1565"/>
      <c r="Y10" s="3396" t="s">
        <v>532</v>
      </c>
      <c r="Z10" s="3397"/>
      <c r="AA10" s="1566" t="e">
        <f t="shared" ref="AA10:AA42" si="3">D10/F10</f>
        <v>#DIV/0!</v>
      </c>
      <c r="AB10" s="1566" t="e">
        <f t="shared" ref="AB10:AB42" si="4">D10/H10</f>
        <v>#DIV/0!</v>
      </c>
      <c r="AC10" s="1566" t="e">
        <f t="shared" ref="AC10:AC42" si="5">D10/J10</f>
        <v>#DIV/0!</v>
      </c>
    </row>
    <row r="11" spans="1:29" s="1215" customFormat="1" ht="15">
      <c r="A11" s="2932"/>
      <c r="B11" s="2939" t="s">
        <v>2754</v>
      </c>
      <c r="C11" s="522"/>
      <c r="D11" s="252">
        <v>100</v>
      </c>
      <c r="E11" s="522"/>
      <c r="F11" s="252">
        <f>SUMIF(72:72,E11,73:73)-SUMIF(72:72,C11,73:73)+100</f>
        <v>100</v>
      </c>
      <c r="G11" s="522"/>
      <c r="H11" s="252">
        <f>SUMIF(72:72,G11,73:73)-SUMIF(72:72,C11,73:73)+100</f>
        <v>100</v>
      </c>
      <c r="I11" s="522"/>
      <c r="J11" s="252">
        <f>SUMIF(72:72,I11,73:73)-SUMIF(72:72,C11,73:73)+100</f>
        <v>100</v>
      </c>
      <c r="K11" s="520"/>
      <c r="L11" s="2129"/>
      <c r="M11" s="2130"/>
      <c r="N11" s="2130"/>
      <c r="O11" s="2131"/>
      <c r="P11" s="3404" t="s">
        <v>534</v>
      </c>
      <c r="Q11" s="1146" t="str">
        <f t="shared" ref="Q11:Q17" si="6">B11</f>
        <v>用途</v>
      </c>
      <c r="R11" s="1563" t="s">
        <v>8</v>
      </c>
      <c r="S11" s="1564">
        <f t="shared" si="0"/>
        <v>100</v>
      </c>
      <c r="T11" s="1563" t="s">
        <v>8</v>
      </c>
      <c r="U11" s="1564">
        <f t="shared" si="1"/>
        <v>100</v>
      </c>
      <c r="V11" s="1563" t="s">
        <v>8</v>
      </c>
      <c r="W11" s="1564">
        <f t="shared" si="2"/>
        <v>100</v>
      </c>
      <c r="X11" s="1565"/>
      <c r="Y11" s="3361" t="s">
        <v>535</v>
      </c>
      <c r="Z11" s="1145" t="str">
        <f t="shared" ref="Z11:Z17" si="7">Q11</f>
        <v>用途</v>
      </c>
      <c r="AA11" s="1566">
        <f t="shared" si="3"/>
        <v>1</v>
      </c>
      <c r="AB11" s="1566">
        <f t="shared" si="4"/>
        <v>1</v>
      </c>
      <c r="AC11" s="1566">
        <f t="shared" si="5"/>
        <v>1</v>
      </c>
    </row>
    <row r="12" spans="1:29" s="1333" customFormat="1" ht="27">
      <c r="A12" s="2933"/>
      <c r="B12" s="2938" t="s">
        <v>2755</v>
      </c>
      <c r="C12" s="524"/>
      <c r="D12" s="253">
        <v>100</v>
      </c>
      <c r="E12" s="524"/>
      <c r="F12" s="253">
        <f>ROUND(100/'数据-取费表'!G16,0)</f>
        <v>100</v>
      </c>
      <c r="G12" s="524"/>
      <c r="H12" s="253">
        <f>ROUND(100/'数据-取费表'!G16,0)</f>
        <v>100</v>
      </c>
      <c r="I12" s="524"/>
      <c r="J12" s="253">
        <f>ROUND(100/'数据-取费表'!G16,0)</f>
        <v>100</v>
      </c>
      <c r="K12" s="527"/>
      <c r="L12" s="2132"/>
      <c r="M12" s="2172"/>
      <c r="N12" s="2172"/>
      <c r="O12" s="2133"/>
      <c r="P12" s="3404"/>
      <c r="Q12" s="1146" t="str">
        <f t="shared" si="6"/>
        <v>土地使用年限（年）</v>
      </c>
      <c r="R12" s="1563" t="s">
        <v>8</v>
      </c>
      <c r="S12" s="1564">
        <f t="shared" si="0"/>
        <v>100</v>
      </c>
      <c r="T12" s="1563" t="s">
        <v>8</v>
      </c>
      <c r="U12" s="1564">
        <f t="shared" si="1"/>
        <v>100</v>
      </c>
      <c r="V12" s="1563" t="s">
        <v>8</v>
      </c>
      <c r="W12" s="1564">
        <f t="shared" si="2"/>
        <v>100</v>
      </c>
      <c r="X12" s="1565"/>
      <c r="Y12" s="3361"/>
      <c r="Z12" s="1145" t="str">
        <f t="shared" si="7"/>
        <v>土地使用年限（年）</v>
      </c>
      <c r="AA12" s="1566">
        <f t="shared" si="3"/>
        <v>1</v>
      </c>
      <c r="AB12" s="1566">
        <f t="shared" si="4"/>
        <v>1</v>
      </c>
      <c r="AC12" s="1566">
        <f t="shared" si="5"/>
        <v>1</v>
      </c>
    </row>
    <row r="13" spans="1:29" ht="15">
      <c r="A13" s="2934"/>
      <c r="B13" s="2938" t="s">
        <v>2756</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4"/>
      <c r="M13" s="2128"/>
      <c r="N13" s="2128"/>
      <c r="O13" s="2135"/>
      <c r="P13" s="3404"/>
      <c r="Q13" s="1146" t="str">
        <f t="shared" si="6"/>
        <v>容积率</v>
      </c>
      <c r="R13" s="1563" t="s">
        <v>8</v>
      </c>
      <c r="S13" s="1564" t="e">
        <f t="shared" si="0"/>
        <v>#N/A</v>
      </c>
      <c r="T13" s="1563" t="s">
        <v>8</v>
      </c>
      <c r="U13" s="1564" t="e">
        <f t="shared" si="1"/>
        <v>#N/A</v>
      </c>
      <c r="V13" s="1563" t="s">
        <v>8</v>
      </c>
      <c r="W13" s="1564" t="e">
        <f t="shared" si="2"/>
        <v>#N/A</v>
      </c>
      <c r="X13" s="1565"/>
      <c r="Y13" s="3361"/>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3">
        <f>SUMIF(79:79,E14,80:80)-SUMIF(79:79,C14,80:80)+100</f>
        <v>100</v>
      </c>
      <c r="G14" s="538"/>
      <c r="H14" s="253">
        <f>SUMIF(79:79,G14,80:80)-SUMIF(79:79,C14,80:80)+100</f>
        <v>100</v>
      </c>
      <c r="I14" s="537"/>
      <c r="J14" s="253">
        <f>SUMIF(79:79,I14,80:80)-SUMIF(79:79,C14,80:80)+100</f>
        <v>100</v>
      </c>
      <c r="K14" s="527"/>
      <c r="L14" s="2129"/>
      <c r="M14" s="2130"/>
      <c r="N14" s="2130"/>
      <c r="O14" s="2131"/>
      <c r="P14" s="3404"/>
      <c r="Q14" s="1146">
        <f t="shared" si="6"/>
        <v>111</v>
      </c>
      <c r="R14" s="1563" t="s">
        <v>8</v>
      </c>
      <c r="S14" s="1564">
        <f t="shared" si="0"/>
        <v>100</v>
      </c>
      <c r="T14" s="1563" t="s">
        <v>8</v>
      </c>
      <c r="U14" s="1564">
        <f t="shared" si="1"/>
        <v>100</v>
      </c>
      <c r="V14" s="1563" t="s">
        <v>8</v>
      </c>
      <c r="W14" s="1564">
        <f t="shared" si="2"/>
        <v>100</v>
      </c>
      <c r="X14" s="1565"/>
      <c r="Y14" s="3361"/>
      <c r="Z14" s="1145">
        <f t="shared" si="7"/>
        <v>111</v>
      </c>
      <c r="AA14" s="1566">
        <f>D14/F14</f>
        <v>1</v>
      </c>
      <c r="AB14" s="1566">
        <f>D14/H14</f>
        <v>1</v>
      </c>
      <c r="AC14" s="1566">
        <f>D14/J14</f>
        <v>1</v>
      </c>
    </row>
    <row r="15" spans="1:29" ht="15">
      <c r="A15" s="2935"/>
      <c r="B15" s="2941">
        <v>111</v>
      </c>
      <c r="C15" s="535"/>
      <c r="D15" s="536">
        <v>100</v>
      </c>
      <c r="E15" s="537"/>
      <c r="F15" s="253">
        <f>SUMIF(81:81,E15,82:82)-SUMIF(81:81,C15,82:82)+100</f>
        <v>100</v>
      </c>
      <c r="G15" s="538"/>
      <c r="H15" s="536">
        <f>SUMIF(81:81,G15,82:82)-SUMIF(81:81,C15,82:82)+100</f>
        <v>100</v>
      </c>
      <c r="I15" s="537"/>
      <c r="J15" s="536">
        <f>SUMIF(81:81,I15,82:82)-SUMIF(81:81,C15,82:82)+100</f>
        <v>100</v>
      </c>
      <c r="K15" s="527"/>
      <c r="L15" s="2136"/>
      <c r="M15" s="2128"/>
      <c r="N15" s="2128"/>
      <c r="O15" s="2135"/>
      <c r="P15" s="3404"/>
      <c r="Q15" s="1146">
        <f t="shared" si="6"/>
        <v>111</v>
      </c>
      <c r="R15" s="1563" t="s">
        <v>8</v>
      </c>
      <c r="S15" s="1564">
        <f t="shared" si="0"/>
        <v>100</v>
      </c>
      <c r="T15" s="1563" t="s">
        <v>8</v>
      </c>
      <c r="U15" s="1564">
        <f t="shared" si="1"/>
        <v>100</v>
      </c>
      <c r="V15" s="1563" t="s">
        <v>8</v>
      </c>
      <c r="W15" s="1564">
        <f t="shared" si="2"/>
        <v>100</v>
      </c>
      <c r="X15" s="1565"/>
      <c r="Y15" s="3361"/>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6"/>
      <c r="M16" s="2128"/>
      <c r="N16" s="2128"/>
      <c r="O16" s="2135"/>
      <c r="P16" s="3404"/>
      <c r="Q16" s="1146">
        <f t="shared" si="6"/>
        <v>111</v>
      </c>
      <c r="R16" s="1563" t="s">
        <v>8</v>
      </c>
      <c r="S16" s="1564">
        <f t="shared" si="0"/>
        <v>100</v>
      </c>
      <c r="T16" s="1563" t="s">
        <v>8</v>
      </c>
      <c r="U16" s="1564">
        <f t="shared" si="1"/>
        <v>100</v>
      </c>
      <c r="V16" s="1563" t="s">
        <v>8</v>
      </c>
      <c r="W16" s="1564">
        <f t="shared" si="2"/>
        <v>100</v>
      </c>
      <c r="X16" s="1565"/>
      <c r="Y16" s="3361"/>
      <c r="Z16" s="1145">
        <f t="shared" si="7"/>
        <v>111</v>
      </c>
      <c r="AA16" s="1566">
        <f t="shared" si="3"/>
        <v>1</v>
      </c>
      <c r="AB16" s="1566">
        <f t="shared" si="4"/>
        <v>1</v>
      </c>
      <c r="AC16" s="1566">
        <f t="shared" si="5"/>
        <v>1</v>
      </c>
    </row>
    <row r="17" spans="1:29" ht="15">
      <c r="A17" s="2928" t="s">
        <v>2752</v>
      </c>
      <c r="B17" s="166" t="s">
        <v>597</v>
      </c>
      <c r="C17" s="916">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36"/>
      <c r="M17" s="2128"/>
      <c r="N17" s="2128"/>
      <c r="O17" s="2135"/>
      <c r="P17" s="3406" t="s">
        <v>539</v>
      </c>
      <c r="Q17" s="1567" t="str">
        <f t="shared" si="6"/>
        <v>产业集聚程度</v>
      </c>
      <c r="R17" s="1568" t="s">
        <v>8</v>
      </c>
      <c r="S17" s="1569">
        <f t="shared" si="0"/>
        <v>100</v>
      </c>
      <c r="T17" s="1568" t="s">
        <v>8</v>
      </c>
      <c r="U17" s="1569">
        <f t="shared" si="1"/>
        <v>100</v>
      </c>
      <c r="V17" s="1568" t="s">
        <v>8</v>
      </c>
      <c r="W17" s="1569">
        <f t="shared" si="2"/>
        <v>100</v>
      </c>
      <c r="X17" s="1562"/>
      <c r="Y17" s="3406"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6"/>
      <c r="M18" s="2128"/>
      <c r="N18" s="2128"/>
      <c r="O18" s="2135"/>
      <c r="P18" s="3407"/>
      <c r="Q18" s="1567"/>
      <c r="R18" s="1568"/>
      <c r="S18" s="1569"/>
      <c r="T18" s="1568"/>
      <c r="U18" s="1569"/>
      <c r="V18" s="1568"/>
      <c r="W18" s="1569"/>
      <c r="X18" s="1562"/>
      <c r="Y18" s="3407"/>
      <c r="Z18" s="1570"/>
      <c r="AA18" s="1571">
        <v>1</v>
      </c>
      <c r="AB18" s="1571">
        <v>1</v>
      </c>
      <c r="AC18" s="1571">
        <v>1</v>
      </c>
    </row>
    <row r="19" spans="1:29" ht="15">
      <c r="A19" s="528"/>
      <c r="B19" s="867" t="s">
        <v>542</v>
      </c>
      <c r="C19" s="868">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36"/>
      <c r="M19" s="2128"/>
      <c r="N19" s="2128"/>
      <c r="O19" s="2135"/>
      <c r="P19" s="3407"/>
      <c r="Q19" s="1567" t="str">
        <f>B19</f>
        <v>交通便捷度</v>
      </c>
      <c r="R19" s="1568" t="s">
        <v>8</v>
      </c>
      <c r="S19" s="1569">
        <f>F19</f>
        <v>100</v>
      </c>
      <c r="T19" s="1568" t="s">
        <v>8</v>
      </c>
      <c r="U19" s="1569">
        <f>H19</f>
        <v>100</v>
      </c>
      <c r="V19" s="1568" t="s">
        <v>8</v>
      </c>
      <c r="W19" s="1569">
        <f>J19</f>
        <v>100</v>
      </c>
      <c r="X19" s="1562"/>
      <c r="Y19" s="3407"/>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6"/>
      <c r="M20" s="2128"/>
      <c r="N20" s="2128"/>
      <c r="O20" s="2135"/>
      <c r="P20" s="3407"/>
      <c r="Q20" s="1567"/>
      <c r="R20" s="1568"/>
      <c r="S20" s="1569"/>
      <c r="T20" s="1568"/>
      <c r="U20" s="1569"/>
      <c r="V20" s="1568"/>
      <c r="W20" s="1569"/>
      <c r="X20" s="1562"/>
      <c r="Y20" s="3407"/>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6"/>
      <c r="M21" s="2128"/>
      <c r="N21" s="2128"/>
      <c r="O21" s="2135"/>
      <c r="P21" s="3407"/>
      <c r="Q21" s="1567" t="str">
        <f t="shared" ref="Q21:Q35" si="8">B21</f>
        <v>区域土地利用方向</v>
      </c>
      <c r="R21" s="1568" t="s">
        <v>8</v>
      </c>
      <c r="S21" s="1569">
        <f>F21</f>
        <v>100</v>
      </c>
      <c r="T21" s="1568" t="s">
        <v>8</v>
      </c>
      <c r="U21" s="1569">
        <f>H21</f>
        <v>100</v>
      </c>
      <c r="V21" s="1568" t="s">
        <v>8</v>
      </c>
      <c r="W21" s="1569">
        <f>J21</f>
        <v>100</v>
      </c>
      <c r="X21" s="1562"/>
      <c r="Y21" s="3407"/>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6"/>
      <c r="M22" s="2128"/>
      <c r="N22" s="2128"/>
      <c r="O22" s="2135"/>
      <c r="P22" s="3407"/>
      <c r="Q22" s="1567"/>
      <c r="R22" s="1568"/>
      <c r="S22" s="1569"/>
      <c r="T22" s="1568"/>
      <c r="U22" s="1569"/>
      <c r="V22" s="1568"/>
      <c r="W22" s="1569"/>
      <c r="X22" s="1562"/>
      <c r="Y22" s="3407"/>
      <c r="Z22" s="1570"/>
      <c r="AA22" s="1571"/>
      <c r="AB22" s="1571"/>
      <c r="AC22" s="1571"/>
    </row>
    <row r="23" spans="1:29" ht="15">
      <c r="A23" s="511"/>
      <c r="B23" s="917" t="s">
        <v>598</v>
      </c>
      <c r="C23" s="868">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36"/>
      <c r="M23" s="2128"/>
      <c r="N23" s="2128"/>
      <c r="O23" s="2135"/>
      <c r="P23" s="3407"/>
      <c r="Q23" s="1567" t="str">
        <f t="shared" si="8"/>
        <v>环境状况</v>
      </c>
      <c r="R23" s="1568" t="s">
        <v>8</v>
      </c>
      <c r="S23" s="1569">
        <f>F23</f>
        <v>100</v>
      </c>
      <c r="T23" s="1568" t="s">
        <v>8</v>
      </c>
      <c r="U23" s="1569">
        <f>H23</f>
        <v>100</v>
      </c>
      <c r="V23" s="1568" t="s">
        <v>8</v>
      </c>
      <c r="W23" s="1569">
        <f>J23</f>
        <v>100</v>
      </c>
      <c r="X23" s="1562"/>
      <c r="Y23" s="3407"/>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6"/>
      <c r="M24" s="2128"/>
      <c r="N24" s="2128"/>
      <c r="O24" s="2135"/>
      <c r="P24" s="3407"/>
      <c r="Q24" s="1567"/>
      <c r="R24" s="1568"/>
      <c r="S24" s="1569"/>
      <c r="T24" s="1568"/>
      <c r="U24" s="1569"/>
      <c r="V24" s="1568"/>
      <c r="W24" s="1569"/>
      <c r="X24" s="1562"/>
      <c r="Y24" s="3407"/>
      <c r="Z24" s="1570"/>
      <c r="AA24" s="1571">
        <v>1</v>
      </c>
      <c r="AB24" s="1571">
        <v>1</v>
      </c>
      <c r="AC24" s="1571">
        <v>1</v>
      </c>
    </row>
    <row r="25" spans="1:29" s="1215" customFormat="1" ht="15">
      <c r="A25" s="573"/>
      <c r="B25" s="2611" t="s">
        <v>2546</v>
      </c>
      <c r="C25" s="868">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29"/>
      <c r="M25" s="2130"/>
      <c r="N25" s="2130"/>
      <c r="O25" s="2131"/>
      <c r="P25" s="3407"/>
      <c r="Q25" s="1146" t="str">
        <f t="shared" si="8"/>
        <v>公共配套设施</v>
      </c>
      <c r="R25" s="1563" t="s">
        <v>8</v>
      </c>
      <c r="S25" s="1564">
        <f>F25</f>
        <v>100</v>
      </c>
      <c r="T25" s="1563" t="s">
        <v>8</v>
      </c>
      <c r="U25" s="1564">
        <f>H25</f>
        <v>100</v>
      </c>
      <c r="V25" s="1563" t="s">
        <v>8</v>
      </c>
      <c r="W25" s="1564">
        <f>J25</f>
        <v>100</v>
      </c>
      <c r="X25" s="1565"/>
      <c r="Y25" s="3407"/>
      <c r="Z25" s="1145" t="str">
        <f>Q25</f>
        <v>公共配套设施</v>
      </c>
      <c r="AA25" s="1571">
        <f>D25/F25</f>
        <v>1</v>
      </c>
      <c r="AB25" s="1571">
        <f>D25/H25</f>
        <v>1</v>
      </c>
      <c r="AC25" s="1571">
        <f>D25/J25</f>
        <v>1</v>
      </c>
    </row>
    <row r="26" spans="1:29" s="1215" customFormat="1" ht="15">
      <c r="A26" s="573"/>
      <c r="B26" s="591"/>
      <c r="C26" s="2610"/>
      <c r="D26" s="551"/>
      <c r="E26" s="550"/>
      <c r="F26" s="551"/>
      <c r="G26" s="550"/>
      <c r="H26" s="551"/>
      <c r="I26" s="572"/>
      <c r="J26" s="551"/>
      <c r="K26" s="527"/>
      <c r="L26" s="2129"/>
      <c r="M26" s="2130"/>
      <c r="N26" s="2130"/>
      <c r="O26" s="2131"/>
      <c r="P26" s="3407"/>
      <c r="Q26" s="1146"/>
      <c r="R26" s="1563"/>
      <c r="S26" s="1564"/>
      <c r="T26" s="1563"/>
      <c r="U26" s="1564"/>
      <c r="V26" s="1563"/>
      <c r="W26" s="1564"/>
      <c r="X26" s="1565"/>
      <c r="Y26" s="3407"/>
      <c r="Z26" s="1145"/>
      <c r="AA26" s="1566">
        <v>1</v>
      </c>
      <c r="AB26" s="1566">
        <v>1</v>
      </c>
      <c r="AC26" s="1566">
        <v>1</v>
      </c>
    </row>
    <row r="27" spans="1:29" s="1215" customFormat="1" ht="15">
      <c r="A27" s="573"/>
      <c r="B27" s="2611" t="s">
        <v>2547</v>
      </c>
      <c r="C27" s="868">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29"/>
      <c r="M27" s="2130"/>
      <c r="N27" s="2130"/>
      <c r="O27" s="2131"/>
      <c r="P27" s="3407"/>
      <c r="Q27" s="2596" t="str">
        <f t="shared" ref="Q27" si="9">B27</f>
        <v>基础设施水平</v>
      </c>
      <c r="R27" s="1563" t="s">
        <v>8</v>
      </c>
      <c r="S27" s="1564">
        <f>F27</f>
        <v>100</v>
      </c>
      <c r="T27" s="1563" t="s">
        <v>8</v>
      </c>
      <c r="U27" s="1564">
        <f>H27</f>
        <v>100</v>
      </c>
      <c r="V27" s="1563" t="s">
        <v>8</v>
      </c>
      <c r="W27" s="1564">
        <f>J27</f>
        <v>100</v>
      </c>
      <c r="X27" s="1565"/>
      <c r="Y27" s="3407"/>
      <c r="Z27" s="2593" t="str">
        <f>Q27</f>
        <v>基础设施水平</v>
      </c>
      <c r="AA27" s="1571">
        <f>D27/F27</f>
        <v>1</v>
      </c>
      <c r="AB27" s="1571">
        <f>D27/H27</f>
        <v>1</v>
      </c>
      <c r="AC27" s="1571">
        <f>D27/J27</f>
        <v>1</v>
      </c>
    </row>
    <row r="28" spans="1:29" s="1215" customFormat="1" ht="15">
      <c r="A28" s="573"/>
      <c r="B28" s="591"/>
      <c r="C28" s="2610"/>
      <c r="D28" s="551"/>
      <c r="E28" s="575"/>
      <c r="F28" s="551"/>
      <c r="G28" s="575"/>
      <c r="H28" s="551"/>
      <c r="I28" s="575"/>
      <c r="J28" s="551"/>
      <c r="K28" s="527"/>
      <c r="L28" s="2129"/>
      <c r="M28" s="2130"/>
      <c r="N28" s="2130"/>
      <c r="O28" s="2131"/>
      <c r="P28" s="3407"/>
      <c r="Q28" s="2596"/>
      <c r="R28" s="1563"/>
      <c r="S28" s="1564"/>
      <c r="T28" s="1563"/>
      <c r="U28" s="1564"/>
      <c r="V28" s="1563"/>
      <c r="W28" s="1564"/>
      <c r="X28" s="1565"/>
      <c r="Y28" s="3407"/>
      <c r="Z28" s="2593"/>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6"/>
      <c r="M29" s="2128"/>
      <c r="N29" s="2128"/>
      <c r="O29" s="2135"/>
      <c r="P29" s="3407"/>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07"/>
      <c r="Z29" s="1570" t="str">
        <f t="shared" ref="Z29:Z42" si="13">Q29</f>
        <v>临街状况</v>
      </c>
      <c r="AA29" s="1571">
        <f t="shared" si="3"/>
        <v>1</v>
      </c>
      <c r="AB29" s="1571">
        <f t="shared" si="4"/>
        <v>1</v>
      </c>
      <c r="AC29" s="1571">
        <f t="shared" si="5"/>
        <v>1</v>
      </c>
    </row>
    <row r="30" spans="1:29" ht="27">
      <c r="A30" s="528"/>
      <c r="B30" s="917" t="s">
        <v>547</v>
      </c>
      <c r="C30" s="261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6"/>
      <c r="M30" s="2128"/>
      <c r="N30" s="2128"/>
      <c r="O30" s="2135"/>
      <c r="P30" s="3407"/>
      <c r="Q30" s="1567" t="str">
        <f t="shared" si="8"/>
        <v>毗邻道路的类型与等级</v>
      </c>
      <c r="R30" s="1568" t="s">
        <v>8</v>
      </c>
      <c r="S30" s="1569">
        <f t="shared" si="10"/>
        <v>100</v>
      </c>
      <c r="T30" s="1568" t="s">
        <v>8</v>
      </c>
      <c r="U30" s="1569">
        <f t="shared" si="11"/>
        <v>100</v>
      </c>
      <c r="V30" s="1568" t="s">
        <v>8</v>
      </c>
      <c r="W30" s="1569">
        <f t="shared" si="12"/>
        <v>100</v>
      </c>
      <c r="X30" s="1562"/>
      <c r="Y30" s="3407"/>
      <c r="Z30" s="1570" t="str">
        <f t="shared" si="13"/>
        <v>毗邻道路的类型与等级</v>
      </c>
      <c r="AA30" s="1571">
        <f t="shared" si="3"/>
        <v>1</v>
      </c>
      <c r="AB30" s="1571">
        <f t="shared" si="4"/>
        <v>1</v>
      </c>
      <c r="AC30" s="1571">
        <f t="shared" si="5"/>
        <v>1</v>
      </c>
    </row>
    <row r="31" spans="1:29" ht="15">
      <c r="A31" s="528"/>
      <c r="B31" s="591"/>
      <c r="C31" s="572"/>
      <c r="D31" s="551"/>
      <c r="E31" s="572"/>
      <c r="F31" s="551"/>
      <c r="G31" s="572"/>
      <c r="H31" s="551"/>
      <c r="I31" s="572"/>
      <c r="J31" s="551"/>
      <c r="K31" s="577"/>
      <c r="L31" s="2136"/>
      <c r="M31" s="2128"/>
      <c r="N31" s="2128"/>
      <c r="O31" s="2135"/>
      <c r="P31" s="3407"/>
      <c r="Q31" s="1567"/>
      <c r="R31" s="1568"/>
      <c r="S31" s="1569"/>
      <c r="T31" s="1568"/>
      <c r="U31" s="1569"/>
      <c r="V31" s="1568"/>
      <c r="W31" s="1569"/>
      <c r="X31" s="1562"/>
      <c r="Y31" s="3407"/>
      <c r="Z31" s="1570"/>
      <c r="AA31" s="1571">
        <v>1</v>
      </c>
      <c r="AB31" s="1571">
        <v>1</v>
      </c>
      <c r="AC31" s="1571">
        <v>1</v>
      </c>
    </row>
    <row r="32" spans="1:29" ht="15">
      <c r="A32" s="528"/>
      <c r="B32" s="523" t="s">
        <v>548</v>
      </c>
      <c r="C32" s="261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6"/>
      <c r="M32" s="2128"/>
      <c r="N32" s="2128"/>
      <c r="O32" s="2135"/>
      <c r="P32" s="3407"/>
      <c r="Q32" s="1567" t="str">
        <f t="shared" si="8"/>
        <v>土地级别</v>
      </c>
      <c r="R32" s="1568" t="s">
        <v>8</v>
      </c>
      <c r="S32" s="1569">
        <f t="shared" si="10"/>
        <v>100</v>
      </c>
      <c r="T32" s="1568" t="s">
        <v>8</v>
      </c>
      <c r="U32" s="1569">
        <f t="shared" si="11"/>
        <v>100</v>
      </c>
      <c r="V32" s="1568" t="s">
        <v>8</v>
      </c>
      <c r="W32" s="1569">
        <f t="shared" si="12"/>
        <v>100</v>
      </c>
      <c r="X32" s="1562"/>
      <c r="Y32" s="3407"/>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6"/>
      <c r="M33" s="2128"/>
      <c r="N33" s="2128"/>
      <c r="O33" s="2135"/>
      <c r="P33" s="3407"/>
      <c r="Q33" s="1567">
        <f t="shared" si="8"/>
        <v>111</v>
      </c>
      <c r="R33" s="1568" t="s">
        <v>8</v>
      </c>
      <c r="S33" s="1569">
        <f t="shared" si="10"/>
        <v>100</v>
      </c>
      <c r="T33" s="1568" t="s">
        <v>8</v>
      </c>
      <c r="U33" s="1569">
        <f t="shared" si="11"/>
        <v>100</v>
      </c>
      <c r="V33" s="1568" t="s">
        <v>8</v>
      </c>
      <c r="W33" s="1569">
        <f t="shared" si="12"/>
        <v>100</v>
      </c>
      <c r="X33" s="1562"/>
      <c r="Y33" s="3407"/>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6"/>
      <c r="M34" s="2128"/>
      <c r="N34" s="2128"/>
      <c r="O34" s="2135"/>
      <c r="P34" s="3408" t="s">
        <v>549</v>
      </c>
      <c r="Q34" s="1567">
        <f t="shared" si="8"/>
        <v>111</v>
      </c>
      <c r="R34" s="1568" t="s">
        <v>8</v>
      </c>
      <c r="S34" s="1569">
        <f t="shared" si="10"/>
        <v>100</v>
      </c>
      <c r="T34" s="1568" t="s">
        <v>8</v>
      </c>
      <c r="U34" s="1569">
        <f t="shared" si="11"/>
        <v>100</v>
      </c>
      <c r="V34" s="1568" t="s">
        <v>8</v>
      </c>
      <c r="W34" s="1569">
        <f t="shared" si="12"/>
        <v>100</v>
      </c>
      <c r="X34" s="1562"/>
      <c r="Y34" s="3409" t="s">
        <v>549</v>
      </c>
      <c r="Z34" s="1570">
        <f t="shared" si="13"/>
        <v>111</v>
      </c>
      <c r="AA34" s="1571">
        <f t="shared" si="3"/>
        <v>1</v>
      </c>
      <c r="AB34" s="1571">
        <f t="shared" si="4"/>
        <v>1</v>
      </c>
      <c r="AC34" s="1571">
        <f t="shared" si="5"/>
        <v>1</v>
      </c>
    </row>
    <row r="35" spans="1:29" s="1334" customFormat="1" ht="15.75" thickBot="1">
      <c r="A35" s="585"/>
      <c r="B35" s="2612">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4"/>
      <c r="M35" s="2165"/>
      <c r="N35" s="2165"/>
      <c r="O35" s="2137"/>
      <c r="P35" s="3409"/>
      <c r="Q35" s="1567">
        <f t="shared" si="8"/>
        <v>111</v>
      </c>
      <c r="R35" s="1572" t="s">
        <v>8</v>
      </c>
      <c r="S35" s="1573">
        <f t="shared" si="10"/>
        <v>100</v>
      </c>
      <c r="T35" s="1572" t="s">
        <v>8</v>
      </c>
      <c r="U35" s="1573">
        <f t="shared" si="11"/>
        <v>100</v>
      </c>
      <c r="V35" s="1572" t="s">
        <v>8</v>
      </c>
      <c r="W35" s="1573">
        <f t="shared" si="12"/>
        <v>100</v>
      </c>
      <c r="X35" s="1574"/>
      <c r="Y35" s="3409"/>
      <c r="Z35" s="1575">
        <f t="shared" si="13"/>
        <v>111</v>
      </c>
      <c r="AA35" s="1571">
        <f t="shared" si="3"/>
        <v>1</v>
      </c>
      <c r="AB35" s="1571">
        <f t="shared" si="4"/>
        <v>1</v>
      </c>
      <c r="AC35" s="1571">
        <f t="shared" si="5"/>
        <v>1</v>
      </c>
    </row>
    <row r="36" spans="1:29" ht="15">
      <c r="A36" s="2925" t="s">
        <v>2753</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6"/>
      <c r="M36" s="2128"/>
      <c r="N36" s="2128"/>
      <c r="O36" s="2135"/>
      <c r="P36" s="3409"/>
      <c r="Q36" s="1567" t="str">
        <f>B36</f>
        <v>宗地面积</v>
      </c>
      <c r="R36" s="1568" t="s">
        <v>8</v>
      </c>
      <c r="S36" s="1569" t="e">
        <f t="shared" si="10"/>
        <v>#N/A</v>
      </c>
      <c r="T36" s="1568" t="s">
        <v>8</v>
      </c>
      <c r="U36" s="1569" t="e">
        <f t="shared" si="11"/>
        <v>#N/A</v>
      </c>
      <c r="V36" s="1568" t="s">
        <v>8</v>
      </c>
      <c r="W36" s="1569" t="e">
        <f t="shared" si="12"/>
        <v>#N/A</v>
      </c>
      <c r="X36" s="1562"/>
      <c r="Y36" s="3409"/>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6"/>
      <c r="M37" s="2128"/>
      <c r="N37" s="2128"/>
      <c r="O37" s="2135"/>
      <c r="P37" s="3409"/>
      <c r="Q37" s="1567" t="str">
        <f t="shared" ref="Q37:Q42" si="14">B37</f>
        <v>宗地形状</v>
      </c>
      <c r="R37" s="1568" t="s">
        <v>8</v>
      </c>
      <c r="S37" s="1569">
        <f t="shared" si="10"/>
        <v>100</v>
      </c>
      <c r="T37" s="1568" t="s">
        <v>8</v>
      </c>
      <c r="U37" s="1569">
        <f t="shared" si="11"/>
        <v>100</v>
      </c>
      <c r="V37" s="1568" t="s">
        <v>8</v>
      </c>
      <c r="W37" s="1569">
        <f t="shared" si="12"/>
        <v>100</v>
      </c>
      <c r="X37" s="1562"/>
      <c r="Y37" s="3409"/>
      <c r="Z37" s="1570" t="str">
        <f t="shared" si="13"/>
        <v>宗地形状</v>
      </c>
      <c r="AA37" s="1571">
        <f t="shared" si="3"/>
        <v>1</v>
      </c>
      <c r="AB37" s="1571">
        <f t="shared" si="4"/>
        <v>1</v>
      </c>
      <c r="AC37" s="1571">
        <f t="shared" si="5"/>
        <v>1</v>
      </c>
    </row>
    <row r="38" spans="1:29" s="1215" customFormat="1" ht="15">
      <c r="A38" s="596"/>
      <c r="B38" s="1889" t="s">
        <v>2421</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29"/>
      <c r="M38" s="2130"/>
      <c r="N38" s="2130"/>
      <c r="O38" s="2131"/>
      <c r="P38" s="3409"/>
      <c r="Q38" s="1567" t="str">
        <f t="shared" si="14"/>
        <v>宗地开发程度</v>
      </c>
      <c r="R38" s="1563" t="s">
        <v>8</v>
      </c>
      <c r="S38" s="1564">
        <f t="shared" si="10"/>
        <v>100</v>
      </c>
      <c r="T38" s="1563" t="s">
        <v>8</v>
      </c>
      <c r="U38" s="1564">
        <f t="shared" si="11"/>
        <v>100</v>
      </c>
      <c r="V38" s="1563" t="s">
        <v>8</v>
      </c>
      <c r="W38" s="1564">
        <f t="shared" si="12"/>
        <v>100</v>
      </c>
      <c r="X38" s="1565"/>
      <c r="Y38" s="3409"/>
      <c r="Z38" s="1145"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409" t="s">
        <v>600</v>
      </c>
      <c r="Q39" s="1567" t="str">
        <f t="shared" si="14"/>
        <v>工程地质条件</v>
      </c>
      <c r="R39" s="1568" t="s">
        <v>8</v>
      </c>
      <c r="S39" s="1569">
        <f t="shared" si="10"/>
        <v>100</v>
      </c>
      <c r="T39" s="1568" t="s">
        <v>8</v>
      </c>
      <c r="U39" s="1569">
        <f t="shared" si="11"/>
        <v>100</v>
      </c>
      <c r="V39" s="1568" t="s">
        <v>8</v>
      </c>
      <c r="W39" s="1569">
        <f t="shared" si="12"/>
        <v>100</v>
      </c>
      <c r="X39" s="1562"/>
      <c r="Y39" s="3409"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6"/>
      <c r="M40" s="2128"/>
      <c r="N40" s="2128"/>
      <c r="O40" s="2135"/>
      <c r="P40" s="3409"/>
      <c r="Q40" s="1567">
        <f t="shared" si="14"/>
        <v>111</v>
      </c>
      <c r="R40" s="1568" t="s">
        <v>8</v>
      </c>
      <c r="S40" s="1569">
        <f t="shared" si="10"/>
        <v>100</v>
      </c>
      <c r="T40" s="1568" t="s">
        <v>8</v>
      </c>
      <c r="U40" s="1569">
        <f t="shared" si="11"/>
        <v>100</v>
      </c>
      <c r="V40" s="1568" t="s">
        <v>8</v>
      </c>
      <c r="W40" s="1569">
        <f t="shared" si="12"/>
        <v>100</v>
      </c>
      <c r="X40" s="1562"/>
      <c r="Y40" s="3409"/>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6"/>
      <c r="M41" s="2128"/>
      <c r="N41" s="2128"/>
      <c r="O41" s="2135"/>
      <c r="P41" s="3409"/>
      <c r="Q41" s="1567">
        <f t="shared" si="14"/>
        <v>111</v>
      </c>
      <c r="R41" s="1568" t="s">
        <v>8</v>
      </c>
      <c r="S41" s="1569">
        <f t="shared" si="10"/>
        <v>100</v>
      </c>
      <c r="T41" s="1568" t="s">
        <v>8</v>
      </c>
      <c r="U41" s="1569">
        <f t="shared" si="11"/>
        <v>100</v>
      </c>
      <c r="V41" s="1568" t="s">
        <v>8</v>
      </c>
      <c r="W41" s="1569">
        <f t="shared" si="12"/>
        <v>100</v>
      </c>
      <c r="X41" s="1562"/>
      <c r="Y41" s="3409"/>
      <c r="Z41" s="1570">
        <f t="shared" si="13"/>
        <v>111</v>
      </c>
      <c r="AA41" s="1571">
        <f t="shared" si="3"/>
        <v>1</v>
      </c>
      <c r="AB41" s="1571">
        <f t="shared" si="4"/>
        <v>1</v>
      </c>
      <c r="AC41" s="1571">
        <f t="shared" si="5"/>
        <v>1</v>
      </c>
    </row>
    <row r="42" spans="1:29" s="1334"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4"/>
      <c r="M42" s="2165"/>
      <c r="N42" s="2165"/>
      <c r="O42" s="2137"/>
      <c r="P42" s="3409"/>
      <c r="Q42" s="1567">
        <f t="shared" si="14"/>
        <v>111</v>
      </c>
      <c r="R42" s="1572" t="s">
        <v>8</v>
      </c>
      <c r="S42" s="1573">
        <f t="shared" si="10"/>
        <v>100</v>
      </c>
      <c r="T42" s="1572" t="s">
        <v>8</v>
      </c>
      <c r="U42" s="1573">
        <f t="shared" si="11"/>
        <v>100</v>
      </c>
      <c r="V42" s="1572" t="s">
        <v>8</v>
      </c>
      <c r="W42" s="1573">
        <f t="shared" si="12"/>
        <v>100</v>
      </c>
      <c r="X42" s="1574"/>
      <c r="Y42" s="3409"/>
      <c r="Z42" s="1575">
        <f t="shared" si="13"/>
        <v>111</v>
      </c>
      <c r="AA42" s="1571">
        <f t="shared" si="3"/>
        <v>1</v>
      </c>
      <c r="AB42" s="1571">
        <f t="shared" si="4"/>
        <v>1</v>
      </c>
      <c r="AC42" s="1571">
        <f t="shared" si="5"/>
        <v>1</v>
      </c>
    </row>
    <row r="43" spans="1:29" ht="15">
      <c r="A43" s="603" t="s">
        <v>555</v>
      </c>
      <c r="B43" s="604" t="s">
        <v>2921</v>
      </c>
      <c r="C43" s="605" t="s">
        <v>1</v>
      </c>
      <c r="D43" s="606"/>
      <c r="E43" s="607"/>
      <c r="F43" s="608"/>
      <c r="G43" s="609"/>
      <c r="H43" s="610"/>
      <c r="I43" s="607"/>
      <c r="J43" s="610"/>
      <c r="K43" s="1335"/>
      <c r="L43" s="2138"/>
      <c r="M43" s="2128"/>
      <c r="N43" s="2128"/>
      <c r="O43" s="2139"/>
      <c r="P43" s="3404" t="str">
        <f>A43</f>
        <v>成交单价</v>
      </c>
      <c r="Q43" s="3404"/>
      <c r="R43" s="3418">
        <f>E43</f>
        <v>0</v>
      </c>
      <c r="S43" s="3418"/>
      <c r="T43" s="3418">
        <f>G43</f>
        <v>0</v>
      </c>
      <c r="U43" s="3418"/>
      <c r="V43" s="3418">
        <f>I43</f>
        <v>0</v>
      </c>
      <c r="W43" s="3418"/>
      <c r="X43" s="1554"/>
      <c r="Y43" s="1576"/>
      <c r="Z43" s="1554"/>
      <c r="AA43" s="1554"/>
      <c r="AB43" s="1554"/>
      <c r="AC43" s="1554"/>
    </row>
    <row r="44" spans="1:29" ht="15.75" thickBot="1">
      <c r="A44" s="611" t="s">
        <v>2691</v>
      </c>
      <c r="B44" s="612"/>
      <c r="C44" s="613" t="e">
        <f>R45</f>
        <v>#DIV/0!</v>
      </c>
      <c r="D44" s="614"/>
      <c r="E44" s="613" t="e">
        <f>R44</f>
        <v>#DIV/0!</v>
      </c>
      <c r="F44" s="615"/>
      <c r="G44" s="616" t="e">
        <f>T44</f>
        <v>#DIV/0!</v>
      </c>
      <c r="H44" s="614"/>
      <c r="I44" s="613" t="e">
        <f>V44</f>
        <v>#DIV/0!</v>
      </c>
      <c r="J44" s="614"/>
      <c r="K44" s="1336"/>
      <c r="L44" s="2138"/>
      <c r="M44" s="2128"/>
      <c r="N44" s="2128"/>
      <c r="O44" s="2139"/>
      <c r="P44" s="3404" t="str">
        <f>A44</f>
        <v>比较价格（元/平方米）</v>
      </c>
      <c r="Q44" s="3404"/>
      <c r="R44" s="3428" t="e">
        <f>ROUND(PRODUCT(R43,AA9:AA42),0)</f>
        <v>#DIV/0!</v>
      </c>
      <c r="S44" s="3428"/>
      <c r="T44" s="3428" t="e">
        <f>ROUND(PRODUCT(T43,AB9:AB42),0)</f>
        <v>#DIV/0!</v>
      </c>
      <c r="U44" s="3428"/>
      <c r="V44" s="3428" t="e">
        <f>ROUND(PRODUCT(V43,AC9:AC42),0)</f>
        <v>#DIV/0!</v>
      </c>
      <c r="W44" s="3428"/>
      <c r="X44" s="1554"/>
      <c r="Y44" s="1554"/>
      <c r="Z44" s="1554"/>
      <c r="AA44" s="1554"/>
      <c r="AB44" s="1554"/>
      <c r="AC44" s="1554"/>
    </row>
    <row r="45" spans="1:29" ht="15.75" thickBot="1">
      <c r="A45" s="617" t="s">
        <v>2922</v>
      </c>
      <c r="B45" s="618"/>
      <c r="C45" s="619" t="e">
        <f>R45</f>
        <v>#DIV/0!</v>
      </c>
      <c r="D45" s="619"/>
      <c r="E45" s="619"/>
      <c r="F45" s="619"/>
      <c r="G45" s="619"/>
      <c r="H45" s="619"/>
      <c r="I45" s="619"/>
      <c r="J45" s="619"/>
      <c r="K45" s="1337"/>
      <c r="L45" s="2138"/>
      <c r="M45" s="2128"/>
      <c r="N45" s="2128"/>
      <c r="O45" s="2139"/>
      <c r="P45" s="3425" t="str">
        <f>A45</f>
        <v>估价对象XX用房的比较价格（楼面单价，元/平方米）</v>
      </c>
      <c r="Q45" s="3426"/>
      <c r="R45" s="3427" t="e">
        <f>ROUND(AVERAGE(R44:V44),0)</f>
        <v>#DIV/0!</v>
      </c>
      <c r="S45" s="3427"/>
      <c r="T45" s="3427"/>
      <c r="U45" s="3427"/>
      <c r="V45" s="3427"/>
      <c r="W45" s="3427"/>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559</v>
      </c>
      <c r="B52" s="626" t="s">
        <v>560</v>
      </c>
      <c r="C52" s="1555" t="s">
        <v>1724</v>
      </c>
      <c r="D52" s="2221" t="s">
        <v>2292</v>
      </c>
      <c r="E52" s="627" t="s">
        <v>561</v>
      </c>
      <c r="F52" s="1945" t="s">
        <v>562</v>
      </c>
      <c r="G52" s="3429" t="s">
        <v>2283</v>
      </c>
      <c r="H52" s="3430"/>
      <c r="I52" s="1946" t="s">
        <v>1947</v>
      </c>
      <c r="J52" s="1550" t="str">
        <f>项目基本情况!F41</f>
        <v>武汉市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29" t="s">
        <v>563</v>
      </c>
      <c r="B53" s="630" t="e">
        <f>C45</f>
        <v>#DIV/0!</v>
      </c>
      <c r="C53" s="631">
        <v>1</v>
      </c>
      <c r="D53" s="2222">
        <v>1</v>
      </c>
      <c r="E53" s="631">
        <f>'数据-汇总表'!E8+'数据-汇总表'!E9</f>
        <v>382857</v>
      </c>
      <c r="F53" s="1944" t="e">
        <f t="shared" ref="F53:F62" si="15">ROUND(B53*E53/10000,0)</f>
        <v>#DIV/0!</v>
      </c>
      <c r="G53" s="3431"/>
      <c r="H53" s="3432"/>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3" t="s">
        <v>564</v>
      </c>
      <c r="B54" s="634" t="e">
        <f>ROUND($C$45*C54*D54,0)</f>
        <v>#DIV/0!</v>
      </c>
      <c r="C54" s="374">
        <f t="shared" ref="C54:C62" si="16">IF($C$52="北京市系数",I54,J54)</f>
        <v>0</v>
      </c>
      <c r="D54" s="2223">
        <v>0.25</v>
      </c>
      <c r="E54" s="635"/>
      <c r="F54" s="1944" t="e">
        <f t="shared" si="15"/>
        <v>#DIV/0!</v>
      </c>
      <c r="G54" s="3433" t="s">
        <v>2284</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3" t="s">
        <v>565</v>
      </c>
      <c r="B55" s="634" t="e">
        <f t="shared" ref="B55:B62" si="17">ROUND($C$45*C55*D55,0)</f>
        <v>#DIV/0!</v>
      </c>
      <c r="C55" s="374">
        <f t="shared" si="16"/>
        <v>0</v>
      </c>
      <c r="D55" s="2223">
        <v>0.25</v>
      </c>
      <c r="E55" s="635"/>
      <c r="F55" s="1944" t="e">
        <f t="shared" si="15"/>
        <v>#DIV/0!</v>
      </c>
      <c r="G55" s="3433"/>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3" t="s">
        <v>566</v>
      </c>
      <c r="B56" s="634" t="e">
        <f t="shared" si="17"/>
        <v>#DIV/0!</v>
      </c>
      <c r="C56" s="374">
        <f t="shared" si="16"/>
        <v>0</v>
      </c>
      <c r="D56" s="2223">
        <v>0.25</v>
      </c>
      <c r="E56" s="635"/>
      <c r="F56" s="1944" t="e">
        <f t="shared" si="15"/>
        <v>#DIV/0!</v>
      </c>
      <c r="G56" s="3433"/>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3" t="s">
        <v>567</v>
      </c>
      <c r="B57" s="634" t="e">
        <f t="shared" si="17"/>
        <v>#DIV/0!</v>
      </c>
      <c r="C57" s="374">
        <f t="shared" si="16"/>
        <v>0</v>
      </c>
      <c r="D57" s="2223">
        <v>0.25</v>
      </c>
      <c r="E57" s="635"/>
      <c r="F57" s="1944" t="e">
        <f t="shared" si="15"/>
        <v>#DIV/0!</v>
      </c>
      <c r="G57" s="3433"/>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2325</v>
      </c>
      <c r="B58" s="634" t="e">
        <f t="shared" si="17"/>
        <v>#DIV/0!</v>
      </c>
      <c r="C58" s="374">
        <f t="shared" si="16"/>
        <v>0</v>
      </c>
      <c r="D58" s="2223">
        <v>0.25</v>
      </c>
      <c r="E58" s="637">
        <f>'数据-汇总表'!E11</f>
        <v>0</v>
      </c>
      <c r="F58" s="1944" t="e">
        <f t="shared" si="15"/>
        <v>#DIV/0!</v>
      </c>
      <c r="G58" s="1950" t="s">
        <v>2285</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568</v>
      </c>
      <c r="B59" s="634" t="e">
        <f t="shared" si="17"/>
        <v>#DIV/0!</v>
      </c>
      <c r="C59" s="374">
        <f t="shared" si="16"/>
        <v>0</v>
      </c>
      <c r="D59" s="2223">
        <v>0.25</v>
      </c>
      <c r="E59" s="637">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569</v>
      </c>
      <c r="B60" s="634" t="e">
        <f t="shared" si="17"/>
        <v>#DIV/0!</v>
      </c>
      <c r="C60" s="374">
        <f t="shared" si="16"/>
        <v>0</v>
      </c>
      <c r="D60" s="2223">
        <v>0.25</v>
      </c>
      <c r="E60" s="637">
        <f>'数据-汇总表'!E13</f>
        <v>0</v>
      </c>
      <c r="F60" s="1944" t="e">
        <f t="shared" si="15"/>
        <v>#DIV/0!</v>
      </c>
      <c r="G60" s="1940" t="s">
        <v>922</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570</v>
      </c>
      <c r="B61" s="634" t="e">
        <f t="shared" si="17"/>
        <v>#DIV/0!</v>
      </c>
      <c r="C61" s="374">
        <f t="shared" si="16"/>
        <v>0</v>
      </c>
      <c r="D61" s="2223">
        <v>0.25</v>
      </c>
      <c r="E61" s="637">
        <f>'数据-汇总表'!E14</f>
        <v>134025.01</v>
      </c>
      <c r="F61" s="1944" t="e">
        <f t="shared" si="15"/>
        <v>#DIV/0!</v>
      </c>
      <c r="G61" s="1950" t="s">
        <v>2284</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3" t="s">
        <v>571</v>
      </c>
      <c r="B62" s="634" t="e">
        <f t="shared" si="17"/>
        <v>#DIV/0!</v>
      </c>
      <c r="C62" s="374">
        <f t="shared" si="16"/>
        <v>0</v>
      </c>
      <c r="D62" s="2223">
        <v>0.25</v>
      </c>
      <c r="E62" s="637">
        <f>'数据-汇总表'!E15</f>
        <v>0</v>
      </c>
      <c r="F62" s="1944" t="e">
        <f t="shared" si="15"/>
        <v>#DIV/0!</v>
      </c>
      <c r="G62" s="1951" t="s">
        <v>2285</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8" t="s">
        <v>572</v>
      </c>
      <c r="B63" s="639" t="s">
        <v>17</v>
      </c>
      <c r="C63" s="639" t="s">
        <v>18</v>
      </c>
      <c r="D63" s="639" t="s">
        <v>2293</v>
      </c>
      <c r="E63" s="639">
        <f>IF(B43="楼面地价",SUM(E53:E62),'数据-汇总表'!D3)</f>
        <v>105656.7</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8" t="str">
        <f>YEAR(C9)&amp;"-"&amp;MONTH(C9)&amp;"-1"</f>
        <v>2018-3-1</v>
      </c>
      <c r="D65" s="2817">
        <f>EDATE(C65,-3)</f>
        <v>43070</v>
      </c>
      <c r="E65" s="2817">
        <f t="shared" ref="E65:N65" si="18">EDATE(D65,-3)</f>
        <v>42979</v>
      </c>
      <c r="F65" s="2817">
        <f t="shared" si="18"/>
        <v>42887</v>
      </c>
      <c r="G65" s="2817">
        <f t="shared" si="18"/>
        <v>42795</v>
      </c>
      <c r="H65" s="2817">
        <f t="shared" si="18"/>
        <v>42705</v>
      </c>
      <c r="I65" s="2817">
        <f t="shared" si="18"/>
        <v>42614</v>
      </c>
      <c r="J65" s="2817">
        <f t="shared" si="18"/>
        <v>42522</v>
      </c>
      <c r="K65" s="2817">
        <f t="shared" si="18"/>
        <v>42430</v>
      </c>
      <c r="L65" s="2817">
        <f t="shared" si="18"/>
        <v>42339</v>
      </c>
      <c r="M65" s="2817">
        <f t="shared" si="18"/>
        <v>42248</v>
      </c>
      <c r="N65" s="2817">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573</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2" customFormat="1" ht="15">
      <c r="A67" s="2586" t="s">
        <v>2531</v>
      </c>
      <c r="B67" s="642"/>
      <c r="C67" s="2812" t="str">
        <f>YEAR(C65)&amp;"-"&amp;ROUNDUP(MONTH(C65)/3,0)</f>
        <v>2018-1</v>
      </c>
      <c r="D67" s="2819" t="str">
        <f t="shared" ref="D67:N67" si="19">YEAR(D65)&amp;"-"&amp;ROUNDUP(MONTH(D65)/3,0)</f>
        <v>2017-4</v>
      </c>
      <c r="E67" s="2819" t="str">
        <f t="shared" si="19"/>
        <v>2017-3</v>
      </c>
      <c r="F67" s="2819" t="str">
        <f t="shared" si="19"/>
        <v>2017-2</v>
      </c>
      <c r="G67" s="2819" t="str">
        <f t="shared" si="19"/>
        <v>2017-1</v>
      </c>
      <c r="H67" s="2819" t="str">
        <f t="shared" si="19"/>
        <v>2016-4</v>
      </c>
      <c r="I67" s="2819" t="str">
        <f t="shared" si="19"/>
        <v>2016-3</v>
      </c>
      <c r="J67" s="2819" t="str">
        <f t="shared" si="19"/>
        <v>2016-2</v>
      </c>
      <c r="K67" s="2819" t="str">
        <f t="shared" si="19"/>
        <v>2016-1</v>
      </c>
      <c r="L67" s="2819" t="str">
        <f t="shared" si="19"/>
        <v>2015-4</v>
      </c>
      <c r="M67" s="2819" t="str">
        <f t="shared" si="19"/>
        <v>2015-3</v>
      </c>
      <c r="N67" s="2819" t="str">
        <f t="shared" si="19"/>
        <v>2015-2</v>
      </c>
      <c r="O67" s="2153"/>
      <c r="P67" s="2154"/>
      <c r="Q67" s="2155"/>
      <c r="R67" s="2155"/>
      <c r="S67" s="2155"/>
      <c r="T67" s="2155"/>
      <c r="U67" s="2155"/>
      <c r="V67" s="2155"/>
      <c r="W67" s="2155"/>
      <c r="X67" s="2155"/>
      <c r="Y67" s="2155"/>
      <c r="Z67" s="2155"/>
      <c r="AA67" s="2155"/>
      <c r="AB67" s="2155"/>
      <c r="AC67" s="2155"/>
    </row>
    <row r="68" spans="1:29" s="1215" customFormat="1" ht="27.75" customHeight="1">
      <c r="A68" s="2816" t="s">
        <v>2647</v>
      </c>
      <c r="B68" s="475" t="str">
        <f>"北京市平均增长率"&amp;TEXT(基准地价!P24,"0.00%")</f>
        <v>北京市平均增长率1.31%</v>
      </c>
      <c r="C68" s="889">
        <v>100</v>
      </c>
      <c r="D68" s="726"/>
      <c r="E68" s="726"/>
      <c r="F68" s="726"/>
      <c r="G68" s="726"/>
      <c r="H68" s="726"/>
      <c r="I68" s="726"/>
      <c r="J68" s="726"/>
      <c r="K68" s="726"/>
      <c r="L68" s="726"/>
      <c r="M68" s="2810"/>
      <c r="N68" s="2811"/>
      <c r="O68" s="2156"/>
      <c r="P68" s="2152"/>
      <c r="Q68" s="1987"/>
      <c r="R68" s="1987"/>
      <c r="S68" s="1987"/>
      <c r="T68" s="1987"/>
      <c r="U68" s="1987"/>
      <c r="V68" s="1987"/>
      <c r="W68" s="1987"/>
      <c r="X68" s="1987"/>
      <c r="Y68" s="1987"/>
      <c r="Z68" s="1987"/>
      <c r="AA68" s="1987"/>
      <c r="AB68" s="1987"/>
      <c r="AC68" s="1987"/>
    </row>
    <row r="69" spans="1:29" s="1215" customFormat="1" ht="15.75" thickBot="1">
      <c r="A69" s="649" t="s">
        <v>574</v>
      </c>
      <c r="B69" s="650"/>
      <c r="C69" s="2808"/>
      <c r="D69" s="2809"/>
      <c r="E69" s="2809"/>
      <c r="F69" s="2809"/>
      <c r="G69" s="2809"/>
      <c r="H69" s="2809"/>
      <c r="I69" s="2809"/>
      <c r="J69" s="2809"/>
      <c r="K69" s="2809"/>
      <c r="L69" s="2809"/>
      <c r="M69" s="2809"/>
      <c r="N69" s="2809"/>
      <c r="O69" s="2156"/>
      <c r="P69" s="2152"/>
      <c r="Q69" s="2152"/>
      <c r="R69" s="1987"/>
      <c r="S69" s="1987"/>
      <c r="T69" s="1987"/>
      <c r="U69" s="1987"/>
      <c r="V69" s="1987"/>
      <c r="W69" s="1987"/>
      <c r="X69" s="1987"/>
      <c r="Y69" s="1987"/>
      <c r="Z69" s="1987"/>
      <c r="AA69" s="1987"/>
      <c r="AB69" s="1987"/>
      <c r="AC69" s="1987"/>
    </row>
    <row r="70" spans="1:29" s="1215" customFormat="1" ht="15">
      <c r="A70" s="655" t="s">
        <v>530</v>
      </c>
      <c r="B70" s="644"/>
      <c r="C70" s="656" t="s">
        <v>575</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576</v>
      </c>
      <c r="B72" s="661" t="s">
        <v>533</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536</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7"/>
      <c r="D77" s="537"/>
      <c r="E77" s="537"/>
      <c r="F77" s="537"/>
      <c r="G77" s="537"/>
      <c r="H77" s="537"/>
      <c r="I77" s="537"/>
      <c r="J77" s="537"/>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538</v>
      </c>
      <c r="B85" s="661" t="s">
        <v>601</v>
      </c>
      <c r="C85" s="699" t="s">
        <v>578</v>
      </c>
      <c r="D85" s="699" t="s">
        <v>579</v>
      </c>
      <c r="E85" s="699" t="s">
        <v>580</v>
      </c>
      <c r="F85" s="699" t="s">
        <v>581</v>
      </c>
      <c r="G85" s="699" t="s">
        <v>582</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585</v>
      </c>
      <c r="C87" s="704" t="s">
        <v>578</v>
      </c>
      <c r="D87" s="704" t="s">
        <v>579</v>
      </c>
      <c r="E87" s="704" t="s">
        <v>580</v>
      </c>
      <c r="F87" s="704" t="s">
        <v>581</v>
      </c>
      <c r="G87" s="704" t="s">
        <v>582</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5"/>
      <c r="B89" s="669" t="s">
        <v>586</v>
      </c>
      <c r="C89" s="704" t="s">
        <v>578</v>
      </c>
      <c r="D89" s="704" t="s">
        <v>579</v>
      </c>
      <c r="E89" s="704" t="s">
        <v>580</v>
      </c>
      <c r="F89" s="704" t="s">
        <v>581</v>
      </c>
      <c r="G89" s="704" t="s">
        <v>582</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5"/>
      <c r="B91" s="669" t="s">
        <v>587</v>
      </c>
      <c r="C91" s="699" t="s">
        <v>578</v>
      </c>
      <c r="D91" s="699" t="s">
        <v>579</v>
      </c>
      <c r="E91" s="699" t="s">
        <v>580</v>
      </c>
      <c r="F91" s="699" t="s">
        <v>581</v>
      </c>
      <c r="G91" s="699" t="s">
        <v>582</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3"/>
      <c r="B93" s="1890" t="s">
        <v>2546</v>
      </c>
      <c r="C93" s="699" t="s">
        <v>578</v>
      </c>
      <c r="D93" s="699" t="s">
        <v>579</v>
      </c>
      <c r="E93" s="699" t="s">
        <v>580</v>
      </c>
      <c r="F93" s="699" t="s">
        <v>581</v>
      </c>
      <c r="G93" s="699" t="s">
        <v>582</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3"/>
      <c r="B95" s="2615" t="s">
        <v>2548</v>
      </c>
      <c r="C95" s="2616" t="s">
        <v>2549</v>
      </c>
      <c r="D95" s="2616" t="s">
        <v>2550</v>
      </c>
      <c r="E95" s="2616" t="s">
        <v>2551</v>
      </c>
      <c r="F95" s="2616" t="s">
        <v>2552</v>
      </c>
      <c r="G95" s="2616" t="s">
        <v>2553</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588</v>
      </c>
      <c r="D97" s="670" t="s">
        <v>589</v>
      </c>
      <c r="E97" s="670" t="s">
        <v>590</v>
      </c>
      <c r="F97" s="670" t="s">
        <v>591</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547</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548</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3"/>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1" t="str">
        <f t="shared" si="25"/>
        <v>(含)-</v>
      </c>
      <c r="L109" s="3112" t="str">
        <f t="shared" si="25"/>
        <v>(含)-</v>
      </c>
      <c r="M109" s="3113"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593</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4"/>
      <c r="B114" s="1890" t="s">
        <v>2422</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595</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16">
        <f>SUM(D29:D30,D33:D39)</f>
        <v>0</v>
      </c>
      <c r="E1" s="1401" t="s">
        <v>2424</v>
      </c>
      <c r="F1" s="2470"/>
      <c r="G1" s="1396"/>
      <c r="H1" s="1396"/>
      <c r="I1" s="1396"/>
      <c r="J1" s="1396"/>
      <c r="K1" s="1396"/>
      <c r="L1" s="1876" t="s">
        <v>2237</v>
      </c>
      <c r="M1" s="1877">
        <f>SUMPRODUCT((区片价!B5:B9=I2)*(区片价!C3:F3=E2)*(区片价!C5:F9))</f>
        <v>0</v>
      </c>
      <c r="N1" s="1878">
        <f>SUMPRODUCT((因素修正幅度!B5:B9=I2)*(因素修正幅度!C3:F3=E2)*(因素修正幅度!C5:F9))</f>
        <v>0</v>
      </c>
      <c r="O1" s="2183"/>
      <c r="P1" s="2183"/>
      <c r="Q1" s="2183"/>
      <c r="R1" s="2954" t="s">
        <v>2760</v>
      </c>
      <c r="S1" s="2954" t="s">
        <v>2761</v>
      </c>
      <c r="T1" s="2954" t="s">
        <v>2782</v>
      </c>
      <c r="U1" s="2954" t="s">
        <v>2783</v>
      </c>
      <c r="V1" s="2954" t="s">
        <v>2784</v>
      </c>
      <c r="W1" s="2183"/>
      <c r="X1" s="2183"/>
      <c r="Y1" s="2183"/>
      <c r="Z1" s="2183"/>
      <c r="AA1" s="2183"/>
      <c r="AB1" s="2183"/>
      <c r="AC1" s="2184"/>
    </row>
    <row r="2" spans="1:39" ht="15.75">
      <c r="A2" s="1401" t="s">
        <v>919</v>
      </c>
      <c r="B2" s="1033" t="e">
        <f>C26</f>
        <v>#DIV/0!</v>
      </c>
      <c r="C2" s="1402" t="s">
        <v>920</v>
      </c>
      <c r="D2" s="1403" t="s">
        <v>921</v>
      </c>
      <c r="E2" s="1404"/>
      <c r="F2" s="1403" t="s">
        <v>923</v>
      </c>
      <c r="G2" s="1646">
        <f>IF(E2="商业",项目基本情况!B43,IF(E2="办公",项目基本情况!C43,IF(E2="住宅",项目基本情况!D43,项目基本情况!E43)))</f>
        <v>0</v>
      </c>
      <c r="H2" s="1403" t="s">
        <v>925</v>
      </c>
      <c r="I2" s="1647">
        <f>IF(E2="商业",项目基本情况!B44,IF(E2="办公",项目基本情况!C44,IF(E2="住宅",项目基本情况!D44,项目基本情况!E44)))</f>
        <v>0</v>
      </c>
      <c r="J2" s="1405"/>
      <c r="K2" s="1396"/>
      <c r="L2" s="1879" t="s">
        <v>2238</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1687</v>
      </c>
      <c r="B3" s="1033" t="e">
        <f>ROUND(B2*10000/D1,0)</f>
        <v>#DIV/0!</v>
      </c>
      <c r="C3" s="1402" t="s">
        <v>926</v>
      </c>
      <c r="D3" s="1403" t="s">
        <v>927</v>
      </c>
      <c r="E3" s="1407"/>
      <c r="F3" s="1408" t="s">
        <v>2923</v>
      </c>
      <c r="G3" s="1034">
        <f>IF(F3="宗地容积率",'数据-汇总表'!I4,IF(F3="估价对象容积率",'数据-汇总表'!I6,'数据-汇总表'!I7))</f>
        <v>3.74</v>
      </c>
      <c r="H3" s="1409" t="s">
        <v>928</v>
      </c>
      <c r="I3" s="1035">
        <v>8</v>
      </c>
      <c r="J3" s="1405" t="s">
        <v>929</v>
      </c>
      <c r="K3" s="1396"/>
      <c r="L3" s="1879" t="s">
        <v>2239</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2279</v>
      </c>
      <c r="B4" s="2471" t="e">
        <f>ROUND(B2*10000/F1,0)</f>
        <v>#DIV/0!</v>
      </c>
      <c r="C4" s="1888" t="s">
        <v>2253</v>
      </c>
      <c r="D4" s="1888" t="e">
        <f>ROUND(B2/(F1/666.67),0)</f>
        <v>#DIV/0!</v>
      </c>
      <c r="E4" s="1888" t="s">
        <v>2254</v>
      </c>
      <c r="F4" s="1886"/>
      <c r="G4" s="1886"/>
      <c r="H4" s="1886"/>
      <c r="I4" s="1886"/>
      <c r="J4" s="1887"/>
      <c r="K4" s="1396"/>
      <c r="L4" s="1879" t="s">
        <v>2240</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2" t="s">
        <v>1823</v>
      </c>
      <c r="B5" s="1410" t="s">
        <v>930</v>
      </c>
      <c r="C5" s="1036" t="e">
        <f>ROUND(IF(E2="商业",IF(F16="增加",C6*C7+C16,C6*C7-C16),IF(E2="住宅",IF(F16="增加",C6*C12+C16,C6*C12-C16),IF(F16="增加",C6+C16,C6-C16))),0)</f>
        <v>#DIV/0!</v>
      </c>
      <c r="D5" s="3143">
        <f>ROUND(IF(E2="商业",IF(F16="增加",C6+C16,C6-C16)),0)</f>
        <v>0</v>
      </c>
      <c r="E5" s="1411"/>
      <c r="F5" s="1411"/>
      <c r="G5" s="1412"/>
      <c r="H5" s="1412"/>
      <c r="I5" s="1412"/>
      <c r="J5" s="1413"/>
      <c r="K5" s="1589"/>
      <c r="L5" s="1879" t="s">
        <v>2241</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3" t="s">
        <v>1870</v>
      </c>
      <c r="B6" s="1417" t="s">
        <v>930</v>
      </c>
      <c r="C6" s="1037">
        <f>SUMIF(L1:L12,基准地价!G2,M1:M12)</f>
        <v>0</v>
      </c>
      <c r="D6" s="1418" t="s">
        <v>1695</v>
      </c>
      <c r="E6" s="1419"/>
      <c r="F6" s="1419"/>
      <c r="G6" s="1420"/>
      <c r="H6" s="1420"/>
      <c r="I6" s="1420"/>
      <c r="J6" s="1421"/>
      <c r="K6" s="1590"/>
      <c r="L6" s="1879" t="s">
        <v>2242</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441" t="str">
        <f>IF(E2="商业",IF(C8="不临58条商业街","",2),"")</f>
        <v/>
      </c>
      <c r="B7" s="1422" t="s">
        <v>931</v>
      </c>
      <c r="C7" s="1038" t="e">
        <f>IF(C8="不临58条商业街",1,ROUND(1+(1.6*E8+1.2*E9+0.8*E10+0.4*E11)*C9,4))</f>
        <v>#DIV/0!</v>
      </c>
      <c r="D7" s="1423" t="s">
        <v>932</v>
      </c>
      <c r="E7" s="1039"/>
      <c r="F7" s="1424"/>
      <c r="G7" s="1425"/>
      <c r="H7" s="1425"/>
      <c r="I7" s="1425"/>
      <c r="J7" s="1426"/>
      <c r="K7" s="1590"/>
      <c r="L7" s="1879" t="s">
        <v>2243</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2763</v>
      </c>
      <c r="X7" s="2945">
        <f>G2</f>
        <v>0</v>
      </c>
      <c r="Y7" s="2945" t="s">
        <v>2764</v>
      </c>
      <c r="Z7" s="2946">
        <f>G3</f>
        <v>3.74</v>
      </c>
      <c r="AA7" s="2186"/>
      <c r="AB7" s="2186"/>
      <c r="AC7" s="2187"/>
      <c r="AD7" s="2947"/>
      <c r="AE7" s="2947"/>
      <c r="AF7" s="2947"/>
      <c r="AG7" s="2947"/>
      <c r="AH7" s="2947"/>
      <c r="AI7" s="2947"/>
      <c r="AJ7" s="2948"/>
    </row>
    <row r="8" spans="1:39" ht="15">
      <c r="A8" s="3442"/>
      <c r="B8" s="1409" t="s">
        <v>933</v>
      </c>
      <c r="C8" s="1524"/>
      <c r="D8" s="1040" t="s">
        <v>934</v>
      </c>
      <c r="E8" s="1041" t="e">
        <f>ROUND(C11/E7,4)</f>
        <v>#DIV/0!</v>
      </c>
      <c r="F8" s="1427" t="s">
        <v>935</v>
      </c>
      <c r="G8" s="1428"/>
      <c r="H8" s="1428"/>
      <c r="I8" s="1428"/>
      <c r="J8" s="1429"/>
      <c r="K8" s="1396"/>
      <c r="L8" s="1879" t="s">
        <v>2244</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451" t="s">
        <v>2781</v>
      </c>
      <c r="X8" s="3452"/>
      <c r="Y8" s="1843" t="s">
        <v>2765</v>
      </c>
      <c r="Z8" s="1843" t="s">
        <v>2766</v>
      </c>
      <c r="AA8" s="1843" t="s">
        <v>2767</v>
      </c>
      <c r="AB8" s="1843" t="s">
        <v>2768</v>
      </c>
      <c r="AC8" s="1843" t="s">
        <v>2769</v>
      </c>
      <c r="AD8" s="1843" t="s">
        <v>2770</v>
      </c>
      <c r="AE8" s="1843" t="s">
        <v>2771</v>
      </c>
      <c r="AF8" s="1843" t="s">
        <v>2772</v>
      </c>
      <c r="AG8" s="1843" t="s">
        <v>2773</v>
      </c>
      <c r="AH8" s="1843" t="s">
        <v>2774</v>
      </c>
      <c r="AI8" s="1843" t="s">
        <v>2775</v>
      </c>
      <c r="AJ8" s="1843" t="s">
        <v>2776</v>
      </c>
    </row>
    <row r="9" spans="1:39" ht="15">
      <c r="A9" s="3442"/>
      <c r="B9" s="1409" t="s">
        <v>936</v>
      </c>
      <c r="C9" s="1042">
        <f>SUMIF(修正!C59:C119,C8,修正!E59:E119)</f>
        <v>0</v>
      </c>
      <c r="D9" s="1043" t="s">
        <v>937</v>
      </c>
      <c r="E9" s="1043" t="e">
        <f>ROUND(C11/E7,4)</f>
        <v>#DIV/0!</v>
      </c>
      <c r="F9" s="1427" t="s">
        <v>938</v>
      </c>
      <c r="G9" s="1428"/>
      <c r="H9" s="1428"/>
      <c r="I9" s="1428"/>
      <c r="J9" s="1429"/>
      <c r="K9" s="1396"/>
      <c r="L9" s="1879" t="s">
        <v>2245</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450" t="s">
        <v>2777</v>
      </c>
      <c r="X9" s="2949" t="s">
        <v>2778</v>
      </c>
      <c r="Y9" s="3117"/>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42"/>
      <c r="B10" s="1409" t="s">
        <v>939</v>
      </c>
      <c r="C10" s="1043">
        <f>SUMIF(修正!C59:C119,C8,修正!F59:F119)</f>
        <v>0</v>
      </c>
      <c r="D10" s="1043" t="s">
        <v>940</v>
      </c>
      <c r="E10" s="1043" t="e">
        <f>ROUND(C11/E7,4)</f>
        <v>#DIV/0!</v>
      </c>
      <c r="F10" s="1427" t="s">
        <v>941</v>
      </c>
      <c r="G10" s="1428"/>
      <c r="H10" s="1428"/>
      <c r="I10" s="1428"/>
      <c r="J10" s="1429"/>
      <c r="K10" s="1396"/>
      <c r="L10" s="1879" t="s">
        <v>2246</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450"/>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42"/>
      <c r="B11" s="1430" t="s">
        <v>942</v>
      </c>
      <c r="C11" s="1044">
        <f>C10/4</f>
        <v>0</v>
      </c>
      <c r="D11" s="1044" t="s">
        <v>943</v>
      </c>
      <c r="E11" s="1044" t="e">
        <f>ROUND(C11/E7,4)</f>
        <v>#DIV/0!</v>
      </c>
      <c r="F11" s="1431" t="s">
        <v>944</v>
      </c>
      <c r="G11" s="1432"/>
      <c r="H11" s="1432"/>
      <c r="I11" s="1432"/>
      <c r="J11" s="1433"/>
      <c r="K11" s="1396"/>
      <c r="L11" s="1879" t="s">
        <v>2247</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450" t="s">
        <v>2779</v>
      </c>
      <c r="X11" s="1043" t="s">
        <v>2764</v>
      </c>
      <c r="Y11" s="1647">
        <f>$G$3</f>
        <v>3.74</v>
      </c>
      <c r="Z11" s="1647">
        <f t="shared" ref="Z11:AJ11" si="3">$G$3</f>
        <v>3.74</v>
      </c>
      <c r="AA11" s="1647">
        <f t="shared" si="3"/>
        <v>3.74</v>
      </c>
      <c r="AB11" s="1647">
        <f t="shared" si="3"/>
        <v>3.74</v>
      </c>
      <c r="AC11" s="1647">
        <f t="shared" si="3"/>
        <v>3.74</v>
      </c>
      <c r="AD11" s="1647">
        <f t="shared" si="3"/>
        <v>3.74</v>
      </c>
      <c r="AE11" s="1647">
        <f t="shared" si="3"/>
        <v>3.74</v>
      </c>
      <c r="AF11" s="1647">
        <f t="shared" si="3"/>
        <v>3.74</v>
      </c>
      <c r="AG11" s="1647">
        <f t="shared" si="3"/>
        <v>3.74</v>
      </c>
      <c r="AH11" s="1647">
        <f t="shared" si="3"/>
        <v>3.74</v>
      </c>
      <c r="AI11" s="1647">
        <f t="shared" si="3"/>
        <v>3.74</v>
      </c>
      <c r="AJ11" s="1647">
        <f t="shared" si="3"/>
        <v>3.74</v>
      </c>
    </row>
    <row r="12" spans="1:39" ht="25.5" thickBot="1">
      <c r="A12" s="3441" t="s">
        <v>1871</v>
      </c>
      <c r="B12" s="1434" t="s">
        <v>945</v>
      </c>
      <c r="C12" s="1038">
        <f>ROUND(C15*D15*E15*F15*G15*H15*I15*J15,4)</f>
        <v>1</v>
      </c>
      <c r="D12" s="1435" t="s">
        <v>946</v>
      </c>
      <c r="E12" s="1436"/>
      <c r="F12" s="1436"/>
      <c r="G12" s="1437"/>
      <c r="H12" s="1437"/>
      <c r="I12" s="1437"/>
      <c r="J12" s="1438"/>
      <c r="K12" s="1396"/>
      <c r="L12" s="1882" t="s">
        <v>2248</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450"/>
      <c r="X12" s="2952" t="s">
        <v>2780</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43"/>
      <c r="B13" s="1439" t="s">
        <v>1696</v>
      </c>
      <c r="C13" s="1440" t="s">
        <v>1697</v>
      </c>
      <c r="D13" s="1084" t="s">
        <v>1698</v>
      </c>
      <c r="E13" s="1084" t="s">
        <v>1699</v>
      </c>
      <c r="F13" s="1441" t="s">
        <v>947</v>
      </c>
      <c r="G13" s="1442" t="s">
        <v>1642</v>
      </c>
      <c r="H13" s="1443" t="s">
        <v>1642</v>
      </c>
      <c r="I13" s="1444" t="s">
        <v>1642</v>
      </c>
      <c r="J13" s="1445" t="s">
        <v>1642</v>
      </c>
      <c r="K13" s="1396"/>
      <c r="L13" s="2183"/>
      <c r="M13" s="2183"/>
      <c r="N13" s="2183"/>
      <c r="O13" s="2183"/>
      <c r="P13" s="2183"/>
      <c r="Q13" s="2183"/>
      <c r="R13" s="2955">
        <v>12</v>
      </c>
      <c r="S13" s="2944"/>
      <c r="T13" s="2955" t="e">
        <f t="shared" si="0"/>
        <v>#DIV/0!</v>
      </c>
      <c r="U13" s="2944"/>
      <c r="V13" s="2955" t="e">
        <f t="shared" si="1"/>
        <v>#DIV/0!</v>
      </c>
      <c r="W13" s="3450"/>
      <c r="X13" s="2952"/>
      <c r="Y13" s="2951">
        <f>(-0.163*(Y12^2)-0.59*Y12+7617)*(10^(-4))/Y11</f>
        <v>0.20366310160427809</v>
      </c>
      <c r="Z13" s="2951">
        <f t="shared" ref="Z13:AJ13" si="5">(-0.163*(Z12^2)-0.59*Z12+7617)*(10^(-4))/Z11</f>
        <v>0.20366310160427809</v>
      </c>
      <c r="AA13" s="2951">
        <f t="shared" si="5"/>
        <v>0.20366310160427809</v>
      </c>
      <c r="AB13" s="2951">
        <f t="shared" si="5"/>
        <v>0.20366310160427809</v>
      </c>
      <c r="AC13" s="2951">
        <f t="shared" si="5"/>
        <v>0.20366310160427809</v>
      </c>
      <c r="AD13" s="2951">
        <f t="shared" si="5"/>
        <v>0.20366310160427809</v>
      </c>
      <c r="AE13" s="2951">
        <f t="shared" si="5"/>
        <v>0.20366310160427809</v>
      </c>
      <c r="AF13" s="2951">
        <f t="shared" si="5"/>
        <v>0.20366310160427809</v>
      </c>
      <c r="AG13" s="2951">
        <f t="shared" si="5"/>
        <v>0.20366310160427809</v>
      </c>
      <c r="AH13" s="2951">
        <f t="shared" si="5"/>
        <v>0.20366310160427809</v>
      </c>
      <c r="AI13" s="2951">
        <f t="shared" si="5"/>
        <v>0.20366310160427809</v>
      </c>
      <c r="AJ13" s="2951">
        <f t="shared" si="5"/>
        <v>0.20366310160427809</v>
      </c>
    </row>
    <row r="14" spans="1:39" ht="12.75" customHeight="1" thickBot="1">
      <c r="A14" s="3443"/>
      <c r="B14" s="1446"/>
      <c r="C14" s="1447"/>
      <c r="D14" s="1448"/>
      <c r="E14" s="1448"/>
      <c r="F14" s="1449"/>
      <c r="G14" s="1450" t="s">
        <v>948</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444"/>
      <c r="B15" s="1454" t="s">
        <v>1700</v>
      </c>
      <c r="C15" s="1046">
        <f>IF(C14="有",1.1,1)</f>
        <v>1</v>
      </c>
      <c r="D15" s="1046">
        <f>IF(D14="有",1.1,1)</f>
        <v>1</v>
      </c>
      <c r="E15" s="1046">
        <f>IF(E14="有",1.1,1)</f>
        <v>1</v>
      </c>
      <c r="F15" s="1046">
        <f>IF(F14="500米范围内",1.2,IF(F14="500-1000米",1.1,1))</f>
        <v>1</v>
      </c>
      <c r="G15" s="1047">
        <v>1</v>
      </c>
      <c r="H15" s="1047">
        <v>1</v>
      </c>
      <c r="I15" s="1047">
        <v>1</v>
      </c>
      <c r="J15" s="1048">
        <v>1</v>
      </c>
      <c r="K15" s="1396"/>
      <c r="L15" s="1593" t="s">
        <v>897</v>
      </c>
      <c r="M15" s="1423" t="s">
        <v>983</v>
      </c>
      <c r="N15" s="1423" t="s">
        <v>984</v>
      </c>
      <c r="O15" s="1423" t="s">
        <v>901</v>
      </c>
      <c r="P15" s="1471" t="s">
        <v>985</v>
      </c>
      <c r="Q15" s="2183"/>
      <c r="R15" s="2955">
        <v>14</v>
      </c>
      <c r="S15" s="2944"/>
      <c r="T15" s="2955" t="e">
        <f t="shared" si="0"/>
        <v>#DIV/0!</v>
      </c>
      <c r="U15" s="2944"/>
      <c r="V15" s="2955" t="e">
        <f t="shared" si="1"/>
        <v>#DIV/0!</v>
      </c>
      <c r="W15" s="2183"/>
      <c r="X15" s="2183"/>
      <c r="Y15" s="2183"/>
      <c r="Z15" s="2183"/>
      <c r="AA15" s="2183"/>
      <c r="AB15" s="2183"/>
      <c r="AC15" s="2184"/>
    </row>
    <row r="16" spans="1:39" ht="24">
      <c r="A16" s="3441" t="s">
        <v>1838</v>
      </c>
      <c r="B16" s="1422" t="s">
        <v>949</v>
      </c>
      <c r="C16" s="1049" t="e">
        <f>ROUND(SUM(G17:J17)/C17,0)</f>
        <v>#DIV/0!</v>
      </c>
      <c r="D16" s="1455" t="s">
        <v>950</v>
      </c>
      <c r="E16" s="1456"/>
      <c r="F16" s="1457"/>
      <c r="G16" s="1458"/>
      <c r="H16" s="1458"/>
      <c r="I16" s="1458"/>
      <c r="J16" s="1458"/>
      <c r="K16" s="1396"/>
      <c r="L16" s="1459" t="s">
        <v>987</v>
      </c>
      <c r="M16" s="1042">
        <v>0.25</v>
      </c>
      <c r="N16" s="1042">
        <v>0.2</v>
      </c>
      <c r="O16" s="1042">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442"/>
      <c r="B17" s="1460" t="s">
        <v>952</v>
      </c>
      <c r="C17" s="1050">
        <f>SUMPRODUCT((修正!A2:A5=E2)*(修正!B1:M1=G2)*(修正!B2:M5))</f>
        <v>0</v>
      </c>
      <c r="D17" s="1462" t="s">
        <v>953</v>
      </c>
      <c r="E17" s="1463" t="str">
        <f>IF(OR(G2="八级",G2="九级",G2="十级",G2="十一级",G2="十二级"),"五通一平","七通一平")</f>
        <v>七通一平</v>
      </c>
      <c r="F17" s="1461"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5" t="s">
        <v>1829</v>
      </c>
      <c r="B18" s="2790" t="s">
        <v>955</v>
      </c>
      <c r="C18" s="2791">
        <f>SUMIF(修正!C18:C39,E3,修正!E18:E39)</f>
        <v>0</v>
      </c>
      <c r="D18" s="2792"/>
      <c r="E18" s="2793"/>
      <c r="F18" s="2794"/>
      <c r="G18" s="2788"/>
      <c r="H18" s="2788"/>
      <c r="I18" s="2788"/>
      <c r="J18" s="2795"/>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4" t="s">
        <v>1835</v>
      </c>
      <c r="B19" s="1465" t="s">
        <v>956</v>
      </c>
      <c r="C19" s="1052" t="e">
        <f>ROUND(IF(H19="按公示增长率计算",SUMPRODUCT((地价!A3:A21=YEAR(G19)&amp;"-"&amp;ROUNDUP(MONTH(G19)/3,0))*(地价!X2:AB2=E2)*(地价!X3:AB21)),IF(H19="地价指数",M20/M19,(1+I19)^O19)),4)</f>
        <v>#DIV/0!</v>
      </c>
      <c r="D19" s="1469" t="s">
        <v>957</v>
      </c>
      <c r="E19" s="1053">
        <v>41640</v>
      </c>
      <c r="F19" s="1469" t="s">
        <v>958</v>
      </c>
      <c r="G19" s="1054">
        <f>'数据-取费表'!B2</f>
        <v>43182</v>
      </c>
      <c r="H19" s="1470" t="s">
        <v>2924</v>
      </c>
      <c r="I19" s="2802" t="str">
        <f>IF(H19="季度增幅（自定义）",SUMIF(N21:N24,E2,O21:O24),"")</f>
        <v/>
      </c>
      <c r="J19" s="1466"/>
      <c r="K19" s="1476"/>
      <c r="L19" s="3058" t="s">
        <v>2839</v>
      </c>
      <c r="M19" s="3059">
        <f>ROUND(SUMIF(地价!B2:F2,E2,地价!B21:F21),0)</f>
        <v>0</v>
      </c>
      <c r="N19" s="2804" t="s">
        <v>1676</v>
      </c>
      <c r="O19" s="2803">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6" t="s">
        <v>1836</v>
      </c>
      <c r="B20" s="2797" t="s">
        <v>971</v>
      </c>
      <c r="C20" s="2798" t="e">
        <f>ROUND(POWER(1+G20,J20-I20)*(POWER(1+G20,I20)-1)/(POWER(1+G20,J20)-1),4)</f>
        <v>#DIV/0!</v>
      </c>
      <c r="D20" s="2799" t="s">
        <v>972</v>
      </c>
      <c r="E20" s="3114">
        <f ca="1">存贷款利率!I4/100</f>
        <v>4.3499999999999997E-2</v>
      </c>
      <c r="F20" s="2799" t="s">
        <v>973</v>
      </c>
      <c r="G20" s="2800">
        <f>SUMIF(M15:P15,E2,M17:P17)</f>
        <v>0</v>
      </c>
      <c r="H20" s="2799" t="s">
        <v>974</v>
      </c>
      <c r="I20" s="2789" t="e">
        <f>SUMIF('数据-取费表'!C6:C15,E2,'数据-取费表'!F6:F15)/COUNTIF('数据-取费表'!C6:C15,E2)</f>
        <v>#DIV/0!</v>
      </c>
      <c r="J20" s="2801">
        <f>IF(E2="住宅",70,IF(E2="商业",40,50))</f>
        <v>50</v>
      </c>
      <c r="K20" s="1476"/>
      <c r="L20" s="3060" t="s">
        <v>2840</v>
      </c>
      <c r="M20" s="3061">
        <f>ROUND(SUMPRODUCT((地价!A4:A21=YEAR(G19)&amp;"-"&amp;ROUNDUP(MONTH(G19)/3,0))*(地价!B2:F2=E2)*(地价!B4:F21)),0)</f>
        <v>0</v>
      </c>
      <c r="N20" s="2807" t="s">
        <v>2643</v>
      </c>
      <c r="O20" s="2805" t="s">
        <v>2642</v>
      </c>
      <c r="P20" s="2806" t="s">
        <v>2648</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6" t="s">
        <v>1837</v>
      </c>
      <c r="B21" s="1475" t="s">
        <v>2759</v>
      </c>
      <c r="C21" s="1153">
        <f>IF(B21="容积率修正",IF(G3&lt;=10,D22,J22),C23)</f>
        <v>0</v>
      </c>
      <c r="D21" s="1476"/>
      <c r="E21" s="1476"/>
      <c r="F21" s="1476"/>
      <c r="G21" s="1476"/>
      <c r="H21" s="1476"/>
      <c r="I21" s="1476"/>
      <c r="J21" s="1477"/>
      <c r="K21" s="1476"/>
      <c r="L21" s="1476"/>
      <c r="M21" s="1476"/>
      <c r="N21" s="1473" t="s">
        <v>975</v>
      </c>
      <c r="O21" s="1537"/>
      <c r="P21" s="2787">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7" t="s">
        <v>1870</v>
      </c>
      <c r="B22" s="1478" t="s">
        <v>976</v>
      </c>
      <c r="C22" s="1055" t="s">
        <v>1702</v>
      </c>
      <c r="D22" s="1055">
        <f>IF(E22=G22,F22,IF(G3&lt;=10,ROUND(F22+(H22-F22)*(G3-E22)/(G22-E22),4),"——"))</f>
        <v>0</v>
      </c>
      <c r="E22" s="1034">
        <f>ROUNDDOWN(G3,1)</f>
        <v>3.7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3.8000000000000003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6"/>
      <c r="L22" s="1476"/>
      <c r="M22" s="1476"/>
      <c r="N22" s="1473" t="s">
        <v>978</v>
      </c>
      <c r="O22" s="1537"/>
      <c r="P22" s="2787">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7" t="s">
        <v>1871</v>
      </c>
      <c r="B23" s="1478" t="s">
        <v>979</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7">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5" t="s">
        <v>1872</v>
      </c>
      <c r="B24" s="1410" t="s">
        <v>980</v>
      </c>
      <c r="C24" s="1057">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5" t="s">
        <v>1873</v>
      </c>
      <c r="B25" s="1481" t="s">
        <v>982</v>
      </c>
      <c r="C25" s="1482"/>
      <c r="D25" s="1425"/>
      <c r="E25" s="1425"/>
      <c r="F25" s="1483"/>
      <c r="G25" s="1425"/>
      <c r="H25" s="1425"/>
      <c r="I25" s="1425"/>
      <c r="J25" s="1426"/>
      <c r="K25" s="1396"/>
      <c r="L25" s="2189"/>
      <c r="M25" s="2189"/>
      <c r="N25" s="2815" t="s">
        <v>2646</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986</v>
      </c>
      <c r="C26" s="1058"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988</v>
      </c>
      <c r="C27" s="1059"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989</v>
      </c>
      <c r="C28" s="1494" t="s">
        <v>990</v>
      </c>
      <c r="D28" s="1494" t="s">
        <v>991</v>
      </c>
      <c r="E28" s="1495" t="s">
        <v>992</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993</v>
      </c>
      <c r="C29" s="1058" t="e">
        <f>ROUND(C5*C18*C19*C20*C21*C24,0)</f>
        <v>#DIV/0!</v>
      </c>
      <c r="D29" s="1499"/>
      <c r="E29" s="1843" t="e">
        <f>ROUND(C29*D29/10000,0)</f>
        <v>#DIV/0!</v>
      </c>
      <c r="F29" s="1500" t="s">
        <v>1701</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994</v>
      </c>
      <c r="C30" s="1046" t="e">
        <f>ROUND(IF(E2="工业",C29*M39,C29*M38),0)</f>
        <v>#DIV/0!</v>
      </c>
      <c r="D30" s="1505"/>
      <c r="E30" s="1843" t="e">
        <f>ROUND(C30*D30/10000,0)</f>
        <v>#DIV/0!</v>
      </c>
      <c r="F30" s="1506" t="s">
        <v>995</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447" t="s">
        <v>2951</v>
      </c>
      <c r="B33" s="1519" t="s">
        <v>999</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448"/>
      <c r="B34" s="1440" t="s">
        <v>1000</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448"/>
      <c r="B35" s="1440" t="s">
        <v>1001</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49"/>
      <c r="B36" s="1440" t="s">
        <v>1002</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1003</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1703</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1004</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1705</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1005</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1704</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1006</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1007</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2" t="s">
        <v>1008</v>
      </c>
      <c r="B46" s="2426" t="s">
        <v>1009</v>
      </c>
      <c r="C46" s="2448" t="s">
        <v>1010</v>
      </c>
      <c r="D46" s="2449" t="s">
        <v>1011</v>
      </c>
      <c r="E46" s="2450" t="s">
        <v>1013</v>
      </c>
      <c r="F46" s="2451" t="s">
        <v>2249</v>
      </c>
      <c r="G46" s="2449" t="s">
        <v>1014</v>
      </c>
      <c r="H46" s="2432" t="s">
        <v>2415</v>
      </c>
      <c r="I46" s="2449" t="s">
        <v>1012</v>
      </c>
      <c r="J46" s="2452" t="s">
        <v>1015</v>
      </c>
      <c r="K46" s="2452" t="s">
        <v>1016</v>
      </c>
      <c r="L46" s="2452" t="s">
        <v>1017</v>
      </c>
      <c r="M46" s="2452" t="s">
        <v>1018</v>
      </c>
      <c r="N46" s="2452" t="s">
        <v>1019</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2" t="s">
        <v>1020</v>
      </c>
      <c r="B47" s="2429">
        <f>估价对象房地状况!C16</f>
        <v>0</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14.25">
      <c r="A48" s="1062" t="s">
        <v>1021</v>
      </c>
      <c r="B48" s="2426">
        <f>估价对象房地状况!C18</f>
        <v>0</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2" t="s">
        <v>1022</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2" t="s">
        <v>1023</v>
      </c>
      <c r="B50" s="3116" t="s">
        <v>2926</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2" t="s">
        <v>1024</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2" t="s">
        <v>1025</v>
      </c>
      <c r="B52" s="3115" t="s">
        <v>2925</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1026</v>
      </c>
      <c r="B53" s="2427">
        <f>估价对象房地状况!C21</f>
        <v>0</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1027</v>
      </c>
      <c r="B54" s="2426">
        <f>估价对象房地状况!C22</f>
        <v>0</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24.75" thickBot="1">
      <c r="A55" s="2459" t="s">
        <v>1028</v>
      </c>
      <c r="B55" s="2430">
        <f>估价对象房地状况!C20</f>
        <v>0</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1029</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2" t="s">
        <v>1008</v>
      </c>
      <c r="B57" s="2426"/>
      <c r="C57" s="2448" t="s">
        <v>1010</v>
      </c>
      <c r="D57" s="2449" t="s">
        <v>1011</v>
      </c>
      <c r="E57" s="2450" t="s">
        <v>1013</v>
      </c>
      <c r="F57" s="2451" t="s">
        <v>2250</v>
      </c>
      <c r="G57" s="2449" t="s">
        <v>1014</v>
      </c>
      <c r="H57" s="2432" t="s">
        <v>2415</v>
      </c>
      <c r="I57" s="2449" t="s">
        <v>1012</v>
      </c>
      <c r="J57" s="2452" t="s">
        <v>1015</v>
      </c>
      <c r="K57" s="2452" t="s">
        <v>1016</v>
      </c>
      <c r="L57" s="2452" t="s">
        <v>1017</v>
      </c>
      <c r="M57" s="2452" t="s">
        <v>1018</v>
      </c>
      <c r="N57" s="2452" t="s">
        <v>1019</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2" t="s">
        <v>1030</v>
      </c>
      <c r="B58" s="2429">
        <f>估价对象房地状况!C17</f>
        <v>0</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14.25">
      <c r="A59" s="1062" t="s">
        <v>1021</v>
      </c>
      <c r="B59" s="2426">
        <f>估价对象房地状况!C18</f>
        <v>0</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2" t="s">
        <v>1022</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2" t="s">
        <v>1023</v>
      </c>
      <c r="B61" s="3116" t="s">
        <v>2927</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2" t="s">
        <v>1024</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2" t="s">
        <v>1025</v>
      </c>
      <c r="B63" s="3115" t="s">
        <v>2925</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2" t="s">
        <v>1026</v>
      </c>
      <c r="B64" s="2427">
        <f>估价对象房地状况!C21</f>
        <v>0</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2" t="s">
        <v>1027</v>
      </c>
      <c r="B65" s="2427">
        <f>估价对象房地状况!C22</f>
        <v>0</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24.75" thickBot="1">
      <c r="A66" s="2459" t="s">
        <v>1028</v>
      </c>
      <c r="B66" s="2431">
        <f>估价对象房地状况!C20</f>
        <v>0</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1031</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2" t="s">
        <v>1008</v>
      </c>
      <c r="B68" s="2426"/>
      <c r="C68" s="2448" t="s">
        <v>1010</v>
      </c>
      <c r="D68" s="2449" t="s">
        <v>1011</v>
      </c>
      <c r="E68" s="2450" t="s">
        <v>1013</v>
      </c>
      <c r="F68" s="2451" t="s">
        <v>2251</v>
      </c>
      <c r="G68" s="2449" t="s">
        <v>1014</v>
      </c>
      <c r="H68" s="2432" t="s">
        <v>2415</v>
      </c>
      <c r="I68" s="2449" t="s">
        <v>1012</v>
      </c>
      <c r="J68" s="2452" t="s">
        <v>1015</v>
      </c>
      <c r="K68" s="2452" t="s">
        <v>1016</v>
      </c>
      <c r="L68" s="2452" t="s">
        <v>1017</v>
      </c>
      <c r="M68" s="2452" t="s">
        <v>1018</v>
      </c>
      <c r="N68" s="2452" t="s">
        <v>1019</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24">
      <c r="A69" s="1062" t="s">
        <v>1032</v>
      </c>
      <c r="B69" s="2429">
        <f>估价对象房地状况!C15</f>
        <v>0</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14.25">
      <c r="A70" s="1062" t="s">
        <v>1033</v>
      </c>
      <c r="B70" s="2426">
        <f>估价对象房地状况!C18</f>
        <v>0</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2" t="s">
        <v>1022</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2" t="s">
        <v>1034</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2" t="s">
        <v>1026</v>
      </c>
      <c r="B73" s="2427">
        <f>估价对象房地状况!C21</f>
        <v>0</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2" t="s">
        <v>1027</v>
      </c>
      <c r="B74" s="2427">
        <f>估价对象房地状况!C22</f>
        <v>0</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2" t="s">
        <v>1025</v>
      </c>
      <c r="B75" s="3115" t="s">
        <v>2925</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24">
      <c r="A76" s="1062" t="s">
        <v>1028</v>
      </c>
      <c r="B76" s="2429">
        <f>估价对象房地状况!C20</f>
        <v>0</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1035</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1036</v>
      </c>
      <c r="B78" s="2443">
        <f>1+E80</f>
        <v>1</v>
      </c>
      <c r="C78" s="2462"/>
      <c r="D78" s="2445"/>
      <c r="E78" s="2446"/>
      <c r="F78" s="2447"/>
      <c r="G78" s="2441"/>
      <c r="H78" s="2441"/>
      <c r="I78" s="2441"/>
      <c r="J78" s="1061"/>
      <c r="K78" s="1061"/>
      <c r="L78" s="1061"/>
      <c r="M78" s="1061"/>
      <c r="N78" s="1061"/>
      <c r="AC78" s="1400"/>
      <c r="AD78" s="1399"/>
      <c r="AJ78" s="1398"/>
      <c r="AN78" s="1399"/>
    </row>
    <row r="79" spans="1:40" ht="24">
      <c r="A79" s="1062" t="s">
        <v>1008</v>
      </c>
      <c r="B79" s="2426"/>
      <c r="C79" s="2448" t="s">
        <v>1010</v>
      </c>
      <c r="D79" s="2449" t="s">
        <v>1011</v>
      </c>
      <c r="E79" s="2450" t="s">
        <v>1013</v>
      </c>
      <c r="F79" s="2451" t="s">
        <v>2252</v>
      </c>
      <c r="G79" s="2449" t="s">
        <v>1014</v>
      </c>
      <c r="H79" s="2432" t="s">
        <v>2415</v>
      </c>
      <c r="I79" s="2449" t="s">
        <v>1012</v>
      </c>
      <c r="J79" s="2452" t="s">
        <v>1015</v>
      </c>
      <c r="K79" s="2452" t="s">
        <v>1016</v>
      </c>
      <c r="L79" s="2452" t="s">
        <v>1017</v>
      </c>
      <c r="M79" s="2452" t="s">
        <v>1018</v>
      </c>
      <c r="N79" s="2452" t="s">
        <v>1019</v>
      </c>
      <c r="AC79" s="1400"/>
      <c r="AD79" s="1399"/>
      <c r="AJ79" s="1398"/>
      <c r="AN79" s="1399"/>
    </row>
    <row r="80" spans="1:40" ht="24">
      <c r="A80" s="1062" t="s">
        <v>1037</v>
      </c>
      <c r="B80" s="2426">
        <f>估价对象房地状况!G15</f>
        <v>0</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14.25">
      <c r="A81" s="1062" t="s">
        <v>1033</v>
      </c>
      <c r="B81" s="2426">
        <f>估价对象房地状况!G16</f>
        <v>0</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2" t="s">
        <v>1022</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2" t="s">
        <v>1034</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2" t="s">
        <v>1026</v>
      </c>
      <c r="B84" s="2427">
        <f>估价对象房地状况!G19</f>
        <v>0</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2" t="s">
        <v>1027</v>
      </c>
      <c r="B85" s="2427">
        <f>估价对象房地状况!G20</f>
        <v>0</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2" t="s">
        <v>1025</v>
      </c>
      <c r="B86" s="3115" t="s">
        <v>2925</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15" thickBot="1">
      <c r="A87" s="2459" t="s">
        <v>1038</v>
      </c>
      <c r="B87" s="2428">
        <f>估价对象房地状况!G18</f>
        <v>0</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445" t="s">
        <v>1633</v>
      </c>
      <c r="B90" s="3445"/>
      <c r="C90" s="3445"/>
      <c r="D90" s="3445"/>
      <c r="E90" s="3445"/>
      <c r="F90" s="3445"/>
      <c r="G90" s="3445"/>
      <c r="H90" s="3445"/>
      <c r="I90" s="3445"/>
      <c r="J90" s="3445"/>
      <c r="K90" s="2468"/>
      <c r="L90" s="2468"/>
      <c r="M90" s="2468"/>
      <c r="N90" s="2468"/>
    </row>
    <row r="91" spans="1:40">
      <c r="A91" s="3446" t="s">
        <v>1443</v>
      </c>
      <c r="B91" s="3446" t="s">
        <v>1634</v>
      </c>
      <c r="C91" s="1135" t="s">
        <v>1635</v>
      </c>
      <c r="D91" s="1136"/>
      <c r="E91" s="1136"/>
      <c r="F91" s="1136"/>
      <c r="G91" s="1136"/>
      <c r="H91" s="1136"/>
      <c r="I91" s="1136"/>
      <c r="J91" s="1137"/>
      <c r="K91" s="1129"/>
      <c r="L91" s="1129"/>
      <c r="M91" s="1129"/>
      <c r="N91" s="1129"/>
    </row>
    <row r="92" spans="1:40">
      <c r="A92" s="3446"/>
      <c r="B92" s="3446"/>
      <c r="C92" s="2467" t="s">
        <v>906</v>
      </c>
      <c r="D92" s="2467" t="s">
        <v>884</v>
      </c>
      <c r="E92" s="2467" t="s">
        <v>885</v>
      </c>
      <c r="F92" s="2467" t="s">
        <v>909</v>
      </c>
      <c r="G92" s="2467" t="s">
        <v>887</v>
      </c>
      <c r="H92" s="2467" t="s">
        <v>888</v>
      </c>
      <c r="I92" s="2467" t="s">
        <v>889</v>
      </c>
      <c r="J92" s="2467" t="s">
        <v>890</v>
      </c>
      <c r="K92" s="2467" t="s">
        <v>914</v>
      </c>
      <c r="L92" s="2467" t="s">
        <v>892</v>
      </c>
      <c r="M92" s="2467" t="s">
        <v>893</v>
      </c>
      <c r="N92" s="2467" t="s">
        <v>917</v>
      </c>
    </row>
    <row r="93" spans="1:40">
      <c r="A93" s="3453"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3" t="s">
        <v>1637</v>
      </c>
      <c r="B101" s="1142" t="s">
        <v>905</v>
      </c>
      <c r="C101" s="1143">
        <f>$G$3</f>
        <v>3.74</v>
      </c>
      <c r="D101" s="1143">
        <f t="shared" ref="D101:N101" si="31">$G$3</f>
        <v>3.74</v>
      </c>
      <c r="E101" s="1143">
        <f t="shared" si="31"/>
        <v>3.74</v>
      </c>
      <c r="F101" s="1143">
        <f t="shared" si="31"/>
        <v>3.74</v>
      </c>
      <c r="G101" s="1143">
        <f t="shared" si="31"/>
        <v>3.74</v>
      </c>
      <c r="H101" s="1143">
        <f t="shared" si="31"/>
        <v>3.74</v>
      </c>
      <c r="I101" s="1143">
        <f t="shared" si="31"/>
        <v>3.74</v>
      </c>
      <c r="J101" s="1143">
        <f t="shared" si="31"/>
        <v>3.74</v>
      </c>
      <c r="K101" s="1143">
        <f t="shared" si="31"/>
        <v>3.74</v>
      </c>
      <c r="L101" s="1143">
        <f t="shared" si="31"/>
        <v>3.74</v>
      </c>
      <c r="M101" s="1143">
        <f t="shared" si="31"/>
        <v>3.74</v>
      </c>
      <c r="N101" s="1143">
        <f t="shared" si="31"/>
        <v>3.74</v>
      </c>
    </row>
    <row r="102" spans="1:14">
      <c r="A102" s="3454"/>
      <c r="B102" s="1138">
        <v>1</v>
      </c>
      <c r="C102" s="1139">
        <f>1.9362/C101</f>
        <v>0.51770053475935829</v>
      </c>
      <c r="D102" s="1139">
        <f>1.9362/D101</f>
        <v>0.51770053475935829</v>
      </c>
      <c r="E102" s="1139">
        <f>1.8629/E101</f>
        <v>0.49810160427807482</v>
      </c>
      <c r="F102" s="1139">
        <f>1.8629/F101</f>
        <v>0.49810160427807482</v>
      </c>
      <c r="G102" s="1139">
        <f>1.8629/G101</f>
        <v>0.49810160427807482</v>
      </c>
      <c r="H102" s="1139">
        <f>1.8629/H101</f>
        <v>0.49810160427807482</v>
      </c>
      <c r="I102" s="1139">
        <f>1.8629/I101</f>
        <v>0.49810160427807482</v>
      </c>
      <c r="J102" s="1139">
        <f>1.942/J101</f>
        <v>0.51925133689839564</v>
      </c>
      <c r="K102" s="1139">
        <f>1.942/K101</f>
        <v>0.51925133689839564</v>
      </c>
      <c r="L102" s="1139">
        <f>1.942/L101</f>
        <v>0.51925133689839564</v>
      </c>
      <c r="M102" s="1139">
        <f>1.942/M101</f>
        <v>0.51925133689839564</v>
      </c>
      <c r="N102" s="1139">
        <f>1.942/N101</f>
        <v>0.51925133689839564</v>
      </c>
    </row>
    <row r="103" spans="1:14">
      <c r="A103" s="3454"/>
      <c r="B103" s="1138">
        <v>2</v>
      </c>
      <c r="C103" s="1139">
        <f>1.4198/C101</f>
        <v>0.37962566844919782</v>
      </c>
      <c r="D103" s="1139">
        <f>1.4198/D101</f>
        <v>0.37962566844919782</v>
      </c>
      <c r="E103" s="1139">
        <f>1.3372/E101</f>
        <v>0.35754010695187161</v>
      </c>
      <c r="F103" s="1139">
        <f>1.3372/F101</f>
        <v>0.35754010695187161</v>
      </c>
      <c r="G103" s="1139">
        <f>1.3372/G101</f>
        <v>0.35754010695187161</v>
      </c>
      <c r="H103" s="1139">
        <f>1.3372/H101</f>
        <v>0.35754010695187161</v>
      </c>
      <c r="I103" s="1139">
        <f>1.3372/I101</f>
        <v>0.35754010695187161</v>
      </c>
      <c r="J103" s="1139">
        <f>1.2799/J101</f>
        <v>0.3422192513368984</v>
      </c>
      <c r="K103" s="1139">
        <f>1.2799/K101</f>
        <v>0.3422192513368984</v>
      </c>
      <c r="L103" s="1139">
        <f>1.2799/L101</f>
        <v>0.3422192513368984</v>
      </c>
      <c r="M103" s="1139">
        <f>1.2799/M101</f>
        <v>0.3422192513368984</v>
      </c>
      <c r="N103" s="1139">
        <f>1.2799/N101</f>
        <v>0.3422192513368984</v>
      </c>
    </row>
    <row r="104" spans="1:14">
      <c r="A104" s="3454"/>
      <c r="B104" s="1138">
        <v>3</v>
      </c>
      <c r="C104" s="1139">
        <f>1.1594/C101</f>
        <v>0.31</v>
      </c>
      <c r="D104" s="1139">
        <f>1.1594/D101</f>
        <v>0.31</v>
      </c>
      <c r="E104" s="1139">
        <f>1.0788/E101</f>
        <v>0.28844919786096257</v>
      </c>
      <c r="F104" s="1139">
        <f>1.0788/F101</f>
        <v>0.28844919786096257</v>
      </c>
      <c r="G104" s="1139">
        <f>1.0788/G101</f>
        <v>0.28844919786096257</v>
      </c>
      <c r="H104" s="1139">
        <f>1.0788/H101</f>
        <v>0.28844919786096257</v>
      </c>
      <c r="I104" s="1139">
        <f>1.0788/I101</f>
        <v>0.28844919786096257</v>
      </c>
      <c r="J104" s="1139">
        <f>1.0072/J101</f>
        <v>0.26930481283422458</v>
      </c>
      <c r="K104" s="1139">
        <f>1.0072/K101</f>
        <v>0.26930481283422458</v>
      </c>
      <c r="L104" s="1139">
        <f>1.0072/L101</f>
        <v>0.26930481283422458</v>
      </c>
      <c r="M104" s="1139">
        <f>1.0072/M101</f>
        <v>0.26930481283422458</v>
      </c>
      <c r="N104" s="1139">
        <f>1.0072/N101</f>
        <v>0.26930481283422458</v>
      </c>
    </row>
    <row r="105" spans="1:14">
      <c r="A105" s="3454"/>
      <c r="B105" s="1138">
        <v>4</v>
      </c>
      <c r="C105" s="1139">
        <f>0.9622/C101</f>
        <v>0.25727272727272726</v>
      </c>
      <c r="D105" s="1139">
        <f>0.9622/D101</f>
        <v>0.25727272727272726</v>
      </c>
      <c r="E105" s="1139">
        <f>0.8656/E101</f>
        <v>0.23144385026737968</v>
      </c>
      <c r="F105" s="1139">
        <f>0.8656/F101</f>
        <v>0.23144385026737968</v>
      </c>
      <c r="G105" s="1139">
        <f>0.8656/G101</f>
        <v>0.23144385026737968</v>
      </c>
      <c r="H105" s="1139">
        <f>0.8656/H101</f>
        <v>0.23144385026737968</v>
      </c>
      <c r="I105" s="1139">
        <f>0.8656/I101</f>
        <v>0.23144385026737968</v>
      </c>
      <c r="J105" s="1139">
        <f>0.7525/J101</f>
        <v>0.2012032085561497</v>
      </c>
      <c r="K105" s="1139">
        <f>0.7525/K101</f>
        <v>0.2012032085561497</v>
      </c>
      <c r="L105" s="1139">
        <f>0.7525/L101</f>
        <v>0.2012032085561497</v>
      </c>
      <c r="M105" s="1139">
        <f>0.7525/M101</f>
        <v>0.2012032085561497</v>
      </c>
      <c r="N105" s="1139">
        <f>0.7525/N101</f>
        <v>0.2012032085561497</v>
      </c>
    </row>
    <row r="106" spans="1:14">
      <c r="A106" s="3454"/>
      <c r="B106" s="1138">
        <v>5</v>
      </c>
      <c r="C106" s="1139">
        <f>0.8417/C101</f>
        <v>0.22505347593582886</v>
      </c>
      <c r="D106" s="1139">
        <f>0.8417/D101</f>
        <v>0.22505347593582886</v>
      </c>
      <c r="E106" s="1139">
        <f>0.7371/E101</f>
        <v>0.19708556149732617</v>
      </c>
      <c r="F106" s="1139">
        <f>0.7371/F101</f>
        <v>0.19708556149732617</v>
      </c>
      <c r="G106" s="1139">
        <f>0.7371/G101</f>
        <v>0.19708556149732617</v>
      </c>
      <c r="H106" s="1139">
        <f>0.7371/H101</f>
        <v>0.19708556149732617</v>
      </c>
      <c r="I106" s="1139">
        <f>0.7371/I101</f>
        <v>0.19708556149732617</v>
      </c>
      <c r="J106" s="1139">
        <f>0.5659/J101</f>
        <v>0.15131016042780746</v>
      </c>
      <c r="K106" s="1139">
        <f>0.5659/K101</f>
        <v>0.15131016042780746</v>
      </c>
      <c r="L106" s="1139">
        <f>0.5659/L101</f>
        <v>0.15131016042780746</v>
      </c>
      <c r="M106" s="1139">
        <f>0.5659/M101</f>
        <v>0.15131016042780746</v>
      </c>
      <c r="N106" s="1139">
        <f>0.5659/N101</f>
        <v>0.15131016042780746</v>
      </c>
    </row>
    <row r="107" spans="1:14">
      <c r="A107" s="3454"/>
      <c r="B107" s="1138">
        <v>6</v>
      </c>
      <c r="C107" s="1139">
        <f>0.7608/C101</f>
        <v>0.20342245989304814</v>
      </c>
      <c r="D107" s="1139">
        <f>0.7608/D101</f>
        <v>0.20342245989304814</v>
      </c>
      <c r="E107" s="1139">
        <f>0.6482/E101</f>
        <v>0.17331550802139037</v>
      </c>
      <c r="F107" s="1139">
        <f>0.6482/F101</f>
        <v>0.17331550802139037</v>
      </c>
      <c r="G107" s="1139">
        <f>0.6482/G101</f>
        <v>0.17331550802139037</v>
      </c>
      <c r="H107" s="1139">
        <f>0.6482/H101</f>
        <v>0.17331550802139037</v>
      </c>
      <c r="I107" s="1139">
        <f>0.6482/I101</f>
        <v>0.17331550802139037</v>
      </c>
      <c r="J107" s="1139">
        <f>0.4525/J101</f>
        <v>0.12098930481283422</v>
      </c>
      <c r="K107" s="1139">
        <f>0.4525/K101</f>
        <v>0.12098930481283422</v>
      </c>
      <c r="L107" s="1139">
        <f>0.4525/L101</f>
        <v>0.12098930481283422</v>
      </c>
      <c r="M107" s="1139">
        <f>0.4525/M101</f>
        <v>0.12098930481283422</v>
      </c>
      <c r="N107" s="1139">
        <f>0.4525/N101</f>
        <v>0.12098930481283422</v>
      </c>
    </row>
    <row r="108" spans="1:14">
      <c r="A108" s="3454"/>
      <c r="B108" s="345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5"/>
      <c r="B109" s="3457"/>
      <c r="C109" s="1141">
        <f>(-0.163*(C108^2)-0.59*C108+7617)*(10^(-4))/C101</f>
        <v>0.20325796791443848</v>
      </c>
      <c r="D109" s="1141">
        <f>(-0.163*(D108^2)-0.59*D108+7617)*(10^(-4))/D101</f>
        <v>0.20325796791443848</v>
      </c>
      <c r="E109" s="1141">
        <f>(-0.161*(E108^2)-7.509*E108+6533)*(10^(-4))/E101</f>
        <v>0.1727974331550802</v>
      </c>
      <c r="F109" s="1141">
        <f>(-0.161*(F108^2)-7.509*F108+6533)*(10^(-4))/F101</f>
        <v>0.1727974331550802</v>
      </c>
      <c r="G109" s="1141">
        <f>(-0.161*(G108^2)-7.509*G108+6533)*(10^(-4))/G101</f>
        <v>0.1727974331550802</v>
      </c>
      <c r="H109" s="1141">
        <f>(-0.161*(H108^2)-7.509*H108+6533)*(10^(-4))/H101</f>
        <v>0.1727974331550802</v>
      </c>
      <c r="I109" s="1141">
        <f>(-0.161*(I108^2)-7.509*I108+6533)*(10^(-4))/I101</f>
        <v>0.1727974331550802</v>
      </c>
      <c r="J109" s="1141">
        <f>(-0.214*(J108^2)-21.991*J108+4665)*(10^(-4))/J101</f>
        <v>0.11966245989304813</v>
      </c>
      <c r="K109" s="1141">
        <f>(-0.214*(K108^2)-21.991*K108+4665)*(10^(-4))/K101</f>
        <v>0.11966245989304813</v>
      </c>
      <c r="L109" s="1141">
        <f>(-0.214*(L108^2)-21.991*L108+4665)*(10^(-4))/L101</f>
        <v>0.11966245989304813</v>
      </c>
      <c r="M109" s="1141">
        <f>(-0.214*(M108^2)-21.991*M108+4665)*(10^(-4))/M101</f>
        <v>0.11966245989304813</v>
      </c>
      <c r="N109" s="1141">
        <f>(-0.214*(N108^2)-21.991*N108+4665)*(10^(-4))/N101</f>
        <v>0.11966245989304813</v>
      </c>
    </row>
    <row r="110" spans="1:14">
      <c r="A110" s="3440" t="s">
        <v>1639</v>
      </c>
      <c r="B110" s="3440"/>
      <c r="C110" s="3440"/>
      <c r="D110" s="3440"/>
      <c r="E110" s="3440"/>
      <c r="F110" s="3440"/>
      <c r="G110" s="3440"/>
      <c r="H110" s="3440"/>
      <c r="I110" s="3440"/>
      <c r="J110" s="3440"/>
      <c r="K110" s="2466"/>
      <c r="L110" s="2466"/>
      <c r="M110" s="2466"/>
      <c r="N110" s="2466"/>
    </row>
    <row r="112" spans="1:14" ht="12.75" thickBot="1"/>
    <row r="113" spans="1:13" ht="25.5" thickBot="1">
      <c r="A113" s="1011" t="s">
        <v>895</v>
      </c>
      <c r="B113" s="2469">
        <f>G3</f>
        <v>3.74</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0.89829999999999999</v>
      </c>
      <c r="C115" s="1025">
        <f>B115</f>
        <v>0.89829999999999999</v>
      </c>
      <c r="D115" s="1025">
        <f>ROUND(0.8331-0.0109*B113,4)</f>
        <v>0.7923</v>
      </c>
      <c r="E115" s="1025">
        <f>D115</f>
        <v>0.7923</v>
      </c>
      <c r="F115" s="1025">
        <f>E115</f>
        <v>0.7923</v>
      </c>
      <c r="G115" s="1025">
        <f>F115</f>
        <v>0.7923</v>
      </c>
      <c r="H115" s="1025">
        <f>G115</f>
        <v>0.7923</v>
      </c>
      <c r="I115" s="1025">
        <f>ROUND(0.689-0.0155*B113,4)</f>
        <v>0.63100000000000001</v>
      </c>
      <c r="J115" s="1025">
        <f t="shared" ref="J115:M118" si="33">I115</f>
        <v>0.63100000000000001</v>
      </c>
      <c r="K115" s="1025">
        <f t="shared" si="33"/>
        <v>0.63100000000000001</v>
      </c>
      <c r="L115" s="1025">
        <f t="shared" si="33"/>
        <v>0.63100000000000001</v>
      </c>
      <c r="M115" s="1026">
        <f t="shared" si="33"/>
        <v>0.63100000000000001</v>
      </c>
    </row>
    <row r="116" spans="1:13" ht="12.75">
      <c r="A116" s="1024" t="s">
        <v>900</v>
      </c>
      <c r="B116" s="1025">
        <f>ROUND(0.949-0.012*B113,4)</f>
        <v>0.90410000000000001</v>
      </c>
      <c r="C116" s="1025">
        <f>B116</f>
        <v>0.90410000000000001</v>
      </c>
      <c r="D116" s="1025">
        <f>ROUND(0.8567-0.013*B113,4)</f>
        <v>0.80810000000000004</v>
      </c>
      <c r="E116" s="1025">
        <f t="shared" ref="E116:H117" si="34">D116</f>
        <v>0.80810000000000004</v>
      </c>
      <c r="F116" s="1025">
        <f t="shared" si="34"/>
        <v>0.80810000000000004</v>
      </c>
      <c r="G116" s="1025">
        <f t="shared" si="34"/>
        <v>0.80810000000000004</v>
      </c>
      <c r="H116" s="1025">
        <f t="shared" si="34"/>
        <v>0.80810000000000004</v>
      </c>
      <c r="I116" s="1025">
        <f>ROUND(0.7694-0.014*B113,4)</f>
        <v>0.71699999999999997</v>
      </c>
      <c r="J116" s="1025">
        <f t="shared" si="33"/>
        <v>0.71699999999999997</v>
      </c>
      <c r="K116" s="1025">
        <f t="shared" si="33"/>
        <v>0.71699999999999997</v>
      </c>
      <c r="L116" s="1025">
        <f t="shared" si="33"/>
        <v>0.71699999999999997</v>
      </c>
      <c r="M116" s="1026">
        <f t="shared" si="33"/>
        <v>0.71699999999999997</v>
      </c>
    </row>
    <row r="117" spans="1:13" ht="12.75">
      <c r="A117" s="1027" t="s">
        <v>901</v>
      </c>
      <c r="B117" s="1025">
        <f>ROUND(0.8808-0.006*B113,4)</f>
        <v>0.85840000000000005</v>
      </c>
      <c r="C117" s="1025">
        <f>B117</f>
        <v>0.85840000000000005</v>
      </c>
      <c r="D117" s="1025">
        <f>ROUND(0.8748-0.008*B113,4)</f>
        <v>0.84489999999999998</v>
      </c>
      <c r="E117" s="1025">
        <f t="shared" si="34"/>
        <v>0.84489999999999998</v>
      </c>
      <c r="F117" s="1025">
        <f t="shared" si="34"/>
        <v>0.84489999999999998</v>
      </c>
      <c r="G117" s="1025">
        <f t="shared" si="34"/>
        <v>0.84489999999999998</v>
      </c>
      <c r="H117" s="1025">
        <f t="shared" si="34"/>
        <v>0.84489999999999998</v>
      </c>
      <c r="I117" s="1025">
        <f>ROUND(0.7412-0.0095*B113,4)</f>
        <v>0.70569999999999999</v>
      </c>
      <c r="J117" s="1025">
        <f t="shared" si="33"/>
        <v>0.70569999999999999</v>
      </c>
      <c r="K117" s="1025">
        <f t="shared" si="33"/>
        <v>0.70569999999999999</v>
      </c>
      <c r="L117" s="1025">
        <f t="shared" si="33"/>
        <v>0.70569999999999999</v>
      </c>
      <c r="M117" s="1026">
        <f t="shared" si="33"/>
        <v>0.70569999999999999</v>
      </c>
    </row>
    <row r="118" spans="1:13" ht="13.5" thickBot="1">
      <c r="A118" s="1028" t="s">
        <v>902</v>
      </c>
      <c r="B118" s="1029">
        <f>ROUND(0.7275-0.01*B113,4)</f>
        <v>0.69010000000000005</v>
      </c>
      <c r="C118" s="1029">
        <f>B118</f>
        <v>0.69010000000000005</v>
      </c>
      <c r="D118" s="1029">
        <f>ROUND(0.7043-0.012*B113,4)</f>
        <v>0.65939999999999999</v>
      </c>
      <c r="E118" s="1029">
        <f>D118</f>
        <v>0.65939999999999999</v>
      </c>
      <c r="F118" s="1029">
        <f>E118</f>
        <v>0.65939999999999999</v>
      </c>
      <c r="G118" s="1029">
        <f>ROUND(0.6299-0.0122*B113,4)</f>
        <v>0.58430000000000004</v>
      </c>
      <c r="H118" s="1029">
        <f>G118</f>
        <v>0.58430000000000004</v>
      </c>
      <c r="I118" s="1029">
        <f>ROUND(0.5667-0.0136*B113,4)</f>
        <v>0.51580000000000004</v>
      </c>
      <c r="J118" s="1029">
        <f t="shared" si="33"/>
        <v>0.51580000000000004</v>
      </c>
      <c r="K118" s="1029">
        <f t="shared" si="33"/>
        <v>0.51580000000000004</v>
      </c>
      <c r="L118" s="1029">
        <f t="shared" si="33"/>
        <v>0.51580000000000004</v>
      </c>
      <c r="M118" s="1030">
        <f t="shared" si="33"/>
        <v>0.51580000000000004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4" customFormat="1" ht="19.5" customHeight="1">
      <c r="A18" s="3446" t="s">
        <v>1007</v>
      </c>
      <c r="B18" s="1149" t="s">
        <v>1446</v>
      </c>
      <c r="C18" s="1126" t="s">
        <v>1447</v>
      </c>
      <c r="D18" s="1127"/>
      <c r="E18" s="1149">
        <v>1</v>
      </c>
      <c r="F18" s="1128" t="s">
        <v>1448</v>
      </c>
      <c r="G18" s="1129"/>
      <c r="H18" s="1100"/>
      <c r="I18" s="1100"/>
    </row>
    <row r="19" spans="1:9" s="1594" customFormat="1" ht="19.5" customHeight="1">
      <c r="A19" s="3446"/>
      <c r="B19" s="3446" t="s">
        <v>1449</v>
      </c>
      <c r="C19" s="1126" t="s">
        <v>1450</v>
      </c>
      <c r="D19" s="1127"/>
      <c r="E19" s="1149">
        <v>0.9</v>
      </c>
      <c r="F19" s="1128" t="s">
        <v>1451</v>
      </c>
      <c r="G19" s="1129"/>
      <c r="H19" s="1100"/>
      <c r="I19" s="1100"/>
    </row>
    <row r="20" spans="1:9" s="1594" customFormat="1" ht="19.5" customHeight="1">
      <c r="A20" s="3446"/>
      <c r="B20" s="3446"/>
      <c r="C20" s="1126" t="s">
        <v>1452</v>
      </c>
      <c r="D20" s="1127"/>
      <c r="E20" s="1149">
        <v>1.1000000000000001</v>
      </c>
      <c r="F20" s="1128" t="s">
        <v>1453</v>
      </c>
      <c r="G20" s="1129"/>
      <c r="H20" s="1100"/>
      <c r="I20" s="1100"/>
    </row>
    <row r="21" spans="1:9" s="1594" customFormat="1" ht="19.5" customHeight="1">
      <c r="A21" s="3446"/>
      <c r="B21" s="3446"/>
      <c r="C21" s="1126" t="s">
        <v>1454</v>
      </c>
      <c r="D21" s="1127"/>
      <c r="E21" s="1149">
        <v>0.8</v>
      </c>
      <c r="F21" s="1128" t="s">
        <v>1455</v>
      </c>
      <c r="G21" s="1129"/>
      <c r="H21" s="1100"/>
      <c r="I21" s="1100"/>
    </row>
    <row r="22" spans="1:9" s="1594" customFormat="1" ht="19.5" customHeight="1">
      <c r="A22" s="3446"/>
      <c r="B22" s="3446"/>
      <c r="C22" s="1126" t="s">
        <v>1456</v>
      </c>
      <c r="D22" s="1127"/>
      <c r="E22" s="1149">
        <v>0.5</v>
      </c>
      <c r="F22" s="1128"/>
      <c r="G22" s="1129"/>
      <c r="H22" s="1100"/>
      <c r="I22" s="1100"/>
    </row>
    <row r="23" spans="1:9" s="1594" customFormat="1" ht="19.5" customHeight="1">
      <c r="A23" s="3446" t="s">
        <v>1029</v>
      </c>
      <c r="B23" s="1149" t="s">
        <v>1446</v>
      </c>
      <c r="C23" s="1126" t="s">
        <v>1457</v>
      </c>
      <c r="D23" s="1127"/>
      <c r="E23" s="1149">
        <v>1</v>
      </c>
      <c r="F23" s="1128" t="s">
        <v>1458</v>
      </c>
      <c r="G23" s="1129"/>
      <c r="H23" s="1100"/>
      <c r="I23" s="1100"/>
    </row>
    <row r="24" spans="1:9" s="1594" customFormat="1" ht="19.5" customHeight="1">
      <c r="A24" s="3446"/>
      <c r="B24" s="3446" t="s">
        <v>1449</v>
      </c>
      <c r="C24" s="1126" t="s">
        <v>1459</v>
      </c>
      <c r="D24" s="1127"/>
      <c r="E24" s="1149">
        <v>0.5</v>
      </c>
      <c r="F24" s="1128"/>
      <c r="G24" s="1129"/>
      <c r="H24" s="1100"/>
      <c r="I24" s="1100"/>
    </row>
    <row r="25" spans="1:9" s="1594" customFormat="1" ht="19.5" customHeight="1">
      <c r="A25" s="3446"/>
      <c r="B25" s="3446"/>
      <c r="C25" s="1126" t="s">
        <v>1460</v>
      </c>
      <c r="D25" s="1127"/>
      <c r="E25" s="1149">
        <v>1.1000000000000001</v>
      </c>
      <c r="F25" s="1128"/>
      <c r="G25" s="1129"/>
      <c r="H25" s="1100"/>
      <c r="I25" s="1100"/>
    </row>
    <row r="26" spans="1:9" s="1594" customFormat="1" ht="19.5" customHeight="1">
      <c r="A26" s="3446"/>
      <c r="B26" s="3446"/>
      <c r="C26" s="1126" t="s">
        <v>1461</v>
      </c>
      <c r="D26" s="1127"/>
      <c r="E26" s="1149">
        <v>1.1000000000000001</v>
      </c>
      <c r="F26" s="1128"/>
      <c r="G26" s="1129"/>
      <c r="H26" s="1100"/>
      <c r="I26" s="1100"/>
    </row>
    <row r="27" spans="1:9" s="1594" customFormat="1" ht="19.5" customHeight="1">
      <c r="A27" s="3446"/>
      <c r="B27" s="3446"/>
      <c r="C27" s="1126" t="s">
        <v>1462</v>
      </c>
      <c r="D27" s="1127"/>
      <c r="E27" s="1149">
        <v>0.9</v>
      </c>
      <c r="F27" s="1128" t="s">
        <v>1463</v>
      </c>
      <c r="G27" s="1129"/>
      <c r="H27" s="1100"/>
      <c r="I27" s="1100"/>
    </row>
    <row r="28" spans="1:9" s="1594" customFormat="1" ht="19.5" customHeight="1">
      <c r="A28" s="3446"/>
      <c r="B28" s="3446"/>
      <c r="C28" s="1126" t="s">
        <v>1464</v>
      </c>
      <c r="D28" s="1127"/>
      <c r="E28" s="1149">
        <v>0.9</v>
      </c>
      <c r="F28" s="1128" t="s">
        <v>1465</v>
      </c>
      <c r="G28" s="1129"/>
      <c r="H28" s="1100"/>
      <c r="I28" s="1100"/>
    </row>
    <row r="29" spans="1:9" s="1594" customFormat="1" ht="19.5" customHeight="1">
      <c r="A29" s="3446"/>
      <c r="B29" s="3446"/>
      <c r="C29" s="1126" t="s">
        <v>1466</v>
      </c>
      <c r="D29" s="1127"/>
      <c r="E29" s="1149">
        <v>0.9</v>
      </c>
      <c r="F29" s="1128" t="s">
        <v>1467</v>
      </c>
      <c r="G29" s="1129"/>
      <c r="H29" s="1100"/>
      <c r="I29" s="1100"/>
    </row>
    <row r="30" spans="1:9" s="1594" customFormat="1" ht="19.5" customHeight="1">
      <c r="A30" s="3446"/>
      <c r="B30" s="3446"/>
      <c r="C30" s="1126" t="s">
        <v>1468</v>
      </c>
      <c r="D30" s="1127"/>
      <c r="E30" s="1149">
        <v>0.9</v>
      </c>
      <c r="F30" s="1128" t="s">
        <v>1469</v>
      </c>
      <c r="G30" s="1129"/>
      <c r="H30" s="1100"/>
      <c r="I30" s="1100"/>
    </row>
    <row r="31" spans="1:9" s="1594" customFormat="1" ht="19.5" customHeight="1">
      <c r="A31" s="3446"/>
      <c r="B31" s="3446"/>
      <c r="C31" s="1126" t="s">
        <v>1470</v>
      </c>
      <c r="D31" s="1127"/>
      <c r="E31" s="1149">
        <v>0.8</v>
      </c>
      <c r="F31" s="1128" t="s">
        <v>1471</v>
      </c>
      <c r="G31" s="1129"/>
      <c r="H31" s="1100"/>
      <c r="I31" s="1100"/>
    </row>
    <row r="32" spans="1:9" s="1594" customFormat="1" ht="19.5" customHeight="1">
      <c r="A32" s="3446"/>
      <c r="B32" s="3446"/>
      <c r="C32" s="1126" t="s">
        <v>1472</v>
      </c>
      <c r="D32" s="1127"/>
      <c r="E32" s="1149">
        <v>0.8</v>
      </c>
      <c r="F32" s="1128" t="s">
        <v>1473</v>
      </c>
      <c r="G32" s="1129"/>
      <c r="H32" s="1100"/>
      <c r="I32" s="1100"/>
    </row>
    <row r="33" spans="1:9" s="1594" customFormat="1" ht="19.5" customHeight="1">
      <c r="A33" s="3446" t="s">
        <v>1474</v>
      </c>
      <c r="B33" s="1149" t="s">
        <v>1446</v>
      </c>
      <c r="C33" s="1126" t="s">
        <v>1475</v>
      </c>
      <c r="D33" s="1127"/>
      <c r="E33" s="1149">
        <v>1</v>
      </c>
      <c r="F33" s="1128" t="s">
        <v>1476</v>
      </c>
      <c r="G33" s="1129"/>
      <c r="H33" s="1100"/>
      <c r="I33" s="1100"/>
    </row>
    <row r="34" spans="1:9" s="1594" customFormat="1" ht="19.5" customHeight="1">
      <c r="A34" s="3446"/>
      <c r="B34" s="1149" t="s">
        <v>1449</v>
      </c>
      <c r="C34" s="1126" t="s">
        <v>1477</v>
      </c>
      <c r="D34" s="1127"/>
      <c r="E34" s="1149">
        <v>1.5</v>
      </c>
      <c r="F34" s="1128" t="s">
        <v>1478</v>
      </c>
      <c r="G34" s="1129"/>
      <c r="H34" s="1100"/>
      <c r="I34" s="1100"/>
    </row>
    <row r="35" spans="1:9" s="1594" customFormat="1" ht="19.5" customHeight="1">
      <c r="A35" s="3446" t="s">
        <v>1432</v>
      </c>
      <c r="B35" s="1149" t="s">
        <v>1446</v>
      </c>
      <c r="C35" s="1126" t="s">
        <v>1479</v>
      </c>
      <c r="D35" s="1127"/>
      <c r="E35" s="1149">
        <v>1</v>
      </c>
      <c r="F35" s="1128" t="s">
        <v>1480</v>
      </c>
      <c r="G35" s="1129"/>
      <c r="H35" s="1100"/>
      <c r="I35" s="1100"/>
    </row>
    <row r="36" spans="1:9" s="1594" customFormat="1" ht="19.5" customHeight="1">
      <c r="A36" s="3446"/>
      <c r="B36" s="3446" t="s">
        <v>1449</v>
      </c>
      <c r="C36" s="1126" t="s">
        <v>1481</v>
      </c>
      <c r="D36" s="1127"/>
      <c r="E36" s="1149">
        <v>1</v>
      </c>
      <c r="F36" s="1128" t="s">
        <v>1482</v>
      </c>
      <c r="G36" s="1129"/>
      <c r="H36" s="1100"/>
      <c r="I36" s="1100"/>
    </row>
    <row r="37" spans="1:9" s="1594" customFormat="1" ht="19.5" customHeight="1">
      <c r="A37" s="3446"/>
      <c r="B37" s="3446"/>
      <c r="C37" s="1126" t="s">
        <v>1483</v>
      </c>
      <c r="D37" s="1127"/>
      <c r="E37" s="1149">
        <v>1.5</v>
      </c>
      <c r="F37" s="1128" t="s">
        <v>1484</v>
      </c>
      <c r="G37" s="1129"/>
      <c r="H37" s="1100"/>
      <c r="I37" s="1100"/>
    </row>
    <row r="38" spans="1:9" s="1594" customFormat="1" ht="19.5" customHeight="1">
      <c r="A38" s="3446"/>
      <c r="B38" s="3446"/>
      <c r="C38" s="1126" t="s">
        <v>1485</v>
      </c>
      <c r="D38" s="1127"/>
      <c r="E38" s="1149">
        <v>1</v>
      </c>
      <c r="F38" s="1128" t="s">
        <v>1486</v>
      </c>
      <c r="G38" s="1129"/>
      <c r="H38" s="1100"/>
      <c r="I38" s="1100"/>
    </row>
    <row r="39" spans="1:9" s="1594" customFormat="1" ht="19.5" customHeight="1">
      <c r="A39" s="3446"/>
      <c r="B39" s="3446"/>
      <c r="C39" s="1126" t="s">
        <v>1487</v>
      </c>
      <c r="D39" s="1127"/>
      <c r="E39" s="1149">
        <v>1</v>
      </c>
      <c r="F39" s="1128" t="s">
        <v>1488</v>
      </c>
      <c r="G39" s="1129"/>
      <c r="H39" s="1100"/>
      <c r="I39" s="1100"/>
    </row>
    <row r="40" spans="1:9" s="1594" customFormat="1" ht="19.5" customHeight="1">
      <c r="A40" s="1595" t="s">
        <v>1489</v>
      </c>
      <c r="B40" s="1595"/>
      <c r="C40" s="1595"/>
      <c r="D40" s="1595"/>
      <c r="E40" s="159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6" t="s">
        <v>1501</v>
      </c>
      <c r="C61" s="1063" t="s">
        <v>1502</v>
      </c>
      <c r="D61" s="1063" t="s">
        <v>1503</v>
      </c>
      <c r="E61" s="1134">
        <v>0.5</v>
      </c>
      <c r="F61" s="1149">
        <v>80</v>
      </c>
      <c r="H61" s="1100">
        <f>SUMIF(C59:C119,基准地价!C8,E59:E119)</f>
        <v>0</v>
      </c>
    </row>
    <row r="62" spans="1:8" s="1100" customFormat="1" ht="24">
      <c r="A62" s="1149">
        <v>2</v>
      </c>
      <c r="B62" s="3446"/>
      <c r="C62" s="1063" t="s">
        <v>1504</v>
      </c>
      <c r="D62" s="1063" t="s">
        <v>1505</v>
      </c>
      <c r="E62" s="1134">
        <v>0.5</v>
      </c>
      <c r="F62" s="1149">
        <v>80</v>
      </c>
    </row>
    <row r="63" spans="1:8" s="1100" customFormat="1" ht="36">
      <c r="A63" s="1149">
        <v>3</v>
      </c>
      <c r="B63" s="3446"/>
      <c r="C63" s="1063" t="s">
        <v>1506</v>
      </c>
      <c r="D63" s="1063" t="s">
        <v>1507</v>
      </c>
      <c r="E63" s="1134">
        <v>0.5</v>
      </c>
      <c r="F63" s="1149">
        <v>80</v>
      </c>
    </row>
    <row r="64" spans="1:8" s="1100" customFormat="1" ht="36">
      <c r="A64" s="1149">
        <v>4</v>
      </c>
      <c r="B64" s="3446"/>
      <c r="C64" s="1063" t="s">
        <v>1508</v>
      </c>
      <c r="D64" s="1063" t="s">
        <v>1509</v>
      </c>
      <c r="E64" s="1134">
        <v>0.4</v>
      </c>
      <c r="F64" s="1149">
        <v>60</v>
      </c>
    </row>
    <row r="65" spans="1:6" s="1100" customFormat="1" ht="36">
      <c r="A65" s="1149">
        <v>5</v>
      </c>
      <c r="B65" s="3446"/>
      <c r="C65" s="1063" t="s">
        <v>1510</v>
      </c>
      <c r="D65" s="1063" t="s">
        <v>1511</v>
      </c>
      <c r="E65" s="1134">
        <v>0.2</v>
      </c>
      <c r="F65" s="1149">
        <v>30</v>
      </c>
    </row>
    <row r="66" spans="1:6" s="1100" customFormat="1" ht="36">
      <c r="A66" s="1149">
        <v>6</v>
      </c>
      <c r="B66" s="3446"/>
      <c r="C66" s="1063" t="s">
        <v>1512</v>
      </c>
      <c r="D66" s="1063" t="s">
        <v>1513</v>
      </c>
      <c r="E66" s="1134">
        <v>0.3</v>
      </c>
      <c r="F66" s="1149">
        <v>50</v>
      </c>
    </row>
    <row r="67" spans="1:6" s="1100" customFormat="1" ht="36">
      <c r="A67" s="1149">
        <v>7</v>
      </c>
      <c r="B67" s="3446"/>
      <c r="C67" s="1063" t="s">
        <v>1514</v>
      </c>
      <c r="D67" s="1063" t="s">
        <v>1515</v>
      </c>
      <c r="E67" s="1134">
        <v>0.2</v>
      </c>
      <c r="F67" s="1149">
        <v>30</v>
      </c>
    </row>
    <row r="68" spans="1:6" s="1100" customFormat="1" ht="36">
      <c r="A68" s="1149">
        <v>8</v>
      </c>
      <c r="B68" s="3446"/>
      <c r="C68" s="1063" t="s">
        <v>1516</v>
      </c>
      <c r="D68" s="1063" t="s">
        <v>1517</v>
      </c>
      <c r="E68" s="1134">
        <v>0.2</v>
      </c>
      <c r="F68" s="1149">
        <v>30</v>
      </c>
    </row>
    <row r="69" spans="1:6" s="1100" customFormat="1" ht="36">
      <c r="A69" s="1149">
        <v>9</v>
      </c>
      <c r="B69" s="3446"/>
      <c r="C69" s="1063" t="s">
        <v>1518</v>
      </c>
      <c r="D69" s="1063" t="s">
        <v>1519</v>
      </c>
      <c r="E69" s="1134">
        <v>0.2</v>
      </c>
      <c r="F69" s="1149">
        <v>30</v>
      </c>
    </row>
    <row r="70" spans="1:6" s="1100" customFormat="1" ht="48">
      <c r="A70" s="1149">
        <v>10</v>
      </c>
      <c r="B70" s="3446"/>
      <c r="C70" s="1063" t="s">
        <v>1520</v>
      </c>
      <c r="D70" s="1063" t="s">
        <v>1521</v>
      </c>
      <c r="E70" s="1134">
        <v>0.2</v>
      </c>
      <c r="F70" s="1149">
        <v>30</v>
      </c>
    </row>
    <row r="71" spans="1:6" s="1100" customFormat="1" ht="48">
      <c r="A71" s="1149">
        <v>11</v>
      </c>
      <c r="B71" s="3446"/>
      <c r="C71" s="1063" t="s">
        <v>1522</v>
      </c>
      <c r="D71" s="1063" t="s">
        <v>1523</v>
      </c>
      <c r="E71" s="1134">
        <v>0.2</v>
      </c>
      <c r="F71" s="1149">
        <v>30</v>
      </c>
    </row>
    <row r="72" spans="1:6" s="1100" customFormat="1" ht="36">
      <c r="A72" s="1149">
        <v>12</v>
      </c>
      <c r="B72" s="3446"/>
      <c r="C72" s="1063" t="s">
        <v>1524</v>
      </c>
      <c r="D72" s="1063" t="s">
        <v>1525</v>
      </c>
      <c r="E72" s="1134">
        <v>0.5</v>
      </c>
      <c r="F72" s="1149">
        <v>80</v>
      </c>
    </row>
    <row r="73" spans="1:6" s="1100" customFormat="1" ht="24">
      <c r="A73" s="1149">
        <v>13</v>
      </c>
      <c r="B73" s="3446"/>
      <c r="C73" s="1063" t="s">
        <v>1526</v>
      </c>
      <c r="D73" s="1063" t="s">
        <v>1527</v>
      </c>
      <c r="E73" s="1134">
        <v>0.4</v>
      </c>
      <c r="F73" s="1149">
        <v>60</v>
      </c>
    </row>
    <row r="74" spans="1:6" s="1100" customFormat="1" ht="24">
      <c r="A74" s="1149">
        <v>14</v>
      </c>
      <c r="B74" s="3446"/>
      <c r="C74" s="1063" t="s">
        <v>1528</v>
      </c>
      <c r="D74" s="1063" t="s">
        <v>1529</v>
      </c>
      <c r="E74" s="1134">
        <v>0.2</v>
      </c>
      <c r="F74" s="1149">
        <v>30</v>
      </c>
    </row>
    <row r="75" spans="1:6" s="1100" customFormat="1" ht="24">
      <c r="A75" s="1149">
        <v>15</v>
      </c>
      <c r="B75" s="3446"/>
      <c r="C75" s="1063" t="s">
        <v>1530</v>
      </c>
      <c r="D75" s="1063" t="s">
        <v>1531</v>
      </c>
      <c r="E75" s="1134">
        <v>0.2</v>
      </c>
      <c r="F75" s="1149">
        <v>30</v>
      </c>
    </row>
    <row r="76" spans="1:6" s="1100" customFormat="1" ht="24">
      <c r="A76" s="1149">
        <v>16</v>
      </c>
      <c r="B76" s="3446" t="s">
        <v>1532</v>
      </c>
      <c r="C76" s="1063" t="s">
        <v>1533</v>
      </c>
      <c r="D76" s="1063" t="s">
        <v>1534</v>
      </c>
      <c r="E76" s="1134">
        <v>0.5</v>
      </c>
      <c r="F76" s="1149">
        <v>80</v>
      </c>
    </row>
    <row r="77" spans="1:6" s="1100" customFormat="1" ht="24">
      <c r="A77" s="1149">
        <v>17</v>
      </c>
      <c r="B77" s="3446"/>
      <c r="C77" s="1063" t="s">
        <v>1535</v>
      </c>
      <c r="D77" s="1063" t="s">
        <v>1536</v>
      </c>
      <c r="E77" s="1134">
        <v>0.5</v>
      </c>
      <c r="F77" s="1149">
        <v>80</v>
      </c>
    </row>
    <row r="78" spans="1:6" s="1100" customFormat="1" ht="24">
      <c r="A78" s="1149">
        <v>18</v>
      </c>
      <c r="B78" s="3446"/>
      <c r="C78" s="1063" t="s">
        <v>1537</v>
      </c>
      <c r="D78" s="1063" t="s">
        <v>1538</v>
      </c>
      <c r="E78" s="1134">
        <v>0.2</v>
      </c>
      <c r="F78" s="1149">
        <v>30</v>
      </c>
    </row>
    <row r="79" spans="1:6" s="1100" customFormat="1" ht="24">
      <c r="A79" s="1149">
        <v>19</v>
      </c>
      <c r="B79" s="3446"/>
      <c r="C79" s="1063" t="s">
        <v>1539</v>
      </c>
      <c r="D79" s="1063" t="s">
        <v>1540</v>
      </c>
      <c r="E79" s="1134">
        <v>0.5</v>
      </c>
      <c r="F79" s="1149">
        <v>80</v>
      </c>
    </row>
    <row r="80" spans="1:6" s="1100" customFormat="1" ht="36">
      <c r="A80" s="1149">
        <v>20</v>
      </c>
      <c r="B80" s="3446"/>
      <c r="C80" s="1063" t="s">
        <v>1541</v>
      </c>
      <c r="D80" s="1063" t="s">
        <v>1542</v>
      </c>
      <c r="E80" s="1134">
        <v>0.2</v>
      </c>
      <c r="F80" s="1149">
        <v>30</v>
      </c>
    </row>
    <row r="81" spans="1:6" s="1100" customFormat="1" ht="36">
      <c r="A81" s="1149">
        <v>21</v>
      </c>
      <c r="B81" s="3446"/>
      <c r="C81" s="1063" t="s">
        <v>1543</v>
      </c>
      <c r="D81" s="1063" t="s">
        <v>1544</v>
      </c>
      <c r="E81" s="1134">
        <v>0.2</v>
      </c>
      <c r="F81" s="1149">
        <v>30</v>
      </c>
    </row>
    <row r="82" spans="1:6" s="1100" customFormat="1" ht="48">
      <c r="A82" s="1149">
        <v>22</v>
      </c>
      <c r="B82" s="3446"/>
      <c r="C82" s="1063" t="s">
        <v>1545</v>
      </c>
      <c r="D82" s="1063" t="s">
        <v>1546</v>
      </c>
      <c r="E82" s="1134">
        <v>0.2</v>
      </c>
      <c r="F82" s="1149">
        <v>30</v>
      </c>
    </row>
    <row r="83" spans="1:6" s="1100" customFormat="1" ht="48">
      <c r="A83" s="1149">
        <v>23</v>
      </c>
      <c r="B83" s="3446"/>
      <c r="C83" s="1063" t="s">
        <v>1547</v>
      </c>
      <c r="D83" s="1063" t="s">
        <v>1548</v>
      </c>
      <c r="E83" s="1134">
        <v>0.2</v>
      </c>
      <c r="F83" s="1149">
        <v>30</v>
      </c>
    </row>
    <row r="84" spans="1:6" s="1100" customFormat="1" ht="36">
      <c r="A84" s="1149">
        <v>24</v>
      </c>
      <c r="B84" s="3446"/>
      <c r="C84" s="1063" t="s">
        <v>1549</v>
      </c>
      <c r="D84" s="1063" t="s">
        <v>1550</v>
      </c>
      <c r="E84" s="1134">
        <v>0.2</v>
      </c>
      <c r="F84" s="1149">
        <v>30</v>
      </c>
    </row>
    <row r="85" spans="1:6" s="1100" customFormat="1" ht="36">
      <c r="A85" s="1149">
        <v>25</v>
      </c>
      <c r="B85" s="3446"/>
      <c r="C85" s="1063" t="s">
        <v>1551</v>
      </c>
      <c r="D85" s="1063" t="s">
        <v>1552</v>
      </c>
      <c r="E85" s="1134">
        <v>0.5</v>
      </c>
      <c r="F85" s="1149">
        <v>80</v>
      </c>
    </row>
    <row r="86" spans="1:6" s="1100" customFormat="1" ht="36">
      <c r="A86" s="1149">
        <v>26</v>
      </c>
      <c r="B86" s="3446"/>
      <c r="C86" s="1063" t="s">
        <v>1553</v>
      </c>
      <c r="D86" s="1063" t="s">
        <v>1554</v>
      </c>
      <c r="E86" s="1134">
        <v>0.2</v>
      </c>
      <c r="F86" s="1149">
        <v>30</v>
      </c>
    </row>
    <row r="87" spans="1:6" s="1100" customFormat="1" ht="36">
      <c r="A87" s="1149">
        <v>27</v>
      </c>
      <c r="B87" s="3446"/>
      <c r="C87" s="1063" t="s">
        <v>1555</v>
      </c>
      <c r="D87" s="1063" t="s">
        <v>1556</v>
      </c>
      <c r="E87" s="1134">
        <v>0.2</v>
      </c>
      <c r="F87" s="1149">
        <v>30</v>
      </c>
    </row>
    <row r="88" spans="1:6" s="1100" customFormat="1" ht="36">
      <c r="A88" s="1149">
        <v>28</v>
      </c>
      <c r="B88" s="3446"/>
      <c r="C88" s="1063" t="s">
        <v>1557</v>
      </c>
      <c r="D88" s="1063" t="s">
        <v>1558</v>
      </c>
      <c r="E88" s="1134">
        <v>0.2</v>
      </c>
      <c r="F88" s="1149">
        <v>30</v>
      </c>
    </row>
    <row r="89" spans="1:6" s="1100" customFormat="1" ht="24">
      <c r="A89" s="1149">
        <v>29</v>
      </c>
      <c r="B89" s="3446"/>
      <c r="C89" s="1063" t="s">
        <v>1559</v>
      </c>
      <c r="D89" s="1063" t="s">
        <v>1560</v>
      </c>
      <c r="E89" s="1134">
        <v>0.2</v>
      </c>
      <c r="F89" s="1149">
        <v>30</v>
      </c>
    </row>
    <row r="90" spans="1:6" s="1100" customFormat="1" ht="24">
      <c r="A90" s="1149">
        <v>30</v>
      </c>
      <c r="B90" s="3446"/>
      <c r="C90" s="1063" t="s">
        <v>1561</v>
      </c>
      <c r="D90" s="1063" t="s">
        <v>1562</v>
      </c>
      <c r="E90" s="1134">
        <v>0.2</v>
      </c>
      <c r="F90" s="1149">
        <v>30</v>
      </c>
    </row>
    <row r="91" spans="1:6" s="1100" customFormat="1" ht="36">
      <c r="A91" s="1149">
        <v>31</v>
      </c>
      <c r="B91" s="3446"/>
      <c r="C91" s="1063" t="s">
        <v>1563</v>
      </c>
      <c r="D91" s="1063" t="s">
        <v>1564</v>
      </c>
      <c r="E91" s="1134">
        <v>0.2</v>
      </c>
      <c r="F91" s="1149">
        <v>30</v>
      </c>
    </row>
    <row r="92" spans="1:6" s="1100" customFormat="1" ht="24">
      <c r="A92" s="1149">
        <v>32</v>
      </c>
      <c r="B92" s="3446" t="s">
        <v>1565</v>
      </c>
      <c r="C92" s="1149" t="s">
        <v>1566</v>
      </c>
      <c r="D92" s="1063" t="s">
        <v>1567</v>
      </c>
      <c r="E92" s="1134">
        <v>0.2</v>
      </c>
      <c r="F92" s="1149">
        <v>30</v>
      </c>
    </row>
    <row r="93" spans="1:6" s="1100" customFormat="1" ht="36">
      <c r="A93" s="1149">
        <v>33</v>
      </c>
      <c r="B93" s="3446"/>
      <c r="C93" s="1149" t="s">
        <v>1568</v>
      </c>
      <c r="D93" s="1063" t="s">
        <v>1569</v>
      </c>
      <c r="E93" s="1134">
        <v>0.2</v>
      </c>
      <c r="F93" s="1149">
        <v>30</v>
      </c>
    </row>
    <row r="94" spans="1:6" s="1100" customFormat="1" ht="48">
      <c r="A94" s="1149">
        <v>34</v>
      </c>
      <c r="B94" s="3446"/>
      <c r="C94" s="1149" t="s">
        <v>1570</v>
      </c>
      <c r="D94" s="1063" t="s">
        <v>1571</v>
      </c>
      <c r="E94" s="1134">
        <v>0.2</v>
      </c>
      <c r="F94" s="1149">
        <v>30</v>
      </c>
    </row>
    <row r="95" spans="1:6" s="1100" customFormat="1" ht="36">
      <c r="A95" s="1149">
        <v>35</v>
      </c>
      <c r="B95" s="3446"/>
      <c r="C95" s="1149" t="s">
        <v>1572</v>
      </c>
      <c r="D95" s="1063" t="s">
        <v>1573</v>
      </c>
      <c r="E95" s="1134">
        <v>0.2</v>
      </c>
      <c r="F95" s="1149">
        <v>30</v>
      </c>
    </row>
    <row r="96" spans="1:6" s="1100" customFormat="1" ht="48">
      <c r="A96" s="1149">
        <v>36</v>
      </c>
      <c r="B96" s="3446"/>
      <c r="C96" s="1063" t="s">
        <v>1574</v>
      </c>
      <c r="D96" s="1063" t="s">
        <v>1575</v>
      </c>
      <c r="E96" s="1134">
        <v>0.2</v>
      </c>
      <c r="F96" s="1149">
        <v>30</v>
      </c>
    </row>
    <row r="97" spans="1:6" s="1100" customFormat="1" ht="36">
      <c r="A97" s="1149">
        <v>37</v>
      </c>
      <c r="B97" s="3446"/>
      <c r="C97" s="1149" t="s">
        <v>1576</v>
      </c>
      <c r="D97" s="1063" t="s">
        <v>1577</v>
      </c>
      <c r="E97" s="1134">
        <v>0.2</v>
      </c>
      <c r="F97" s="1149">
        <v>30</v>
      </c>
    </row>
    <row r="98" spans="1:6" s="1100" customFormat="1" ht="36">
      <c r="A98" s="1149">
        <v>38</v>
      </c>
      <c r="B98" s="3446"/>
      <c r="C98" s="1149" t="s">
        <v>1578</v>
      </c>
      <c r="D98" s="1063" t="s">
        <v>1579</v>
      </c>
      <c r="E98" s="1134">
        <v>0.2</v>
      </c>
      <c r="F98" s="1149">
        <v>30</v>
      </c>
    </row>
    <row r="99" spans="1:6" s="1100" customFormat="1" ht="36">
      <c r="A99" s="1149">
        <v>39</v>
      </c>
      <c r="B99" s="3446" t="s">
        <v>1580</v>
      </c>
      <c r="C99" s="1149" t="s">
        <v>1581</v>
      </c>
      <c r="D99" s="1063" t="s">
        <v>1582</v>
      </c>
      <c r="E99" s="1134">
        <v>0.3</v>
      </c>
      <c r="F99" s="1149">
        <v>50</v>
      </c>
    </row>
    <row r="100" spans="1:6" s="1100" customFormat="1" ht="24">
      <c r="A100" s="1149">
        <v>40</v>
      </c>
      <c r="B100" s="3446"/>
      <c r="C100" s="1149" t="s">
        <v>1583</v>
      </c>
      <c r="D100" s="1063" t="s">
        <v>1584</v>
      </c>
      <c r="E100" s="1134">
        <v>0.2</v>
      </c>
      <c r="F100" s="1149">
        <v>30</v>
      </c>
    </row>
    <row r="101" spans="1:6" s="1100" customFormat="1" ht="36">
      <c r="A101" s="1149">
        <v>41</v>
      </c>
      <c r="B101" s="344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6" t="s">
        <v>1595</v>
      </c>
      <c r="C105" s="1149" t="s">
        <v>1596</v>
      </c>
      <c r="D105" s="1063" t="s">
        <v>1597</v>
      </c>
      <c r="E105" s="1134">
        <v>0.2</v>
      </c>
      <c r="F105" s="1149">
        <v>30</v>
      </c>
    </row>
    <row r="106" spans="1:6" s="1100" customFormat="1" ht="36">
      <c r="A106" s="1149">
        <v>46</v>
      </c>
      <c r="B106" s="3446"/>
      <c r="C106" s="1149" t="s">
        <v>1598</v>
      </c>
      <c r="D106" s="1063" t="s">
        <v>1599</v>
      </c>
      <c r="E106" s="1134">
        <v>0.2</v>
      </c>
      <c r="F106" s="1149">
        <v>30</v>
      </c>
    </row>
    <row r="107" spans="1:6" s="1100" customFormat="1" ht="36">
      <c r="A107" s="1149">
        <v>47</v>
      </c>
      <c r="B107" s="3446" t="s">
        <v>1600</v>
      </c>
      <c r="C107" s="1149" t="s">
        <v>1601</v>
      </c>
      <c r="D107" s="1063" t="s">
        <v>1602</v>
      </c>
      <c r="E107" s="1134">
        <v>0.3</v>
      </c>
      <c r="F107" s="1149">
        <v>50</v>
      </c>
    </row>
    <row r="108" spans="1:6" s="1100" customFormat="1" ht="36">
      <c r="A108" s="1149">
        <v>48</v>
      </c>
      <c r="B108" s="344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6" t="s">
        <v>1611</v>
      </c>
      <c r="C111" s="1149" t="s">
        <v>1612</v>
      </c>
      <c r="D111" s="1063" t="s">
        <v>1613</v>
      </c>
      <c r="E111" s="1134">
        <v>0.2</v>
      </c>
      <c r="F111" s="1149">
        <v>30</v>
      </c>
    </row>
    <row r="112" spans="1:6" s="1100" customFormat="1" ht="24">
      <c r="A112" s="1149">
        <v>52</v>
      </c>
      <c r="B112" s="3446"/>
      <c r="C112" s="1149" t="s">
        <v>1614</v>
      </c>
      <c r="D112" s="1063" t="s">
        <v>1615</v>
      </c>
      <c r="E112" s="1134">
        <v>0.2</v>
      </c>
      <c r="F112" s="1149">
        <v>30</v>
      </c>
    </row>
    <row r="113" spans="1:14" s="1100" customFormat="1" ht="24">
      <c r="A113" s="1149">
        <v>53</v>
      </c>
      <c r="B113" s="344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6" t="s">
        <v>1624</v>
      </c>
      <c r="C116" s="1149" t="s">
        <v>1625</v>
      </c>
      <c r="D116" s="1063" t="s">
        <v>1626</v>
      </c>
      <c r="E116" s="1134">
        <v>0.2</v>
      </c>
      <c r="F116" s="1149">
        <v>30</v>
      </c>
    </row>
    <row r="117" spans="1:14" ht="36">
      <c r="A117" s="1149">
        <v>57</v>
      </c>
      <c r="B117" s="344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5" t="s">
        <v>1633</v>
      </c>
      <c r="B121" s="3445"/>
      <c r="C121" s="3445"/>
      <c r="D121" s="3445"/>
      <c r="E121" s="3445"/>
      <c r="F121" s="3445"/>
      <c r="G121" s="3445"/>
      <c r="H121" s="3445"/>
      <c r="I121" s="3445"/>
      <c r="J121" s="3445"/>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8" t="s">
        <v>1039</v>
      </c>
      <c r="B1" s="3458"/>
      <c r="C1" s="3458"/>
      <c r="D1" s="3458"/>
      <c r="E1" s="3458"/>
      <c r="F1" s="345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9" t="s">
        <v>1052</v>
      </c>
      <c r="B2" s="3459"/>
      <c r="C2" s="3459"/>
      <c r="D2" s="3459"/>
      <c r="E2" s="3459"/>
      <c r="F2" s="345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6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6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2" t="s">
        <v>2078</v>
      </c>
      <c r="B1" s="3462"/>
    </row>
    <row r="2" spans="1:6" ht="14.25" thickBot="1">
      <c r="A2" s="1845"/>
      <c r="B2" s="1845"/>
    </row>
    <row r="3" spans="1:6" ht="14.25" thickBot="1">
      <c r="A3" s="1845"/>
      <c r="B3" s="1845"/>
      <c r="C3" s="1846" t="s">
        <v>2079</v>
      </c>
      <c r="D3" s="1846" t="s">
        <v>2080</v>
      </c>
      <c r="E3" s="1846" t="s">
        <v>2081</v>
      </c>
      <c r="F3" s="1846" t="s">
        <v>2082</v>
      </c>
    </row>
    <row r="4" spans="1:6" ht="14.25" thickBot="1">
      <c r="A4" s="1847" t="s">
        <v>2083</v>
      </c>
      <c r="B4" s="1848" t="s">
        <v>2084</v>
      </c>
      <c r="C4" s="1846"/>
      <c r="D4" s="1846"/>
      <c r="E4" s="1846"/>
      <c r="F4" s="1846"/>
    </row>
    <row r="5" spans="1:6" ht="14.25" thickBot="1">
      <c r="A5" s="1849" t="s">
        <v>2085</v>
      </c>
      <c r="B5" s="1850" t="s">
        <v>2086</v>
      </c>
      <c r="C5" s="1851">
        <v>8.8999999999999996E-2</v>
      </c>
      <c r="D5" s="1851">
        <v>7.3999999999999996E-2</v>
      </c>
      <c r="E5" s="1851">
        <v>7.4999999999999997E-2</v>
      </c>
      <c r="F5" s="1852">
        <v>0.1</v>
      </c>
    </row>
    <row r="6" spans="1:6" ht="14.25" thickBot="1">
      <c r="A6" s="1849" t="s">
        <v>1096</v>
      </c>
      <c r="B6" s="1853" t="s">
        <v>2087</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2088</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2089</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2090</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2091</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2092</v>
      </c>
      <c r="C72" s="1863"/>
      <c r="D72" s="1863"/>
      <c r="E72" s="1863"/>
      <c r="F72" s="1855">
        <v>0.05</v>
      </c>
    </row>
    <row r="73" spans="1:6" ht="14.25" thickBot="1">
      <c r="A73" s="1849" t="s">
        <v>924</v>
      </c>
      <c r="B73" s="1853" t="s">
        <v>2093</v>
      </c>
      <c r="C73" s="1863"/>
      <c r="D73" s="1863"/>
      <c r="E73" s="1863"/>
      <c r="F73" s="1855">
        <v>0.05</v>
      </c>
    </row>
    <row r="74" spans="1:6" ht="14.25" thickBot="1">
      <c r="A74" s="1849" t="s">
        <v>924</v>
      </c>
      <c r="B74" s="1853" t="s">
        <v>2094</v>
      </c>
      <c r="C74" s="1863"/>
      <c r="D74" s="1863"/>
      <c r="E74" s="1863"/>
      <c r="F74" s="1855">
        <v>0.05</v>
      </c>
    </row>
    <row r="75" spans="1:6" ht="14.25" thickBot="1">
      <c r="A75" s="1857" t="s">
        <v>924</v>
      </c>
      <c r="B75" s="1864" t="s">
        <v>2095</v>
      </c>
      <c r="C75" s="1860"/>
      <c r="D75" s="1860"/>
      <c r="E75" s="1860"/>
      <c r="F75" s="1865">
        <v>0.05</v>
      </c>
    </row>
    <row r="76" spans="1:6" ht="14.25" thickBot="1">
      <c r="A76" s="1849" t="s">
        <v>1407</v>
      </c>
      <c r="B76" s="1850" t="s">
        <v>2096</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2097</v>
      </c>
      <c r="C102" s="1863"/>
      <c r="D102" s="1863"/>
      <c r="E102" s="1863"/>
      <c r="F102" s="1855">
        <v>0.05</v>
      </c>
    </row>
    <row r="103" spans="1:6" ht="24.75" thickBot="1">
      <c r="A103" s="1849" t="s">
        <v>1407</v>
      </c>
      <c r="B103" s="1853" t="s">
        <v>2098</v>
      </c>
      <c r="C103" s="1863"/>
      <c r="D103" s="1863"/>
      <c r="E103" s="1863"/>
      <c r="F103" s="1855">
        <v>0.05</v>
      </c>
    </row>
    <row r="104" spans="1:6" ht="14.25" thickBot="1">
      <c r="A104" s="1849" t="s">
        <v>1407</v>
      </c>
      <c r="B104" s="1853" t="s">
        <v>2099</v>
      </c>
      <c r="C104" s="1863"/>
      <c r="D104" s="1863"/>
      <c r="E104" s="1863"/>
      <c r="F104" s="1855">
        <v>0.05</v>
      </c>
    </row>
    <row r="105" spans="1:6" ht="14.25" thickBot="1">
      <c r="A105" s="1849" t="s">
        <v>1407</v>
      </c>
      <c r="B105" s="1853" t="s">
        <v>2100</v>
      </c>
      <c r="C105" s="1863"/>
      <c r="D105" s="1863"/>
      <c r="E105" s="1863"/>
      <c r="F105" s="1855">
        <v>0.05</v>
      </c>
    </row>
    <row r="106" spans="1:6" ht="14.25" thickBot="1">
      <c r="A106" s="1849" t="s">
        <v>1407</v>
      </c>
      <c r="B106" s="1853" t="s">
        <v>2101</v>
      </c>
      <c r="C106" s="1863"/>
      <c r="D106" s="1863"/>
      <c r="E106" s="1863"/>
      <c r="F106" s="1855">
        <v>0.05</v>
      </c>
    </row>
    <row r="107" spans="1:6" ht="24.75" thickBot="1">
      <c r="A107" s="1849" t="s">
        <v>1407</v>
      </c>
      <c r="B107" s="1853" t="s">
        <v>2102</v>
      </c>
      <c r="C107" s="1863"/>
      <c r="D107" s="1863"/>
      <c r="E107" s="1863"/>
      <c r="F107" s="1855">
        <v>0.05</v>
      </c>
    </row>
    <row r="108" spans="1:6" ht="24.75" thickBot="1">
      <c r="A108" s="1849" t="s">
        <v>1407</v>
      </c>
      <c r="B108" s="1853" t="s">
        <v>2103</v>
      </c>
      <c r="C108" s="1863"/>
      <c r="D108" s="1863"/>
      <c r="E108" s="1863"/>
      <c r="F108" s="1855">
        <v>0.05</v>
      </c>
    </row>
    <row r="109" spans="1:6" ht="24.75" thickBot="1">
      <c r="A109" s="1857" t="s">
        <v>1407</v>
      </c>
      <c r="B109" s="1864" t="s">
        <v>2104</v>
      </c>
      <c r="C109" s="1860"/>
      <c r="D109" s="1860"/>
      <c r="E109" s="1860"/>
      <c r="F109" s="1865">
        <v>0.05</v>
      </c>
    </row>
    <row r="110" spans="1:6" ht="14.25" thickBot="1">
      <c r="A110" s="1849" t="s">
        <v>1409</v>
      </c>
      <c r="B110" s="1850" t="s">
        <v>2105</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2106</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2107</v>
      </c>
      <c r="C138" s="1854">
        <v>0.105</v>
      </c>
      <c r="D138" s="1854">
        <v>0.125</v>
      </c>
      <c r="E138" s="1854">
        <v>0.112</v>
      </c>
      <c r="F138" s="1862"/>
    </row>
    <row r="139" spans="1:6" ht="14.25" thickBot="1">
      <c r="A139" s="1849" t="s">
        <v>1409</v>
      </c>
      <c r="B139" s="1853" t="s">
        <v>2108</v>
      </c>
      <c r="C139" s="1854">
        <v>0.127</v>
      </c>
      <c r="D139" s="1854">
        <v>0.127</v>
      </c>
      <c r="E139" s="1854">
        <v>0.122</v>
      </c>
      <c r="F139" s="1855">
        <v>0.13</v>
      </c>
    </row>
    <row r="140" spans="1:6" ht="14.25" thickBot="1">
      <c r="A140" s="1849" t="s">
        <v>1409</v>
      </c>
      <c r="B140" s="1853" t="s">
        <v>2109</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2110</v>
      </c>
      <c r="C144" s="1867">
        <v>0.126</v>
      </c>
      <c r="D144" s="1867">
        <v>0.126</v>
      </c>
      <c r="E144" s="1867">
        <v>0.121</v>
      </c>
      <c r="F144" s="1862"/>
    </row>
    <row r="145" spans="1:6" ht="14.25" thickBot="1">
      <c r="A145" s="1857" t="s">
        <v>1409</v>
      </c>
      <c r="B145" s="1868" t="s">
        <v>2111</v>
      </c>
      <c r="C145" s="1869"/>
      <c r="D145" s="1869"/>
      <c r="E145" s="1869"/>
      <c r="F145" s="1870">
        <v>0.05</v>
      </c>
    </row>
    <row r="146" spans="1:6" ht="24.75" thickBot="1">
      <c r="A146" s="1871" t="s">
        <v>1409</v>
      </c>
      <c r="B146" s="1856" t="s">
        <v>2112</v>
      </c>
      <c r="C146" s="1863"/>
      <c r="D146" s="1863"/>
      <c r="E146" s="1863"/>
      <c r="F146" s="1872">
        <v>0.05</v>
      </c>
    </row>
    <row r="147" spans="1:6" ht="24.75" thickBot="1">
      <c r="A147" s="1849" t="s">
        <v>1409</v>
      </c>
      <c r="B147" s="1853" t="s">
        <v>2113</v>
      </c>
      <c r="C147" s="1863"/>
      <c r="D147" s="1863"/>
      <c r="E147" s="1863"/>
      <c r="F147" s="1855">
        <v>0.05</v>
      </c>
    </row>
    <row r="148" spans="1:6" ht="24.75" thickBot="1">
      <c r="A148" s="1849" t="s">
        <v>1409</v>
      </c>
      <c r="B148" s="1853" t="s">
        <v>2114</v>
      </c>
      <c r="C148" s="1863"/>
      <c r="D148" s="1863"/>
      <c r="E148" s="1863"/>
      <c r="F148" s="1855">
        <v>0.05</v>
      </c>
    </row>
    <row r="149" spans="1:6" ht="24.75" thickBot="1">
      <c r="A149" s="1849" t="s">
        <v>1409</v>
      </c>
      <c r="B149" s="1853" t="s">
        <v>2115</v>
      </c>
      <c r="C149" s="1863"/>
      <c r="D149" s="1863"/>
      <c r="E149" s="1863"/>
      <c r="F149" s="1855">
        <v>0.05</v>
      </c>
    </row>
    <row r="150" spans="1:6" ht="24.75" thickBot="1">
      <c r="A150" s="1849" t="s">
        <v>1409</v>
      </c>
      <c r="B150" s="1853" t="s">
        <v>2116</v>
      </c>
      <c r="C150" s="1863"/>
      <c r="D150" s="1863"/>
      <c r="E150" s="1863"/>
      <c r="F150" s="1855">
        <v>0.05</v>
      </c>
    </row>
    <row r="151" spans="1:6" ht="24.75" thickBot="1">
      <c r="A151" s="1849" t="s">
        <v>1409</v>
      </c>
      <c r="B151" s="1853" t="s">
        <v>2117</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2118</v>
      </c>
      <c r="C153" s="1863"/>
      <c r="D153" s="1863"/>
      <c r="E153" s="1863"/>
      <c r="F153" s="1855">
        <v>0.05</v>
      </c>
    </row>
    <row r="154" spans="1:6" ht="14.25" thickBot="1">
      <c r="A154" s="1849" t="s">
        <v>1409</v>
      </c>
      <c r="B154" s="1853" t="s">
        <v>2119</v>
      </c>
      <c r="C154" s="1863"/>
      <c r="D154" s="1863"/>
      <c r="E154" s="1863"/>
      <c r="F154" s="1855">
        <v>0.05</v>
      </c>
    </row>
    <row r="155" spans="1:6" ht="24.75" thickBot="1">
      <c r="A155" s="1849" t="s">
        <v>1409</v>
      </c>
      <c r="B155" s="1853" t="s">
        <v>2120</v>
      </c>
      <c r="C155" s="1863"/>
      <c r="D155" s="1863"/>
      <c r="E155" s="1863"/>
      <c r="F155" s="1855">
        <v>0.05</v>
      </c>
    </row>
    <row r="156" spans="1:6" ht="24.75" thickBot="1">
      <c r="A156" s="1849" t="s">
        <v>1409</v>
      </c>
      <c r="B156" s="1853" t="s">
        <v>2121</v>
      </c>
      <c r="C156" s="1863"/>
      <c r="D156" s="1863"/>
      <c r="E156" s="1863"/>
      <c r="F156" s="1855">
        <v>0.05</v>
      </c>
    </row>
    <row r="157" spans="1:6" ht="14.25" thickBot="1">
      <c r="A157" s="1857" t="s">
        <v>1409</v>
      </c>
      <c r="B157" s="1864" t="s">
        <v>2122</v>
      </c>
      <c r="C157" s="1860"/>
      <c r="D157" s="1860"/>
      <c r="E157" s="1860"/>
      <c r="F157" s="1865">
        <v>0.05</v>
      </c>
    </row>
    <row r="158" spans="1:6" ht="14.25" thickBot="1">
      <c r="A158" s="1849" t="s">
        <v>1411</v>
      </c>
      <c r="B158" s="1850" t="s">
        <v>2123</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2124</v>
      </c>
      <c r="C171" s="1854">
        <v>0.127</v>
      </c>
      <c r="D171" s="1854">
        <v>0.126</v>
      </c>
      <c r="E171" s="1854">
        <v>0.126</v>
      </c>
      <c r="F171" s="1855">
        <v>0.11799999999999999</v>
      </c>
    </row>
    <row r="172" spans="1:6" ht="14.25" thickBot="1">
      <c r="A172" s="1849" t="s">
        <v>1411</v>
      </c>
      <c r="B172" s="1853" t="s">
        <v>2125</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2126</v>
      </c>
      <c r="C174" s="1854">
        <v>0.13</v>
      </c>
      <c r="D174" s="1854">
        <v>0.13</v>
      </c>
      <c r="E174" s="1854">
        <v>0.13</v>
      </c>
      <c r="F174" s="1855">
        <v>0.13</v>
      </c>
    </row>
    <row r="175" spans="1:6" ht="14.25" thickBot="1">
      <c r="A175" s="1849" t="s">
        <v>1411</v>
      </c>
      <c r="B175" s="1853" t="s">
        <v>2127</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2128</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2129</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2130</v>
      </c>
      <c r="C185" s="1854">
        <v>0.127</v>
      </c>
      <c r="D185" s="1854">
        <v>0.127</v>
      </c>
      <c r="E185" s="1854">
        <v>0.128</v>
      </c>
      <c r="F185" s="1855">
        <v>0.13</v>
      </c>
    </row>
    <row r="186" spans="1:6" ht="24.75" thickBot="1">
      <c r="A186" s="1849" t="s">
        <v>1411</v>
      </c>
      <c r="B186" s="1853" t="s">
        <v>2131</v>
      </c>
      <c r="C186" s="1863"/>
      <c r="D186" s="1863"/>
      <c r="E186" s="1863"/>
      <c r="F186" s="1855">
        <v>0.05</v>
      </c>
    </row>
    <row r="187" spans="1:6" ht="14.25" thickBot="1">
      <c r="A187" s="1849" t="s">
        <v>1411</v>
      </c>
      <c r="B187" s="1853" t="s">
        <v>2132</v>
      </c>
      <c r="C187" s="1863"/>
      <c r="D187" s="1863"/>
      <c r="E187" s="1863"/>
      <c r="F187" s="1855">
        <v>0.05</v>
      </c>
    </row>
    <row r="188" spans="1:6" ht="14.25" thickBot="1">
      <c r="A188" s="1849" t="s">
        <v>1411</v>
      </c>
      <c r="B188" s="1853" t="s">
        <v>2133</v>
      </c>
      <c r="C188" s="1863"/>
      <c r="D188" s="1863"/>
      <c r="E188" s="1863"/>
      <c r="F188" s="1855">
        <v>0.05</v>
      </c>
    </row>
    <row r="189" spans="1:6" ht="24.75" thickBot="1">
      <c r="A189" s="1849" t="s">
        <v>1411</v>
      </c>
      <c r="B189" s="1853" t="s">
        <v>2134</v>
      </c>
      <c r="C189" s="1863"/>
      <c r="D189" s="1863"/>
      <c r="E189" s="1863"/>
      <c r="F189" s="1855">
        <v>0.05</v>
      </c>
    </row>
    <row r="190" spans="1:6" ht="24.75" thickBot="1">
      <c r="A190" s="1849" t="s">
        <v>1411</v>
      </c>
      <c r="B190" s="1853" t="s">
        <v>2135</v>
      </c>
      <c r="C190" s="1863"/>
      <c r="D190" s="1863"/>
      <c r="E190" s="1863"/>
      <c r="F190" s="1855">
        <v>0.05</v>
      </c>
    </row>
    <row r="191" spans="1:6" ht="24.75" thickBot="1">
      <c r="A191" s="1849" t="s">
        <v>1411</v>
      </c>
      <c r="B191" s="1853" t="s">
        <v>2136</v>
      </c>
      <c r="C191" s="1863"/>
      <c r="D191" s="1863"/>
      <c r="E191" s="1863"/>
      <c r="F191" s="1855">
        <v>0.05</v>
      </c>
    </row>
    <row r="192" spans="1:6" ht="24.75" thickBot="1">
      <c r="A192" s="1849" t="s">
        <v>1411</v>
      </c>
      <c r="B192" s="1853" t="s">
        <v>2137</v>
      </c>
      <c r="C192" s="1863"/>
      <c r="D192" s="1863"/>
      <c r="E192" s="1863"/>
      <c r="F192" s="1855">
        <v>0.05</v>
      </c>
    </row>
    <row r="193" spans="1:6" ht="24.75" thickBot="1">
      <c r="A193" s="1849" t="s">
        <v>1411</v>
      </c>
      <c r="B193" s="1853" t="s">
        <v>2138</v>
      </c>
      <c r="C193" s="1863"/>
      <c r="D193" s="1863"/>
      <c r="E193" s="1863"/>
      <c r="F193" s="1855">
        <v>0.05</v>
      </c>
    </row>
    <row r="194" spans="1:6" ht="24.75" thickBot="1">
      <c r="A194" s="1849" t="s">
        <v>1411</v>
      </c>
      <c r="B194" s="1853" t="s">
        <v>2139</v>
      </c>
      <c r="C194" s="1863"/>
      <c r="D194" s="1863"/>
      <c r="E194" s="1863"/>
      <c r="F194" s="1855">
        <v>0.05</v>
      </c>
    </row>
    <row r="195" spans="1:6" ht="14.25" thickBot="1">
      <c r="A195" s="1849" t="s">
        <v>1411</v>
      </c>
      <c r="B195" s="1853" t="s">
        <v>2140</v>
      </c>
      <c r="C195" s="1863"/>
      <c r="D195" s="1863"/>
      <c r="E195" s="1863"/>
      <c r="F195" s="1855">
        <v>0.05</v>
      </c>
    </row>
    <row r="196" spans="1:6" ht="24.75" thickBot="1">
      <c r="A196" s="1849" t="s">
        <v>1411</v>
      </c>
      <c r="B196" s="1853" t="s">
        <v>2141</v>
      </c>
      <c r="C196" s="1863"/>
      <c r="D196" s="1863"/>
      <c r="E196" s="1863"/>
      <c r="F196" s="1855">
        <v>0.05</v>
      </c>
    </row>
    <row r="197" spans="1:6" ht="24.75" thickBot="1">
      <c r="A197" s="1849" t="s">
        <v>1411</v>
      </c>
      <c r="B197" s="1853" t="s">
        <v>2142</v>
      </c>
      <c r="C197" s="1863"/>
      <c r="D197" s="1863"/>
      <c r="E197" s="1863"/>
      <c r="F197" s="1855">
        <v>0.05</v>
      </c>
    </row>
    <row r="198" spans="1:6" ht="24.75" thickBot="1">
      <c r="A198" s="1849" t="s">
        <v>1411</v>
      </c>
      <c r="B198" s="1853" t="s">
        <v>2143</v>
      </c>
      <c r="C198" s="1863"/>
      <c r="D198" s="1863"/>
      <c r="E198" s="1863"/>
      <c r="F198" s="1855">
        <v>0.05</v>
      </c>
    </row>
    <row r="199" spans="1:6" ht="24.75" thickBot="1">
      <c r="A199" s="1849" t="s">
        <v>1411</v>
      </c>
      <c r="B199" s="1853" t="s">
        <v>2144</v>
      </c>
      <c r="C199" s="1863"/>
      <c r="D199" s="1863"/>
      <c r="E199" s="1863"/>
      <c r="F199" s="1855">
        <v>0.05</v>
      </c>
    </row>
    <row r="200" spans="1:6" ht="24.75" thickBot="1">
      <c r="A200" s="1849" t="s">
        <v>1411</v>
      </c>
      <c r="B200" s="1853" t="s">
        <v>2145</v>
      </c>
      <c r="C200" s="1863"/>
      <c r="D200" s="1863"/>
      <c r="E200" s="1863"/>
      <c r="F200" s="1855">
        <v>0.05</v>
      </c>
    </row>
    <row r="201" spans="1:6" ht="24.75" thickBot="1">
      <c r="A201" s="1849" t="s">
        <v>1411</v>
      </c>
      <c r="B201" s="1853" t="s">
        <v>2146</v>
      </c>
      <c r="C201" s="1863"/>
      <c r="D201" s="1863"/>
      <c r="E201" s="1863"/>
      <c r="F201" s="1855">
        <v>0.05</v>
      </c>
    </row>
    <row r="202" spans="1:6" ht="24.75" thickBot="1">
      <c r="A202" s="1849" t="s">
        <v>1411</v>
      </c>
      <c r="B202" s="1853" t="s">
        <v>2147</v>
      </c>
      <c r="C202" s="1863"/>
      <c r="D202" s="1863"/>
      <c r="E202" s="1863"/>
      <c r="F202" s="1855">
        <v>0.05</v>
      </c>
    </row>
    <row r="203" spans="1:6" ht="24.75" thickBot="1">
      <c r="A203" s="1849" t="s">
        <v>1411</v>
      </c>
      <c r="B203" s="1853" t="s">
        <v>2148</v>
      </c>
      <c r="C203" s="1863"/>
      <c r="D203" s="1863"/>
      <c r="E203" s="1863"/>
      <c r="F203" s="1855">
        <v>0.05</v>
      </c>
    </row>
    <row r="204" spans="1:6" ht="14.25" thickBot="1">
      <c r="A204" s="1849" t="s">
        <v>1411</v>
      </c>
      <c r="B204" s="1853" t="s">
        <v>2149</v>
      </c>
      <c r="C204" s="1863"/>
      <c r="D204" s="1863"/>
      <c r="E204" s="1863"/>
      <c r="F204" s="1855">
        <v>0.05</v>
      </c>
    </row>
    <row r="205" spans="1:6" ht="14.25" thickBot="1">
      <c r="A205" s="1857" t="s">
        <v>1411</v>
      </c>
      <c r="B205" s="1864" t="s">
        <v>2150</v>
      </c>
      <c r="C205" s="1860"/>
      <c r="D205" s="1860"/>
      <c r="E205" s="1860"/>
      <c r="F205" s="1865">
        <v>0.05</v>
      </c>
    </row>
    <row r="206" spans="1:6" ht="14.25" thickBot="1">
      <c r="A206" s="1849" t="s">
        <v>1413</v>
      </c>
      <c r="B206" s="1850" t="s">
        <v>2151</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2152</v>
      </c>
      <c r="C210" s="1854">
        <v>0.15</v>
      </c>
      <c r="D210" s="1854">
        <v>0.15</v>
      </c>
      <c r="E210" s="1854">
        <v>0.15</v>
      </c>
      <c r="F210" s="1855">
        <v>0.13800000000000001</v>
      </c>
    </row>
    <row r="211" spans="1:6" ht="14.25" thickBot="1">
      <c r="A211" s="1849" t="s">
        <v>1413</v>
      </c>
      <c r="B211" s="1853" t="s">
        <v>2153</v>
      </c>
      <c r="C211" s="1854">
        <v>0.13700000000000001</v>
      </c>
      <c r="D211" s="1854">
        <v>0.13500000000000001</v>
      </c>
      <c r="E211" s="1854">
        <v>0.13600000000000001</v>
      </c>
      <c r="F211" s="1855">
        <v>0.1</v>
      </c>
    </row>
    <row r="212" spans="1:6" ht="14.25" thickBot="1">
      <c r="A212" s="1849" t="s">
        <v>1413</v>
      </c>
      <c r="B212" s="1853" t="s">
        <v>2154</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2155</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2156</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2157</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2158</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2159</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2160</v>
      </c>
      <c r="C231" s="1854">
        <v>0.128</v>
      </c>
      <c r="D231" s="1854">
        <v>0.125</v>
      </c>
      <c r="E231" s="1854">
        <v>0.13200000000000001</v>
      </c>
      <c r="F231" s="1862"/>
    </row>
    <row r="232" spans="1:6" ht="14.25" thickBot="1">
      <c r="A232" s="1849" t="s">
        <v>1413</v>
      </c>
      <c r="B232" s="1853" t="s">
        <v>2161</v>
      </c>
      <c r="C232" s="1854">
        <v>0.14499999999999999</v>
      </c>
      <c r="D232" s="1854">
        <v>0.14399999999999999</v>
      </c>
      <c r="E232" s="1854">
        <v>0.14599999999999999</v>
      </c>
      <c r="F232" s="1855">
        <v>0.13800000000000001</v>
      </c>
    </row>
    <row r="233" spans="1:6" ht="14.25" thickBot="1">
      <c r="A233" s="1849" t="s">
        <v>1413</v>
      </c>
      <c r="B233" s="1853" t="s">
        <v>2162</v>
      </c>
      <c r="C233" s="1854">
        <v>0.14499999999999999</v>
      </c>
      <c r="D233" s="1854">
        <v>0.14299999999999999</v>
      </c>
      <c r="E233" s="1854">
        <v>0.14199999999999999</v>
      </c>
      <c r="F233" s="1862"/>
    </row>
    <row r="234" spans="1:6" ht="14.25" thickBot="1">
      <c r="A234" s="1849" t="s">
        <v>1413</v>
      </c>
      <c r="B234" s="1853" t="s">
        <v>2163</v>
      </c>
      <c r="C234" s="1854">
        <v>0.14000000000000001</v>
      </c>
      <c r="D234" s="1854">
        <v>0.14000000000000001</v>
      </c>
      <c r="E234" s="1854">
        <v>0.14399999999999999</v>
      </c>
      <c r="F234" s="1862"/>
    </row>
    <row r="235" spans="1:6" ht="14.25" thickBot="1">
      <c r="A235" s="1849" t="s">
        <v>1413</v>
      </c>
      <c r="B235" s="1853" t="s">
        <v>2164</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2165</v>
      </c>
      <c r="C237" s="1863"/>
      <c r="D237" s="1863"/>
      <c r="E237" s="1863"/>
      <c r="F237" s="1855">
        <v>0.05</v>
      </c>
    </row>
    <row r="238" spans="1:6" ht="24.75" thickBot="1">
      <c r="A238" s="1849" t="s">
        <v>1413</v>
      </c>
      <c r="B238" s="1853" t="s">
        <v>2166</v>
      </c>
      <c r="C238" s="1863"/>
      <c r="D238" s="1863"/>
      <c r="E238" s="1863"/>
      <c r="F238" s="1855">
        <v>0.05</v>
      </c>
    </row>
    <row r="239" spans="1:6" ht="24.75" thickBot="1">
      <c r="A239" s="1849" t="s">
        <v>1413</v>
      </c>
      <c r="B239" s="1853" t="s">
        <v>2167</v>
      </c>
      <c r="C239" s="1863"/>
      <c r="D239" s="1863"/>
      <c r="E239" s="1863"/>
      <c r="F239" s="1855">
        <v>0.05</v>
      </c>
    </row>
    <row r="240" spans="1:6" ht="24.75" thickBot="1">
      <c r="A240" s="1849" t="s">
        <v>1413</v>
      </c>
      <c r="B240" s="1853" t="s">
        <v>2168</v>
      </c>
      <c r="C240" s="1863"/>
      <c r="D240" s="1863"/>
      <c r="E240" s="1863"/>
      <c r="F240" s="1855">
        <v>0.05</v>
      </c>
    </row>
    <row r="241" spans="1:6" ht="24.75" thickBot="1">
      <c r="A241" s="1849" t="s">
        <v>1413</v>
      </c>
      <c r="B241" s="1853" t="s">
        <v>2169</v>
      </c>
      <c r="C241" s="1863"/>
      <c r="D241" s="1863"/>
      <c r="E241" s="1863"/>
      <c r="F241" s="1855">
        <v>0.05</v>
      </c>
    </row>
    <row r="242" spans="1:6" ht="24.75" thickBot="1">
      <c r="A242" s="1849" t="s">
        <v>1413</v>
      </c>
      <c r="B242" s="1853" t="s">
        <v>2170</v>
      </c>
      <c r="C242" s="1863"/>
      <c r="D242" s="1863"/>
      <c r="E242" s="1863"/>
      <c r="F242" s="1855">
        <v>0.05</v>
      </c>
    </row>
    <row r="243" spans="1:6" ht="24.75" thickBot="1">
      <c r="A243" s="1849" t="s">
        <v>1413</v>
      </c>
      <c r="B243" s="1853" t="s">
        <v>2171</v>
      </c>
      <c r="C243" s="1863"/>
      <c r="D243" s="1863"/>
      <c r="E243" s="1863"/>
      <c r="F243" s="1855">
        <v>0.05</v>
      </c>
    </row>
    <row r="244" spans="1:6" ht="24.75" thickBot="1">
      <c r="A244" s="1857" t="s">
        <v>1413</v>
      </c>
      <c r="B244" s="1864" t="s">
        <v>2172</v>
      </c>
      <c r="C244" s="1860"/>
      <c r="D244" s="1860"/>
      <c r="E244" s="1860"/>
      <c r="F244" s="1865">
        <v>0.05</v>
      </c>
    </row>
    <row r="245" spans="1:6" ht="14.25" thickBot="1">
      <c r="A245" s="1849" t="s">
        <v>1415</v>
      </c>
      <c r="B245" s="1850" t="s">
        <v>2173</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2174</v>
      </c>
      <c r="C247" s="1854">
        <v>0.15</v>
      </c>
      <c r="D247" s="1854">
        <v>0.15</v>
      </c>
      <c r="E247" s="1854">
        <v>0.15</v>
      </c>
      <c r="F247" s="1855">
        <v>0.15</v>
      </c>
    </row>
    <row r="248" spans="1:6" ht="14.25" thickBot="1">
      <c r="A248" s="1849" t="s">
        <v>1415</v>
      </c>
      <c r="B248" s="1853" t="s">
        <v>2175</v>
      </c>
      <c r="C248" s="1854">
        <v>0.15</v>
      </c>
      <c r="D248" s="1854">
        <v>0.15</v>
      </c>
      <c r="E248" s="1854">
        <v>0.15</v>
      </c>
      <c r="F248" s="1855">
        <v>0.14000000000000001</v>
      </c>
    </row>
    <row r="249" spans="1:6" ht="14.25" thickBot="1">
      <c r="A249" s="1849" t="s">
        <v>1415</v>
      </c>
      <c r="B249" s="1853" t="s">
        <v>2176</v>
      </c>
      <c r="C249" s="1854">
        <v>0.15</v>
      </c>
      <c r="D249" s="1854">
        <v>0.14899999999999999</v>
      </c>
      <c r="E249" s="1854">
        <v>0.15</v>
      </c>
      <c r="F249" s="1855">
        <v>0.1</v>
      </c>
    </row>
    <row r="250" spans="1:6" ht="14.25" thickBot="1">
      <c r="A250" s="1849" t="s">
        <v>1415</v>
      </c>
      <c r="B250" s="1853" t="s">
        <v>2177</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2178</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2179</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2180</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2181</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2182</v>
      </c>
      <c r="C273" s="1854">
        <v>0.14199999999999999</v>
      </c>
      <c r="D273" s="1854">
        <v>0.14299999999999999</v>
      </c>
      <c r="E273" s="1854">
        <v>0.15</v>
      </c>
      <c r="F273" s="1855">
        <v>0.1</v>
      </c>
    </row>
    <row r="274" spans="1:6" ht="14.25" thickBot="1">
      <c r="A274" s="1849" t="s">
        <v>1415</v>
      </c>
      <c r="B274" s="1853" t="s">
        <v>2183</v>
      </c>
      <c r="C274" s="1854">
        <v>0.14799999999999999</v>
      </c>
      <c r="D274" s="1854">
        <v>0.14799999999999999</v>
      </c>
      <c r="E274" s="1854">
        <v>0.15</v>
      </c>
      <c r="F274" s="1855">
        <v>6.7000000000000004E-2</v>
      </c>
    </row>
    <row r="275" spans="1:6" ht="14.25" thickBot="1">
      <c r="A275" s="1849" t="s">
        <v>1415</v>
      </c>
      <c r="B275" s="1853" t="s">
        <v>2184</v>
      </c>
      <c r="C275" s="1854">
        <v>0.15</v>
      </c>
      <c r="D275" s="1854">
        <v>0.15</v>
      </c>
      <c r="E275" s="1854">
        <v>0.15</v>
      </c>
      <c r="F275" s="1855">
        <v>0.15</v>
      </c>
    </row>
    <row r="276" spans="1:6" ht="14.25" thickBot="1">
      <c r="A276" s="1849" t="s">
        <v>1415</v>
      </c>
      <c r="B276" s="1853" t="s">
        <v>2185</v>
      </c>
      <c r="C276" s="1854">
        <v>0.14499999999999999</v>
      </c>
      <c r="D276" s="1854">
        <v>0.14299999999999999</v>
      </c>
      <c r="E276" s="1854">
        <v>0.15</v>
      </c>
      <c r="F276" s="1855">
        <v>5.8999999999999997E-2</v>
      </c>
    </row>
    <row r="277" spans="1:6" ht="14.25" thickBot="1">
      <c r="A277" s="1849" t="s">
        <v>1415</v>
      </c>
      <c r="B277" s="1853" t="s">
        <v>2186</v>
      </c>
      <c r="C277" s="1854">
        <v>0.15</v>
      </c>
      <c r="D277" s="1854">
        <v>0.15</v>
      </c>
      <c r="E277" s="1854">
        <v>0.15</v>
      </c>
      <c r="F277" s="1855">
        <v>0.121</v>
      </c>
    </row>
    <row r="278" spans="1:6" ht="14.25" thickBot="1">
      <c r="A278" s="1849" t="s">
        <v>1415</v>
      </c>
      <c r="B278" s="1853" t="s">
        <v>2187</v>
      </c>
      <c r="C278" s="1854">
        <v>0.15</v>
      </c>
      <c r="D278" s="1854">
        <v>0.15</v>
      </c>
      <c r="E278" s="1854">
        <v>0.15</v>
      </c>
      <c r="F278" s="1855">
        <v>0.13800000000000001</v>
      </c>
    </row>
    <row r="279" spans="1:6" ht="24.75" thickBot="1">
      <c r="A279" s="1849" t="s">
        <v>1415</v>
      </c>
      <c r="B279" s="1853" t="s">
        <v>2188</v>
      </c>
      <c r="C279" s="1863"/>
      <c r="D279" s="1863"/>
      <c r="E279" s="1863"/>
      <c r="F279" s="1855">
        <v>0.05</v>
      </c>
    </row>
    <row r="280" spans="1:6" ht="24.75" thickBot="1">
      <c r="A280" s="1849" t="s">
        <v>1415</v>
      </c>
      <c r="B280" s="1853" t="s">
        <v>2189</v>
      </c>
      <c r="C280" s="1863"/>
      <c r="D280" s="1863"/>
      <c r="E280" s="1863"/>
      <c r="F280" s="1855">
        <v>0.05</v>
      </c>
    </row>
    <row r="281" spans="1:6" ht="24.75" thickBot="1">
      <c r="A281" s="1849" t="s">
        <v>1415</v>
      </c>
      <c r="B281" s="1853" t="s">
        <v>2190</v>
      </c>
      <c r="C281" s="1863"/>
      <c r="D281" s="1863"/>
      <c r="E281" s="1863"/>
      <c r="F281" s="1855">
        <v>0.05</v>
      </c>
    </row>
    <row r="282" spans="1:6" ht="24.75" thickBot="1">
      <c r="A282" s="1849" t="s">
        <v>1415</v>
      </c>
      <c r="B282" s="1853" t="s">
        <v>2191</v>
      </c>
      <c r="C282" s="1863"/>
      <c r="D282" s="1863"/>
      <c r="E282" s="1863"/>
      <c r="F282" s="1855">
        <v>0.05</v>
      </c>
    </row>
    <row r="283" spans="1:6" ht="24.75" thickBot="1">
      <c r="A283" s="1849" t="s">
        <v>1415</v>
      </c>
      <c r="B283" s="1853" t="s">
        <v>2192</v>
      </c>
      <c r="C283" s="1863"/>
      <c r="D283" s="1863"/>
      <c r="E283" s="1863"/>
      <c r="F283" s="1855">
        <v>0.05</v>
      </c>
    </row>
    <row r="284" spans="1:6" ht="24.75" thickBot="1">
      <c r="A284" s="1849" t="s">
        <v>1415</v>
      </c>
      <c r="B284" s="1853" t="s">
        <v>2193</v>
      </c>
      <c r="C284" s="1863"/>
      <c r="D284" s="1863"/>
      <c r="E284" s="1863"/>
      <c r="F284" s="1855">
        <v>0.05</v>
      </c>
    </row>
    <row r="285" spans="1:6" ht="24.75" thickBot="1">
      <c r="A285" s="1849" t="s">
        <v>1415</v>
      </c>
      <c r="B285" s="1853" t="s">
        <v>2194</v>
      </c>
      <c r="C285" s="1863"/>
      <c r="D285" s="1863"/>
      <c r="E285" s="1863"/>
      <c r="F285" s="1855">
        <v>0.05</v>
      </c>
    </row>
    <row r="286" spans="1:6" ht="24.75" thickBot="1">
      <c r="A286" s="1849" t="s">
        <v>1415</v>
      </c>
      <c r="B286" s="1853" t="s">
        <v>2195</v>
      </c>
      <c r="C286" s="1863"/>
      <c r="D286" s="1863"/>
      <c r="E286" s="1863"/>
      <c r="F286" s="1855">
        <v>0.05</v>
      </c>
    </row>
    <row r="287" spans="1:6" ht="24.75" thickBot="1">
      <c r="A287" s="1849" t="s">
        <v>1415</v>
      </c>
      <c r="B287" s="1853" t="s">
        <v>2196</v>
      </c>
      <c r="C287" s="1863"/>
      <c r="D287" s="1863"/>
      <c r="E287" s="1863"/>
      <c r="F287" s="1855">
        <v>0.05</v>
      </c>
    </row>
    <row r="288" spans="1:6" ht="24.75" thickBot="1">
      <c r="A288" s="1849" t="s">
        <v>1415</v>
      </c>
      <c r="B288" s="1853" t="s">
        <v>2197</v>
      </c>
      <c r="C288" s="1863"/>
      <c r="D288" s="1863"/>
      <c r="E288" s="1863"/>
      <c r="F288" s="1855">
        <v>0.05</v>
      </c>
    </row>
    <row r="289" spans="1:6" ht="24.75" thickBot="1">
      <c r="A289" s="1857" t="s">
        <v>1415</v>
      </c>
      <c r="B289" s="1864" t="s">
        <v>2198</v>
      </c>
      <c r="C289" s="1860"/>
      <c r="D289" s="1860"/>
      <c r="E289" s="1860"/>
      <c r="F289" s="1865">
        <v>0.05</v>
      </c>
    </row>
    <row r="290" spans="1:6" ht="14.25" thickBot="1">
      <c r="A290" s="1849" t="s">
        <v>1419</v>
      </c>
      <c r="B290" s="1850" t="s">
        <v>2199</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2200</v>
      </c>
      <c r="C292" s="1854">
        <v>0.15</v>
      </c>
      <c r="D292" s="1854">
        <v>0.15</v>
      </c>
      <c r="E292" s="1854">
        <v>0.15</v>
      </c>
      <c r="F292" s="1855">
        <v>0.14699999999999999</v>
      </c>
    </row>
    <row r="293" spans="1:6" ht="14.25" thickBot="1">
      <c r="A293" s="1849" t="s">
        <v>1419</v>
      </c>
      <c r="B293" s="1853" t="s">
        <v>2201</v>
      </c>
      <c r="C293" s="1863"/>
      <c r="D293" s="1863"/>
      <c r="E293" s="1863"/>
      <c r="F293" s="1855">
        <v>0.1</v>
      </c>
    </row>
    <row r="294" spans="1:6" ht="14.25" thickBot="1">
      <c r="A294" s="1849" t="s">
        <v>1419</v>
      </c>
      <c r="B294" s="1853" t="s">
        <v>2202</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2203</v>
      </c>
      <c r="C296" s="1854">
        <v>0.15</v>
      </c>
      <c r="D296" s="1854">
        <v>0.15</v>
      </c>
      <c r="E296" s="1854">
        <v>0.15</v>
      </c>
      <c r="F296" s="1855">
        <v>0.15</v>
      </c>
    </row>
    <row r="297" spans="1:6" ht="14.25" thickBot="1">
      <c r="A297" s="1849" t="s">
        <v>1419</v>
      </c>
      <c r="B297" s="1853" t="s">
        <v>2204</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2205</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2206</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2207</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2208</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2209</v>
      </c>
      <c r="C310" s="1854">
        <v>0.15</v>
      </c>
      <c r="D310" s="1854">
        <v>0.15</v>
      </c>
      <c r="E310" s="1854">
        <v>0.15</v>
      </c>
      <c r="F310" s="1855">
        <v>0.13700000000000001</v>
      </c>
    </row>
    <row r="311" spans="1:6" ht="14.25" thickBot="1">
      <c r="A311" s="1849" t="s">
        <v>1419</v>
      </c>
      <c r="B311" s="1853" t="s">
        <v>2210</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2211</v>
      </c>
      <c r="C313" s="1854">
        <v>0.15</v>
      </c>
      <c r="D313" s="1854">
        <v>0.15</v>
      </c>
      <c r="E313" s="1854">
        <v>0.15</v>
      </c>
      <c r="F313" s="1855">
        <v>0.15</v>
      </c>
    </row>
    <row r="314" spans="1:6" ht="24.75" thickBot="1">
      <c r="A314" s="1849" t="s">
        <v>1419</v>
      </c>
      <c r="B314" s="1853" t="s">
        <v>2212</v>
      </c>
      <c r="C314" s="1863"/>
      <c r="D314" s="1863"/>
      <c r="E314" s="1863"/>
      <c r="F314" s="1855">
        <v>0.05</v>
      </c>
    </row>
    <row r="315" spans="1:6" ht="24.75" thickBot="1">
      <c r="A315" s="1849" t="s">
        <v>1419</v>
      </c>
      <c r="B315" s="1853" t="s">
        <v>2213</v>
      </c>
      <c r="C315" s="1863"/>
      <c r="D315" s="1863"/>
      <c r="E315" s="1863"/>
      <c r="F315" s="1855">
        <v>0.05</v>
      </c>
    </row>
    <row r="316" spans="1:6" ht="24.75" thickBot="1">
      <c r="A316" s="1857" t="s">
        <v>1419</v>
      </c>
      <c r="B316" s="1864" t="s">
        <v>2214</v>
      </c>
      <c r="C316" s="1860"/>
      <c r="D316" s="1860"/>
      <c r="E316" s="1860"/>
      <c r="F316" s="1865">
        <v>0.05</v>
      </c>
    </row>
    <row r="317" spans="1:6" ht="14.25" thickBot="1">
      <c r="A317" s="1849" t="s">
        <v>2215</v>
      </c>
      <c r="B317" s="1850" t="s">
        <v>2216</v>
      </c>
      <c r="C317" s="1851">
        <v>0.15</v>
      </c>
      <c r="D317" s="1851">
        <v>0.15</v>
      </c>
      <c r="E317" s="1851">
        <v>0.15</v>
      </c>
      <c r="F317" s="1852">
        <v>0.15</v>
      </c>
    </row>
    <row r="318" spans="1:6" ht="14.25" thickBot="1">
      <c r="A318" s="1849" t="s">
        <v>2215</v>
      </c>
      <c r="B318" s="1853" t="s">
        <v>2217</v>
      </c>
      <c r="C318" s="1854">
        <v>0.107</v>
      </c>
      <c r="D318" s="1854">
        <v>0.11</v>
      </c>
      <c r="E318" s="1854">
        <v>0.112</v>
      </c>
      <c r="F318" s="1862"/>
    </row>
    <row r="319" spans="1:6" ht="14.25" thickBot="1">
      <c r="A319" s="1849" t="s">
        <v>2215</v>
      </c>
      <c r="B319" s="1853" t="s">
        <v>2218</v>
      </c>
      <c r="C319" s="1854">
        <v>0.15</v>
      </c>
      <c r="D319" s="1854">
        <v>0.15</v>
      </c>
      <c r="E319" s="1854">
        <v>0.15</v>
      </c>
      <c r="F319" s="1855">
        <v>0.15</v>
      </c>
    </row>
    <row r="320" spans="1:6" ht="14.25" thickBot="1">
      <c r="A320" s="1849" t="s">
        <v>2215</v>
      </c>
      <c r="B320" s="1853" t="s">
        <v>1107</v>
      </c>
      <c r="C320" s="1854">
        <v>0.15</v>
      </c>
      <c r="D320" s="1854">
        <v>0.15</v>
      </c>
      <c r="E320" s="1854">
        <v>0.15</v>
      </c>
      <c r="F320" s="1862"/>
    </row>
    <row r="321" spans="1:6" ht="14.25" thickBot="1">
      <c r="A321" s="1849" t="s">
        <v>2215</v>
      </c>
      <c r="B321" s="1853" t="s">
        <v>2219</v>
      </c>
      <c r="C321" s="1854">
        <v>0.15</v>
      </c>
      <c r="D321" s="1854">
        <v>0.15</v>
      </c>
      <c r="E321" s="1854">
        <v>0.15</v>
      </c>
      <c r="F321" s="1862"/>
    </row>
    <row r="322" spans="1:6" ht="14.25" thickBot="1">
      <c r="A322" s="1849" t="s">
        <v>2215</v>
      </c>
      <c r="B322" s="1853" t="s">
        <v>2220</v>
      </c>
      <c r="C322" s="1854">
        <v>0.15</v>
      </c>
      <c r="D322" s="1854">
        <v>0.15</v>
      </c>
      <c r="E322" s="1854">
        <v>0.15</v>
      </c>
      <c r="F322" s="1855">
        <v>0.15</v>
      </c>
    </row>
    <row r="323" spans="1:6" ht="14.25" thickBot="1">
      <c r="A323" s="1849" t="s">
        <v>2215</v>
      </c>
      <c r="B323" s="1853" t="s">
        <v>2221</v>
      </c>
      <c r="C323" s="1854">
        <v>0.15</v>
      </c>
      <c r="D323" s="1854">
        <v>0.15</v>
      </c>
      <c r="E323" s="1854">
        <v>0.15</v>
      </c>
      <c r="F323" s="1862"/>
    </row>
    <row r="324" spans="1:6" ht="14.25" thickBot="1">
      <c r="A324" s="1849" t="s">
        <v>2215</v>
      </c>
      <c r="B324" s="1853" t="s">
        <v>2222</v>
      </c>
      <c r="C324" s="1854">
        <v>0.15</v>
      </c>
      <c r="D324" s="1854">
        <v>0.15</v>
      </c>
      <c r="E324" s="1854">
        <v>0.15</v>
      </c>
      <c r="F324" s="1862"/>
    </row>
    <row r="325" spans="1:6" ht="14.25" thickBot="1">
      <c r="A325" s="1849" t="s">
        <v>2215</v>
      </c>
      <c r="B325" s="1853" t="s">
        <v>2223</v>
      </c>
      <c r="C325" s="1854">
        <v>0.15</v>
      </c>
      <c r="D325" s="1854">
        <v>0.15</v>
      </c>
      <c r="E325" s="1854">
        <v>0.15</v>
      </c>
      <c r="F325" s="1855">
        <v>0.14699999999999999</v>
      </c>
    </row>
    <row r="326" spans="1:6" ht="14.25" thickBot="1">
      <c r="A326" s="1849" t="s">
        <v>2215</v>
      </c>
      <c r="B326" s="1853" t="s">
        <v>1176</v>
      </c>
      <c r="C326" s="1854">
        <v>0.15</v>
      </c>
      <c r="D326" s="1854">
        <v>0.15</v>
      </c>
      <c r="E326" s="1854">
        <v>0.15</v>
      </c>
      <c r="F326" s="1862"/>
    </row>
    <row r="327" spans="1:6" ht="14.25" thickBot="1">
      <c r="A327" s="1849" t="s">
        <v>2215</v>
      </c>
      <c r="B327" s="1853" t="s">
        <v>2224</v>
      </c>
      <c r="C327" s="1854">
        <v>0.15</v>
      </c>
      <c r="D327" s="1854">
        <v>0.15</v>
      </c>
      <c r="E327" s="1854">
        <v>0.15</v>
      </c>
      <c r="F327" s="1855">
        <v>0.15</v>
      </c>
    </row>
    <row r="328" spans="1:6" ht="14.25" thickBot="1">
      <c r="A328" s="1849" t="s">
        <v>2215</v>
      </c>
      <c r="B328" s="1853" t="s">
        <v>1196</v>
      </c>
      <c r="C328" s="1854">
        <v>0.15</v>
      </c>
      <c r="D328" s="1854">
        <v>0.15</v>
      </c>
      <c r="E328" s="1854">
        <v>0.15</v>
      </c>
      <c r="F328" s="1855">
        <v>0.14099999999999999</v>
      </c>
    </row>
    <row r="329" spans="1:6" ht="14.25" thickBot="1">
      <c r="A329" s="1849" t="s">
        <v>2215</v>
      </c>
      <c r="B329" s="1853" t="s">
        <v>1206</v>
      </c>
      <c r="C329" s="1854">
        <v>0.15</v>
      </c>
      <c r="D329" s="1854">
        <v>0.15</v>
      </c>
      <c r="E329" s="1854">
        <v>0.15</v>
      </c>
      <c r="F329" s="1855">
        <v>0.15</v>
      </c>
    </row>
    <row r="330" spans="1:6" ht="14.25" thickBot="1">
      <c r="A330" s="1849" t="s">
        <v>2215</v>
      </c>
      <c r="B330" s="1853" t="s">
        <v>1216</v>
      </c>
      <c r="C330" s="1854">
        <v>0.15</v>
      </c>
      <c r="D330" s="1854">
        <v>0.15</v>
      </c>
      <c r="E330" s="1854">
        <v>0.15</v>
      </c>
      <c r="F330" s="1862"/>
    </row>
    <row r="331" spans="1:6" ht="14.25" thickBot="1">
      <c r="A331" s="1849" t="s">
        <v>2215</v>
      </c>
      <c r="B331" s="1853" t="s">
        <v>2225</v>
      </c>
      <c r="C331" s="1854">
        <v>0.15</v>
      </c>
      <c r="D331" s="1854">
        <v>0.15</v>
      </c>
      <c r="E331" s="1854">
        <v>0.15</v>
      </c>
      <c r="F331" s="1855">
        <v>0.15</v>
      </c>
    </row>
    <row r="332" spans="1:6" ht="14.25" thickBot="1">
      <c r="A332" s="1849" t="s">
        <v>2215</v>
      </c>
      <c r="B332" s="1853" t="s">
        <v>1236</v>
      </c>
      <c r="C332" s="1854">
        <v>0.15</v>
      </c>
      <c r="D332" s="1854">
        <v>0.15</v>
      </c>
      <c r="E332" s="1854">
        <v>0.15</v>
      </c>
      <c r="F332" s="1855">
        <v>0.15</v>
      </c>
    </row>
    <row r="333" spans="1:6" ht="14.25" thickBot="1">
      <c r="A333" s="1849" t="s">
        <v>2215</v>
      </c>
      <c r="B333" s="1853" t="s">
        <v>2226</v>
      </c>
      <c r="C333" s="1854">
        <v>0.15</v>
      </c>
      <c r="D333" s="1854">
        <v>0.15</v>
      </c>
      <c r="E333" s="1854">
        <v>0.15</v>
      </c>
      <c r="F333" s="1855">
        <v>0.14099999999999999</v>
      </c>
    </row>
    <row r="334" spans="1:6" ht="14.25" thickBot="1">
      <c r="A334" s="1849" t="s">
        <v>2215</v>
      </c>
      <c r="B334" s="1853" t="s">
        <v>1256</v>
      </c>
      <c r="C334" s="1854">
        <v>0.15</v>
      </c>
      <c r="D334" s="1854">
        <v>0.15</v>
      </c>
      <c r="E334" s="1854">
        <v>0.15</v>
      </c>
      <c r="F334" s="1855">
        <v>0.15</v>
      </c>
    </row>
    <row r="335" spans="1:6" ht="14.25" thickBot="1">
      <c r="A335" s="1849" t="s">
        <v>2215</v>
      </c>
      <c r="B335" s="1853" t="s">
        <v>1266</v>
      </c>
      <c r="C335" s="1854">
        <v>0.15</v>
      </c>
      <c r="D335" s="1854">
        <v>0.15</v>
      </c>
      <c r="E335" s="1854">
        <v>0.15</v>
      </c>
      <c r="F335" s="1862"/>
    </row>
    <row r="336" spans="1:6" ht="14.25" thickBot="1">
      <c r="A336" s="1849" t="s">
        <v>2215</v>
      </c>
      <c r="B336" s="1853" t="s">
        <v>2227</v>
      </c>
      <c r="C336" s="1854">
        <v>0.15</v>
      </c>
      <c r="D336" s="1854">
        <v>0.15</v>
      </c>
      <c r="E336" s="1854">
        <v>0.15</v>
      </c>
      <c r="F336" s="1855">
        <v>0.11799999999999999</v>
      </c>
    </row>
    <row r="337" spans="1:6" ht="14.25" thickBot="1">
      <c r="A337" s="1857" t="s">
        <v>2215</v>
      </c>
      <c r="B337" s="1864" t="s">
        <v>1284</v>
      </c>
      <c r="C337" s="1860"/>
      <c r="D337" s="1860"/>
      <c r="E337" s="1860"/>
      <c r="F337" s="1865">
        <v>0.14299999999999999</v>
      </c>
    </row>
    <row r="338" spans="1:6" ht="14.25" thickBot="1">
      <c r="A338" s="1849" t="s">
        <v>2228</v>
      </c>
      <c r="B338" s="1850" t="s">
        <v>2229</v>
      </c>
      <c r="C338" s="1851">
        <v>0.15</v>
      </c>
      <c r="D338" s="1851">
        <v>0.15</v>
      </c>
      <c r="E338" s="1851">
        <v>0.15</v>
      </c>
      <c r="F338" s="1873"/>
    </row>
    <row r="339" spans="1:6" ht="14.25" thickBot="1">
      <c r="A339" s="1849" t="s">
        <v>2228</v>
      </c>
      <c r="B339" s="1853" t="s">
        <v>2230</v>
      </c>
      <c r="C339" s="1854">
        <v>0.15</v>
      </c>
      <c r="D339" s="1854">
        <v>0.15</v>
      </c>
      <c r="E339" s="1854">
        <v>0.15</v>
      </c>
      <c r="F339" s="1862"/>
    </row>
    <row r="340" spans="1:6" ht="14.25" thickBot="1">
      <c r="A340" s="1849" t="s">
        <v>2228</v>
      </c>
      <c r="B340" s="1853" t="s">
        <v>2231</v>
      </c>
      <c r="C340" s="1854">
        <v>0.15</v>
      </c>
      <c r="D340" s="1854">
        <v>0.15</v>
      </c>
      <c r="E340" s="1854">
        <v>0.15</v>
      </c>
      <c r="F340" s="1862"/>
    </row>
    <row r="341" spans="1:6" ht="14.25" thickBot="1">
      <c r="A341" s="1849" t="s">
        <v>2232</v>
      </c>
      <c r="B341" s="1853" t="s">
        <v>2233</v>
      </c>
      <c r="C341" s="1854">
        <v>0.15</v>
      </c>
      <c r="D341" s="1854">
        <v>0.15</v>
      </c>
      <c r="E341" s="1854">
        <v>0.15</v>
      </c>
      <c r="F341" s="1855">
        <v>0.15</v>
      </c>
    </row>
    <row r="342" spans="1:6" ht="14.25" thickBot="1">
      <c r="A342" s="1849" t="s">
        <v>2228</v>
      </c>
      <c r="B342" s="1853" t="s">
        <v>2234</v>
      </c>
      <c r="C342" s="1854">
        <v>0.15</v>
      </c>
      <c r="D342" s="1854">
        <v>0.15</v>
      </c>
      <c r="E342" s="1854">
        <v>0.15</v>
      </c>
      <c r="F342" s="1855">
        <v>0.15</v>
      </c>
    </row>
    <row r="343" spans="1:6" ht="14.25" thickBot="1">
      <c r="A343" s="1849" t="s">
        <v>2228</v>
      </c>
      <c r="B343" s="1853" t="s">
        <v>2235</v>
      </c>
      <c r="C343" s="1854">
        <v>0.15</v>
      </c>
      <c r="D343" s="1854">
        <v>0.15</v>
      </c>
      <c r="E343" s="1854">
        <v>0.15</v>
      </c>
      <c r="F343" s="1855">
        <v>0.15</v>
      </c>
    </row>
    <row r="344" spans="1:6" ht="14.25" thickBot="1">
      <c r="A344" s="1857" t="s">
        <v>2228</v>
      </c>
      <c r="B344" s="1864" t="s">
        <v>2236</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2939</v>
      </c>
      <c r="B1" s="3128"/>
      <c r="C1" s="3128"/>
      <c r="D1" s="3128"/>
      <c r="E1" s="3128"/>
      <c r="F1" s="3128"/>
    </row>
    <row r="2" spans="1:6" ht="14.25">
      <c r="A2" s="3129" t="s">
        <v>2933</v>
      </c>
      <c r="B2" s="3130" t="e">
        <f ca="1">SUMIF(B7:B14,"&lt;&gt;#ref!",B7:B14)</f>
        <v>#DIV/0!</v>
      </c>
      <c r="C2" s="3129" t="s">
        <v>2934</v>
      </c>
      <c r="D2" s="3128"/>
      <c r="E2" s="3128"/>
      <c r="F2" s="3128"/>
    </row>
    <row r="3" spans="1:6" ht="14.25">
      <c r="A3" s="3129" t="s">
        <v>2936</v>
      </c>
      <c r="B3" s="3130" t="e">
        <f ca="1">ROUND(B2*10000/E3,0)</f>
        <v>#DIV/0!</v>
      </c>
      <c r="C3" s="3129" t="s">
        <v>2077</v>
      </c>
      <c r="D3" s="3129" t="s">
        <v>2935</v>
      </c>
      <c r="E3" s="3130" t="e">
        <f ca="1">SUM(E7:E14)</f>
        <v>#REF!</v>
      </c>
      <c r="F3" s="3128"/>
    </row>
    <row r="4" spans="1:6" ht="14.25">
      <c r="A4" s="3129" t="s">
        <v>2943</v>
      </c>
      <c r="B4" s="3130" t="e">
        <f ca="1">ROUND(B2*10000/E4,0)</f>
        <v>#DIV/0!</v>
      </c>
      <c r="C4" s="3129" t="s">
        <v>2077</v>
      </c>
      <c r="D4" s="3129" t="s">
        <v>2944</v>
      </c>
      <c r="E4" s="3130" t="e">
        <f ca="1">SUM(F7:F14)</f>
        <v>#REF!</v>
      </c>
      <c r="F4" s="3128"/>
    </row>
    <row r="5" spans="1:6" ht="14.25">
      <c r="A5" s="3131"/>
      <c r="B5" s="1875"/>
      <c r="C5" s="1875"/>
      <c r="D5" s="1875"/>
      <c r="E5" s="1875"/>
      <c r="F5" s="3128"/>
    </row>
    <row r="6" spans="1:6" ht="28.5">
      <c r="A6" s="3132" t="s">
        <v>2940</v>
      </c>
      <c r="B6" s="3129" t="s">
        <v>2937</v>
      </c>
      <c r="C6" s="3130"/>
      <c r="D6" s="1875"/>
      <c r="E6" s="3129" t="s">
        <v>2938</v>
      </c>
      <c r="F6" s="3129" t="s">
        <v>2942</v>
      </c>
    </row>
    <row r="7" spans="1:6" ht="14.25">
      <c r="A7" s="258" t="s">
        <v>2941</v>
      </c>
      <c r="B7" s="3133" t="e">
        <f ca="1">SUMIF(INDIRECT("'"&amp;A7&amp;"'"&amp;"!A:A"),"总价",INDIRECT("'"&amp;A7&amp;"'"&amp;"!B:B"))</f>
        <v>#DIV/0!</v>
      </c>
      <c r="C7" s="3129" t="s">
        <v>2934</v>
      </c>
      <c r="D7" s="1875"/>
      <c r="E7" s="3134">
        <f ca="1">SUMIF(INDIRECT("'"&amp;A7&amp;"'"&amp;"!C:C"),"建筑面积",INDIRECT("'"&amp;A7&amp;"'"&amp;"!D:D"))</f>
        <v>0</v>
      </c>
      <c r="F7" s="3134">
        <f ca="1">SUMIF(INDIRECT("'"&amp;A7&amp;"'"&amp;"!E:E"),"土地面积",INDIRECT("'"&amp;A7&amp;"'"&amp;"!F:F"))</f>
        <v>0</v>
      </c>
    </row>
    <row r="8" spans="1:6" ht="14.25">
      <c r="A8" s="258"/>
      <c r="B8" s="3133" t="e">
        <f t="shared" ref="B8:B14" ca="1" si="0">SUMIF(INDIRECT("'"&amp;A8&amp;"'"&amp;"!A:A"),"总价",INDIRECT("'"&amp;A8&amp;"'"&amp;"!B:B"))</f>
        <v>#REF!</v>
      </c>
      <c r="C8" s="3129" t="s">
        <v>2934</v>
      </c>
      <c r="D8" s="1875"/>
      <c r="E8" s="3134" t="e">
        <f t="shared" ref="E8:E14" ca="1" si="1">SUMIF(INDIRECT("'"&amp;A8&amp;"'"&amp;"!C:C"),"建筑面积",INDIRECT("'"&amp;A8&amp;"'"&amp;"!D:D"))</f>
        <v>#REF!</v>
      </c>
      <c r="F8" s="3134" t="e">
        <f t="shared" ref="F8:F14" ca="1" si="2">SUMIF(INDIRECT("'"&amp;A8&amp;"'"&amp;"!E:E"),"土地面积",INDIRECT("'"&amp;A8&amp;"'"&amp;"!F:F"))</f>
        <v>#REF!</v>
      </c>
    </row>
    <row r="9" spans="1:6" ht="14.25">
      <c r="A9" s="258"/>
      <c r="B9" s="3133" t="e">
        <f t="shared" ca="1" si="0"/>
        <v>#REF!</v>
      </c>
      <c r="C9" s="3129" t="s">
        <v>2934</v>
      </c>
      <c r="D9" s="1875"/>
      <c r="E9" s="3134" t="e">
        <f t="shared" ca="1" si="1"/>
        <v>#REF!</v>
      </c>
      <c r="F9" s="3134" t="e">
        <f t="shared" ca="1" si="2"/>
        <v>#REF!</v>
      </c>
    </row>
    <row r="10" spans="1:6" ht="14.25">
      <c r="A10" s="258"/>
      <c r="B10" s="3133" t="e">
        <f t="shared" ca="1" si="0"/>
        <v>#REF!</v>
      </c>
      <c r="C10" s="3129" t="s">
        <v>2934</v>
      </c>
      <c r="D10" s="1875"/>
      <c r="E10" s="3134" t="e">
        <f t="shared" ca="1" si="1"/>
        <v>#REF!</v>
      </c>
      <c r="F10" s="3134" t="e">
        <f t="shared" ca="1" si="2"/>
        <v>#REF!</v>
      </c>
    </row>
    <row r="11" spans="1:6" ht="14.25">
      <c r="A11" s="258"/>
      <c r="B11" s="3133" t="e">
        <f t="shared" ca="1" si="0"/>
        <v>#REF!</v>
      </c>
      <c r="C11" s="3129" t="s">
        <v>2934</v>
      </c>
      <c r="D11" s="1875"/>
      <c r="E11" s="3134" t="e">
        <f t="shared" ca="1" si="1"/>
        <v>#REF!</v>
      </c>
      <c r="F11" s="3134" t="e">
        <f t="shared" ca="1" si="2"/>
        <v>#REF!</v>
      </c>
    </row>
    <row r="12" spans="1:6" ht="14.25">
      <c r="A12" s="258"/>
      <c r="B12" s="3133" t="e">
        <f t="shared" ca="1" si="0"/>
        <v>#REF!</v>
      </c>
      <c r="C12" s="3129" t="s">
        <v>2934</v>
      </c>
      <c r="D12" s="1875"/>
      <c r="E12" s="3134" t="e">
        <f t="shared" ca="1" si="1"/>
        <v>#REF!</v>
      </c>
      <c r="F12" s="3134" t="e">
        <f t="shared" ca="1" si="2"/>
        <v>#REF!</v>
      </c>
    </row>
    <row r="13" spans="1:6" ht="14.25">
      <c r="A13" s="258"/>
      <c r="B13" s="3133" t="e">
        <f t="shared" ca="1" si="0"/>
        <v>#REF!</v>
      </c>
      <c r="C13" s="3129" t="s">
        <v>2934</v>
      </c>
      <c r="D13" s="1875"/>
      <c r="E13" s="3134" t="e">
        <f t="shared" ca="1" si="1"/>
        <v>#REF!</v>
      </c>
      <c r="F13" s="3134" t="e">
        <f t="shared" ca="1" si="2"/>
        <v>#REF!</v>
      </c>
    </row>
    <row r="14" spans="1:6" ht="14.25">
      <c r="A14" s="3127"/>
      <c r="B14" s="3133" t="e">
        <f t="shared" ca="1" si="0"/>
        <v>#REF!</v>
      </c>
      <c r="C14" s="3129" t="s">
        <v>2934</v>
      </c>
      <c r="D14" s="1875"/>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6" sqref="A6:F46"/>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627</v>
      </c>
      <c r="B1" s="734"/>
      <c r="C1" s="769"/>
      <c r="D1" s="2044"/>
      <c r="E1" s="2405" t="s">
        <v>2371</v>
      </c>
      <c r="F1" s="2406">
        <f ca="1">J54</f>
        <v>0</v>
      </c>
      <c r="G1" s="770">
        <f>MATCH(C1,'数据-取费表'!A6:A16,0)+5</f>
        <v>10</v>
      </c>
      <c r="H1" s="1345"/>
      <c r="I1" s="2045"/>
      <c r="J1" s="2045"/>
      <c r="K1" s="2046"/>
      <c r="L1" s="2045"/>
      <c r="M1" s="2045"/>
      <c r="N1" s="2047"/>
      <c r="O1" s="2047"/>
      <c r="P1" s="2047"/>
      <c r="Q1" s="2047"/>
      <c r="R1" s="2047"/>
      <c r="S1" s="2047"/>
      <c r="T1" s="2047"/>
      <c r="U1" s="2047"/>
      <c r="V1" s="2047"/>
      <c r="W1" s="2047"/>
      <c r="X1" s="2047"/>
      <c r="Y1" s="2047"/>
    </row>
    <row r="2" spans="1:25" ht="18" customHeight="1">
      <c r="A2" s="1638" t="s">
        <v>628</v>
      </c>
      <c r="B2" s="771">
        <f ca="1">IF(ISERROR(C45+J31),0,C45+J31)</f>
        <v>0</v>
      </c>
      <c r="C2" s="1346"/>
      <c r="D2" s="2049"/>
      <c r="E2" s="2050"/>
      <c r="F2" s="2050"/>
      <c r="G2" s="1585"/>
      <c r="H2" s="1358"/>
      <c r="I2" s="2051"/>
      <c r="J2" s="2051"/>
      <c r="K2" s="2052"/>
      <c r="L2" s="2051"/>
      <c r="M2" s="2051"/>
    </row>
    <row r="3" spans="1:25" ht="18" customHeight="1">
      <c r="A3" s="1639" t="s">
        <v>1686</v>
      </c>
      <c r="B3" s="1386">
        <f ca="1">ROUND(B2*10000/'数据-汇总表'!E3,0)</f>
        <v>0</v>
      </c>
      <c r="C3" s="1346"/>
      <c r="D3" s="2049"/>
      <c r="E3" s="2050"/>
      <c r="F3" s="2050"/>
      <c r="G3" s="1585"/>
      <c r="H3" s="772" t="s">
        <v>694</v>
      </c>
      <c r="I3" s="2051"/>
      <c r="J3" s="2051"/>
      <c r="K3" s="2052"/>
      <c r="L3" s="2051"/>
      <c r="M3" s="2051"/>
    </row>
    <row r="4" spans="1:25" ht="18" customHeight="1">
      <c r="A4" s="1640" t="s">
        <v>695</v>
      </c>
      <c r="B4" s="1347">
        <f ca="1">ROUND(B2*10000/'数据-汇总表'!D3,0)</f>
        <v>0</v>
      </c>
      <c r="C4" s="424"/>
      <c r="D4" s="2049"/>
      <c r="E4" s="2050"/>
      <c r="F4" s="2050"/>
      <c r="G4" s="1585"/>
      <c r="H4" s="772"/>
      <c r="I4" s="2051"/>
      <c r="J4" s="2051"/>
      <c r="K4" s="2052"/>
      <c r="L4" s="2051"/>
      <c r="M4" s="2051"/>
    </row>
    <row r="5" spans="1:25" ht="18" customHeight="1" thickBot="1">
      <c r="A5" s="1641"/>
      <c r="B5" s="426">
        <f ca="1">ROUND(B2/('数据-汇总表'!D3/666.67),0)</f>
        <v>0</v>
      </c>
      <c r="C5" s="427" t="s">
        <v>696</v>
      </c>
      <c r="D5" s="2049"/>
      <c r="E5" s="2050"/>
      <c r="F5" s="2050"/>
      <c r="G5" s="1585"/>
      <c r="H5" s="772"/>
      <c r="I5" s="2051"/>
      <c r="J5" s="2051"/>
      <c r="K5" s="2052"/>
      <c r="L5" s="2051"/>
      <c r="M5" s="2051"/>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2455</v>
      </c>
      <c r="C7" s="53">
        <f ca="1">C8+C12+C14</f>
        <v>0</v>
      </c>
      <c r="D7" s="2514" t="s">
        <v>2458</v>
      </c>
      <c r="E7" s="2508"/>
      <c r="F7" s="2509"/>
      <c r="G7" s="1587"/>
      <c r="H7" s="777">
        <v>1</v>
      </c>
      <c r="I7" s="778" t="s">
        <v>2455</v>
      </c>
      <c r="J7" s="53">
        <f ca="1">J8+J12+J14</f>
        <v>0</v>
      </c>
      <c r="K7" s="2514" t="s">
        <v>2458</v>
      </c>
      <c r="L7" s="2508"/>
      <c r="M7" s="2509"/>
    </row>
    <row r="8" spans="1:25" ht="18" customHeight="1">
      <c r="A8" s="1825" t="s">
        <v>1824</v>
      </c>
      <c r="B8" s="3464" t="s">
        <v>2460</v>
      </c>
      <c r="C8" s="1820">
        <f ca="1">ROUND(F8*F10*F9*(1-F11)/10000,0)</f>
        <v>0</v>
      </c>
      <c r="D8" s="1817" t="s">
        <v>2532</v>
      </c>
      <c r="E8" s="61" t="s">
        <v>636</v>
      </c>
      <c r="F8" s="781">
        <f ca="1">INDIRECT("'数据-取费表'!u"&amp;$G$1)</f>
        <v>0</v>
      </c>
      <c r="G8" s="1587"/>
      <c r="H8" s="2522" t="s">
        <v>1824</v>
      </c>
      <c r="I8" s="3464" t="s">
        <v>2460</v>
      </c>
      <c r="J8" s="779">
        <f ca="1">ROUND(M8*M10*M9*(1-M11)/10000,0)</f>
        <v>0</v>
      </c>
      <c r="K8" s="337" t="s">
        <v>2532</v>
      </c>
      <c r="L8" s="780" t="s">
        <v>1738</v>
      </c>
      <c r="M8" s="781">
        <f ca="1">INDIRECT("'数据-取费表'!z"&amp;$G$1)</f>
        <v>0</v>
      </c>
    </row>
    <row r="9" spans="1:25" ht="18" customHeight="1">
      <c r="A9" s="2518"/>
      <c r="B9" s="3465"/>
      <c r="C9" s="1821"/>
      <c r="D9" s="1818"/>
      <c r="E9" s="61" t="s">
        <v>637</v>
      </c>
      <c r="F9" s="781">
        <f ca="1">IF(INDIRECT("'数据-取费表'!ah"&amp;$G$1)="",INDIRECT("'数据-取费表'!k"&amp;$G$1),INDIRECT("'数据-取费表'!ah"&amp;$G$1))</f>
        <v>0</v>
      </c>
      <c r="G9" s="1587"/>
      <c r="H9" s="2507"/>
      <c r="I9" s="3465"/>
      <c r="J9" s="784"/>
      <c r="K9" s="785"/>
      <c r="L9" s="780" t="s">
        <v>1739</v>
      </c>
      <c r="M9" s="781">
        <f ca="1">F9</f>
        <v>0</v>
      </c>
    </row>
    <row r="10" spans="1:25" ht="18" customHeight="1">
      <c r="A10" s="2511"/>
      <c r="B10" s="3466"/>
      <c r="C10" s="1821"/>
      <c r="D10" s="1818"/>
      <c r="E10" s="61" t="s">
        <v>638</v>
      </c>
      <c r="F10" s="781">
        <f ca="1">INDIRECT("'数据-取费表'!ai"&amp;$G$1)</f>
        <v>0</v>
      </c>
      <c r="G10" s="1587"/>
      <c r="H10" s="2507"/>
      <c r="I10" s="3466"/>
      <c r="J10" s="784"/>
      <c r="K10" s="785"/>
      <c r="L10" s="780" t="s">
        <v>1740</v>
      </c>
      <c r="M10" s="781">
        <f ca="1">INDIRECT("'数据-取费表'!ai"&amp;$G$1)</f>
        <v>0</v>
      </c>
    </row>
    <row r="11" spans="1:25" ht="18" customHeight="1">
      <c r="A11" s="782"/>
      <c r="B11" s="3467"/>
      <c r="C11" s="1821"/>
      <c r="D11" s="1818"/>
      <c r="E11" s="61" t="s">
        <v>639</v>
      </c>
      <c r="F11" s="790">
        <f ca="1">INDIRECT("'数据-取费表'!w"&amp;$G$1)</f>
        <v>0</v>
      </c>
      <c r="G11" s="1587"/>
      <c r="H11" s="2523"/>
      <c r="I11" s="3466"/>
      <c r="J11" s="784"/>
      <c r="K11" s="785"/>
      <c r="L11" s="791" t="s">
        <v>1741</v>
      </c>
      <c r="M11" s="792">
        <f ca="1">INDIRECT("'数据-取费表'!ab"&amp;$G$1)</f>
        <v>0</v>
      </c>
    </row>
    <row r="12" spans="1:25" ht="18" customHeight="1">
      <c r="A12" s="1825" t="s">
        <v>1825</v>
      </c>
      <c r="B12" s="2512" t="s">
        <v>2456</v>
      </c>
      <c r="C12" s="795">
        <f ca="1">ROUND(IF(F12="押一",F8*F10*F9/12*F13,IF(F12="押二",F8*F10*F9/12*2*F13,IF(F12="押三",F8*F10*F9/12*3*F13,C13*F13)))/10000,0)</f>
        <v>0</v>
      </c>
      <c r="D12" s="2519" t="s">
        <v>2463</v>
      </c>
      <c r="E12" s="2516" t="s">
        <v>2461</v>
      </c>
      <c r="F12" s="2639"/>
      <c r="G12" s="1587"/>
      <c r="H12" s="2579" t="s">
        <v>1825</v>
      </c>
      <c r="I12" s="2584" t="s">
        <v>2456</v>
      </c>
      <c r="J12" s="779">
        <f ca="1">ROUND(IF(M12="押一",M8*M10*M9/12*M13,IF(M12="押二",M8*M10*M9/12*2*M13,IF(M12="押三",M8*M10*M9/12*3*M13,J13*M13)))/10000,0)</f>
        <v>0</v>
      </c>
      <c r="K12" s="2519" t="s">
        <v>2463</v>
      </c>
      <c r="L12" s="2516" t="s">
        <v>2461</v>
      </c>
      <c r="M12" s="2639"/>
    </row>
    <row r="13" spans="1:25" ht="18" customHeight="1">
      <c r="A13" s="786"/>
      <c r="B13" s="2513" t="s">
        <v>2571</v>
      </c>
      <c r="C13" s="2517"/>
      <c r="D13" s="785"/>
      <c r="E13" s="2516" t="s">
        <v>2453</v>
      </c>
      <c r="F13" s="792">
        <f ca="1">'数据-取费表'!B39</f>
        <v>1.4999999999999999E-2</v>
      </c>
      <c r="G13" s="1587"/>
      <c r="H13" s="2580"/>
      <c r="I13" s="2513" t="s">
        <v>2571</v>
      </c>
      <c r="J13" s="2517"/>
      <c r="K13" s="2581"/>
      <c r="L13" s="2516" t="s">
        <v>2453</v>
      </c>
      <c r="M13" s="2510">
        <f ca="1">'数据-取费表'!B39</f>
        <v>1.4999999999999999E-2</v>
      </c>
    </row>
    <row r="14" spans="1:25" ht="18" customHeight="1" thickBot="1">
      <c r="A14" s="2555" t="s">
        <v>2465</v>
      </c>
      <c r="B14" s="2556" t="s">
        <v>2457</v>
      </c>
      <c r="C14" s="2557"/>
      <c r="D14" s="2558"/>
      <c r="E14" s="2559"/>
      <c r="F14" s="2560"/>
      <c r="G14" s="1587"/>
      <c r="H14" s="2569" t="s">
        <v>2465</v>
      </c>
      <c r="I14" s="2582" t="s">
        <v>2457</v>
      </c>
      <c r="J14" s="2583"/>
      <c r="K14" s="2558"/>
      <c r="L14" s="2559"/>
      <c r="M14" s="2572"/>
    </row>
    <row r="15" spans="1:25" ht="18" customHeight="1" thickTop="1">
      <c r="A15" s="1824" t="s">
        <v>1874</v>
      </c>
      <c r="B15" s="1822" t="s">
        <v>640</v>
      </c>
      <c r="C15" s="788">
        <f ca="1">ROUND(C31*F15,0)</f>
        <v>0</v>
      </c>
      <c r="D15" s="1829" t="s">
        <v>641</v>
      </c>
      <c r="E15" s="791" t="s">
        <v>642</v>
      </c>
      <c r="F15" s="796">
        <f ca="1">INDIRECT("'数据-取费表'!y"&amp;$G$1)</f>
        <v>0</v>
      </c>
      <c r="G15" s="1587"/>
      <c r="H15" s="1824" t="s">
        <v>1826</v>
      </c>
      <c r="I15" s="1822" t="s">
        <v>643</v>
      </c>
      <c r="J15" s="1814">
        <f ca="1">ROUND(J16*J17,0)</f>
        <v>0</v>
      </c>
      <c r="K15" s="1816" t="s">
        <v>641</v>
      </c>
      <c r="L15" s="797"/>
      <c r="M15" s="798"/>
    </row>
    <row r="16" spans="1:25" ht="18" customHeight="1">
      <c r="A16" s="799" t="s">
        <v>1875</v>
      </c>
      <c r="B16" s="780" t="s">
        <v>644</v>
      </c>
      <c r="C16" s="800">
        <f ca="1">INDIRECT("'数据-取费表'!m"&amp;$G$1)+INDIRECT("'数据-取费表'!t"&amp;$G$1)</f>
        <v>0</v>
      </c>
      <c r="D16" s="1973" t="s">
        <v>645</v>
      </c>
      <c r="E16" s="1974"/>
      <c r="F16" s="801"/>
      <c r="G16" s="1587"/>
      <c r="H16" s="799" t="s">
        <v>2068</v>
      </c>
      <c r="I16" s="2225" t="s">
        <v>2823</v>
      </c>
      <c r="J16" s="53">
        <f ca="1">C31</f>
        <v>0</v>
      </c>
      <c r="K16" s="26"/>
      <c r="L16" s="797"/>
      <c r="M16" s="798"/>
    </row>
    <row r="17" spans="1:25" s="2058" customFormat="1" ht="18" customHeight="1">
      <c r="A17" s="799" t="s">
        <v>1849</v>
      </c>
      <c r="B17" s="780" t="s">
        <v>646</v>
      </c>
      <c r="C17" s="53">
        <f ca="1">ROUND(C16*F17,0)</f>
        <v>0</v>
      </c>
      <c r="D17" s="802" t="s">
        <v>647</v>
      </c>
      <c r="E17" s="802" t="s">
        <v>648</v>
      </c>
      <c r="F17" s="803">
        <f>'数据-取费表'!B33</f>
        <v>0.03</v>
      </c>
      <c r="G17" s="1588"/>
      <c r="H17" s="799" t="s">
        <v>2069</v>
      </c>
      <c r="I17" s="780" t="s">
        <v>642</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1850</v>
      </c>
      <c r="B18" s="780" t="s">
        <v>649</v>
      </c>
      <c r="C18" s="53">
        <f ca="1">ROUND(INDIRECT("'数据-取费表'!m"&amp;$G$1)*F18,0)</f>
        <v>0</v>
      </c>
      <c r="D18" s="780" t="s">
        <v>647</v>
      </c>
      <c r="E18" s="780" t="s">
        <v>648</v>
      </c>
      <c r="F18" s="805">
        <f ca="1">IF(INDIRECT("'数据-取费表'!c"&amp;$G$1)="住宅",'数据-取费表'!B34,0)</f>
        <v>0</v>
      </c>
      <c r="G18" s="1587"/>
      <c r="H18" s="793" t="s">
        <v>1827</v>
      </c>
      <c r="I18" s="794" t="s">
        <v>650</v>
      </c>
      <c r="J18" s="795">
        <f ca="1">ROUND(J19+J24+J25+J26,0)</f>
        <v>0</v>
      </c>
      <c r="K18" s="26" t="s">
        <v>651</v>
      </c>
      <c r="L18" s="1976"/>
      <c r="M18" s="56"/>
    </row>
    <row r="19" spans="1:25" s="2058" customFormat="1" ht="18" customHeight="1">
      <c r="A19" s="799" t="s">
        <v>1851</v>
      </c>
      <c r="B19" s="780" t="s">
        <v>652</v>
      </c>
      <c r="C19" s="53">
        <f ca="1">ROUND(F19*(INDIRECT("'数据-取费表'!k"&amp;$G$1)+INDIRECT("'数据-取费表'!S"&amp;$G$1))/10000,0)</f>
        <v>0</v>
      </c>
      <c r="D19" s="780" t="s">
        <v>653</v>
      </c>
      <c r="E19" s="780" t="s">
        <v>654</v>
      </c>
      <c r="F19" s="56">
        <f>'数据-取费表'!B35</f>
        <v>200</v>
      </c>
      <c r="G19" s="1588"/>
      <c r="H19" s="799" t="s">
        <v>2068</v>
      </c>
      <c r="I19" s="780" t="s">
        <v>655</v>
      </c>
      <c r="J19" s="53">
        <f ca="1">ROUND(IF(项目基本情况!B11="自然人",J7*M19,J20+J21+J22),0)</f>
        <v>0</v>
      </c>
      <c r="K19" s="1973" t="s">
        <v>656</v>
      </c>
      <c r="L19" s="1971" t="s">
        <v>657</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1852</v>
      </c>
      <c r="B20" s="780" t="s">
        <v>658</v>
      </c>
      <c r="C20" s="53">
        <f ca="1">ROUND(C16*F20,0)</f>
        <v>0</v>
      </c>
      <c r="D20" s="780" t="s">
        <v>647</v>
      </c>
      <c r="E20" s="780" t="s">
        <v>648</v>
      </c>
      <c r="F20" s="805">
        <f>'数据-取费表'!B36</f>
        <v>1.4999999999999999E-2</v>
      </c>
      <c r="G20" s="1588"/>
      <c r="H20" s="799" t="s">
        <v>1831</v>
      </c>
      <c r="I20" s="780" t="s">
        <v>659</v>
      </c>
      <c r="J20" s="53">
        <f ca="1">ROUND(J7*M20/1.05,1)</f>
        <v>0</v>
      </c>
      <c r="K20" s="1971" t="s">
        <v>660</v>
      </c>
      <c r="L20" s="780" t="s">
        <v>648</v>
      </c>
      <c r="M20" s="805">
        <f>'数据-取费表'!B41</f>
        <v>5.6000000000000001E-2</v>
      </c>
      <c r="N20" s="2057"/>
      <c r="O20" s="2057"/>
      <c r="P20" s="2057"/>
      <c r="Q20" s="2057"/>
      <c r="R20" s="2057"/>
      <c r="S20" s="2057"/>
      <c r="T20" s="2057"/>
      <c r="U20" s="2057"/>
      <c r="V20" s="2057"/>
      <c r="W20" s="2057"/>
      <c r="X20" s="2057"/>
      <c r="Y20" s="2057"/>
    </row>
    <row r="21" spans="1:25" ht="18" customHeight="1">
      <c r="A21" s="799" t="s">
        <v>1876</v>
      </c>
      <c r="B21" s="780" t="s">
        <v>661</v>
      </c>
      <c r="C21" s="53">
        <f ca="1">SUM(C16:C20)</f>
        <v>0</v>
      </c>
      <c r="D21" s="259" t="s">
        <v>662</v>
      </c>
      <c r="E21" s="1976"/>
      <c r="F21" s="56"/>
      <c r="G21" s="1587"/>
      <c r="H21" s="1825" t="s">
        <v>1849</v>
      </c>
      <c r="I21" s="780" t="s">
        <v>663</v>
      </c>
      <c r="J21" s="53">
        <f ca="1">IF(K21="按租金收入计税",ROUND(J7*M21,1),ROUND(C31*F35*0.7,1))</f>
        <v>0</v>
      </c>
      <c r="K21" s="807" t="s">
        <v>664</v>
      </c>
      <c r="L21" s="780" t="s">
        <v>648</v>
      </c>
      <c r="M21" s="805">
        <f>IF(K21="按租金收入计税",'数据-取费表'!B51,'数据-取费表'!B50)</f>
        <v>1.2E-2</v>
      </c>
    </row>
    <row r="22" spans="1:25" s="2058" customFormat="1" ht="18" customHeight="1">
      <c r="A22" s="799" t="s">
        <v>1877</v>
      </c>
      <c r="B22" s="780" t="s">
        <v>665</v>
      </c>
      <c r="C22" s="53">
        <f ca="1">ROUND(C21*F22,0)</f>
        <v>0</v>
      </c>
      <c r="D22" s="808" t="s">
        <v>666</v>
      </c>
      <c r="E22" s="780" t="s">
        <v>648</v>
      </c>
      <c r="F22" s="805">
        <f>'数据-取费表'!B37</f>
        <v>1.4999999999999999E-2</v>
      </c>
      <c r="G22" s="1588"/>
      <c r="H22" s="1827" t="s">
        <v>1850</v>
      </c>
      <c r="I22" s="1817" t="s">
        <v>667</v>
      </c>
      <c r="J22" s="54">
        <f ca="1">ROUND(M22*M23/10000,0)</f>
        <v>0</v>
      </c>
      <c r="K22" s="810" t="s">
        <v>668</v>
      </c>
      <c r="L22" s="780" t="s">
        <v>669</v>
      </c>
      <c r="M22" s="636">
        <f>'数据-取费表'!B52</f>
        <v>1.5</v>
      </c>
      <c r="N22" s="2057"/>
      <c r="O22" s="2057"/>
      <c r="P22" s="2057"/>
      <c r="Q22" s="2057"/>
      <c r="R22" s="2057"/>
      <c r="S22" s="2057"/>
      <c r="T22" s="2057"/>
      <c r="U22" s="2057"/>
      <c r="V22" s="2057"/>
      <c r="W22" s="2057"/>
      <c r="X22" s="2057"/>
      <c r="Y22" s="2057"/>
    </row>
    <row r="23" spans="1:25" s="2058" customFormat="1" ht="18" customHeight="1">
      <c r="A23" s="799" t="s">
        <v>1878</v>
      </c>
      <c r="B23" s="780" t="s">
        <v>670</v>
      </c>
      <c r="C23" s="53" t="s">
        <v>1</v>
      </c>
      <c r="D23" s="808" t="s">
        <v>671</v>
      </c>
      <c r="E23" s="780" t="s">
        <v>672</v>
      </c>
      <c r="F23" s="805">
        <f>'数据-取费表'!B38</f>
        <v>1.4999999999999999E-2</v>
      </c>
      <c r="G23" s="1588"/>
      <c r="H23" s="1828"/>
      <c r="I23" s="1819"/>
      <c r="J23" s="69"/>
      <c r="K23" s="812"/>
      <c r="L23" s="780" t="s">
        <v>673</v>
      </c>
      <c r="M23" s="781">
        <f ca="1">INDIRECT("'数据-取费表'!r"&amp;$G$1)</f>
        <v>0</v>
      </c>
      <c r="N23" s="2057"/>
      <c r="O23" s="2057"/>
      <c r="P23" s="2057"/>
      <c r="Q23" s="2057"/>
      <c r="R23" s="2057"/>
      <c r="S23" s="2057"/>
      <c r="T23" s="2057"/>
      <c r="U23" s="2057"/>
      <c r="V23" s="2057"/>
      <c r="W23" s="2057"/>
      <c r="X23" s="2057"/>
      <c r="Y23" s="2057"/>
    </row>
    <row r="24" spans="1:25" ht="18" customHeight="1">
      <c r="A24" s="799" t="s">
        <v>1879</v>
      </c>
      <c r="B24" s="780" t="s">
        <v>674</v>
      </c>
      <c r="C24" s="53"/>
      <c r="D24" s="2590" t="str">
        <f>IF(F25&lt;=1,"单利计息。","复利计息。")&amp;"建造成本、管理费用、销售费用产生的利息。"</f>
        <v>复利计息。建造成本、管理费用、销售费用产生的利息。</v>
      </c>
      <c r="E24" s="1976"/>
      <c r="F24" s="56"/>
      <c r="G24" s="1587"/>
      <c r="H24" s="1826" t="s">
        <v>2069</v>
      </c>
      <c r="I24" s="780" t="s">
        <v>675</v>
      </c>
      <c r="J24" s="53">
        <f ca="1">ROUND(J16*M24,0)</f>
        <v>0</v>
      </c>
      <c r="K24" s="1971" t="s">
        <v>676</v>
      </c>
      <c r="L24" s="780" t="s">
        <v>648</v>
      </c>
      <c r="M24" s="813">
        <f ca="1">INDIRECT("'数据-取费表'!Ak"&amp;$G$1)</f>
        <v>0</v>
      </c>
    </row>
    <row r="25" spans="1:25" s="2058" customFormat="1" ht="18" customHeight="1">
      <c r="A25" s="799" t="s">
        <v>1875</v>
      </c>
      <c r="B25" s="780" t="s">
        <v>2434</v>
      </c>
      <c r="C25" s="53">
        <f ca="1">ROUND(IF('数据-取费表'!B22&lt;=1,(C21+C22)*F26*F25/2,(C21+C22)*(POWER((1+F26),F25/2)-1)),0)</f>
        <v>0</v>
      </c>
      <c r="D25" s="2589" t="str">
        <f>IF(F25&lt;=1,"(建造成本+管理费用)×利率×(建设周期÷2)","(建造成本+管理费用)×((1+利率)^(建设周期÷2)-1)")</f>
        <v>(建造成本+管理费用)×((1+利率)^(建设周期÷2)-1)</v>
      </c>
      <c r="E25" s="780" t="s">
        <v>677</v>
      </c>
      <c r="F25" s="636">
        <f>'数据-取费表'!B20</f>
        <v>2.5</v>
      </c>
      <c r="G25" s="1588"/>
      <c r="H25" s="799" t="s">
        <v>1878</v>
      </c>
      <c r="I25" s="780" t="s">
        <v>678</v>
      </c>
      <c r="J25" s="53">
        <f ca="1">ROUND(J15*M25,0)</f>
        <v>0</v>
      </c>
      <c r="K25" s="1971" t="s">
        <v>679</v>
      </c>
      <c r="L25" s="780" t="s">
        <v>648</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1849</v>
      </c>
      <c r="B26" s="780" t="s">
        <v>680</v>
      </c>
      <c r="C26" s="53">
        <f ca="1">ROUND(IF('数据-取费表'!B22&lt;=1,F23*F26*F25/2,F23*(POWER((1+F26),F25/2)-1)),4)</f>
        <v>8.9999999999999998E-4</v>
      </c>
      <c r="D26" s="2589" t="str">
        <f>IF(F25&lt;=1,"销售费用×利率×(建设周期÷2)","销售费用×((1+利率)^(建设周期÷2)-1)")</f>
        <v>销售费用×((1+利率)^(建设周期÷2)-1)</v>
      </c>
      <c r="E26" s="780" t="s">
        <v>681</v>
      </c>
      <c r="F26" s="815">
        <f ca="1">'数据-取费表'!B40</f>
        <v>4.7500000000000001E-2</v>
      </c>
      <c r="G26" s="1588"/>
      <c r="H26" s="799" t="s">
        <v>1879</v>
      </c>
      <c r="I26" s="780" t="s">
        <v>665</v>
      </c>
      <c r="J26" s="53">
        <f ca="1">ROUND(J7*M26,0)</f>
        <v>0</v>
      </c>
      <c r="K26" s="1971" t="s">
        <v>682</v>
      </c>
      <c r="L26" s="780" t="s">
        <v>648</v>
      </c>
      <c r="M26" s="790">
        <f ca="1">INDIRECT("'数据-取费表'!Am"&amp;$G$1)</f>
        <v>0</v>
      </c>
      <c r="N26" s="2057"/>
      <c r="O26" s="2057"/>
      <c r="P26" s="2057"/>
      <c r="Q26" s="2057"/>
      <c r="R26" s="2057"/>
      <c r="S26" s="2057"/>
      <c r="T26" s="2057"/>
      <c r="U26" s="2057"/>
      <c r="V26" s="2057"/>
      <c r="W26" s="2057"/>
      <c r="X26" s="2057"/>
      <c r="Y26" s="2057"/>
    </row>
    <row r="27" spans="1:25" ht="18" customHeight="1">
      <c r="A27" s="799" t="s">
        <v>1881</v>
      </c>
      <c r="B27" s="780" t="s">
        <v>683</v>
      </c>
      <c r="C27" s="53"/>
      <c r="D27" s="259" t="s">
        <v>684</v>
      </c>
      <c r="E27" s="1976"/>
      <c r="F27" s="56"/>
      <c r="G27" s="1587"/>
      <c r="H27" s="793" t="s">
        <v>1828</v>
      </c>
      <c r="I27" s="3029" t="s">
        <v>2820</v>
      </c>
      <c r="J27" s="795">
        <f ca="1">J7-J18</f>
        <v>0</v>
      </c>
      <c r="K27" s="1973" t="s">
        <v>699</v>
      </c>
      <c r="L27" s="1975"/>
      <c r="M27" s="816"/>
    </row>
    <row r="28" spans="1:25" ht="18" customHeight="1">
      <c r="A28" s="799" t="s">
        <v>1875</v>
      </c>
      <c r="B28" s="780" t="s">
        <v>2435</v>
      </c>
      <c r="C28" s="53">
        <f ca="1">ROUND((C21+C22)*F28,0)</f>
        <v>0</v>
      </c>
      <c r="D28" s="808" t="s">
        <v>700</v>
      </c>
      <c r="E28" s="791" t="s">
        <v>701</v>
      </c>
      <c r="F28" s="790">
        <f ca="1">INDIRECT("'数据-取费表'!q"&amp;$G$1)</f>
        <v>0</v>
      </c>
      <c r="G28" s="1587"/>
      <c r="H28" s="777" t="s">
        <v>1837</v>
      </c>
      <c r="I28" s="778" t="s">
        <v>702</v>
      </c>
      <c r="J28" s="779">
        <f ca="1">IF(J7&lt;&gt;0,ROUND(J27*(1-((1+M30)/(1+M28))^M29)/(M28-M30),0),0)</f>
        <v>0</v>
      </c>
      <c r="K28" s="810" t="s">
        <v>703</v>
      </c>
      <c r="L28" s="780" t="s">
        <v>704</v>
      </c>
      <c r="M28" s="790">
        <f ca="1">INDIRECT("'数据-取费表'!I"&amp;$G$1)</f>
        <v>0</v>
      </c>
    </row>
    <row r="29" spans="1:25" ht="18" customHeight="1">
      <c r="A29" s="799" t="s">
        <v>1849</v>
      </c>
      <c r="B29" s="780" t="s">
        <v>685</v>
      </c>
      <c r="C29" s="53">
        <f ca="1">ROUND(F23*F28,4)</f>
        <v>0</v>
      </c>
      <c r="D29" s="808" t="s">
        <v>705</v>
      </c>
      <c r="E29" s="802"/>
      <c r="F29" s="803"/>
      <c r="G29" s="1587"/>
      <c r="H29" s="782"/>
      <c r="I29" s="783"/>
      <c r="J29" s="784"/>
      <c r="K29" s="817" t="s">
        <v>706</v>
      </c>
      <c r="L29" s="780" t="s">
        <v>707</v>
      </c>
      <c r="M29" s="818">
        <f ca="1">INDIRECT("'数据-取费表'!ag"&amp;$G$1)</f>
        <v>0</v>
      </c>
    </row>
    <row r="30" spans="1:25" s="2058" customFormat="1" ht="18" customHeight="1">
      <c r="A30" s="799" t="s">
        <v>1882</v>
      </c>
      <c r="B30" s="780" t="s">
        <v>686</v>
      </c>
      <c r="C30" s="53">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1883</v>
      </c>
      <c r="B31" s="2559" t="s">
        <v>2821</v>
      </c>
      <c r="C31" s="2562">
        <f ca="1">ROUND((C21+C22+C25+C28)/(1-F23-C26-C29-C30),0)</f>
        <v>0</v>
      </c>
      <c r="D31" s="2563"/>
      <c r="E31" s="2564"/>
      <c r="F31" s="2565"/>
      <c r="G31" s="1588"/>
      <c r="H31" s="819" t="s">
        <v>1872</v>
      </c>
      <c r="I31" s="3030" t="s">
        <v>2822</v>
      </c>
      <c r="J31" s="821">
        <f ca="1">ROUND(J28/(1+F45)^F46,0)</f>
        <v>0</v>
      </c>
      <c r="K31" s="822" t="s">
        <v>687</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4" t="s">
        <v>7</v>
      </c>
      <c r="B32" s="1822" t="s">
        <v>688</v>
      </c>
      <c r="C32" s="788">
        <f ca="1">ROUND(C33+C38+C39+C40,0)</f>
        <v>0</v>
      </c>
      <c r="D32" s="1816" t="s">
        <v>651</v>
      </c>
      <c r="E32" s="2505"/>
      <c r="F32" s="2509"/>
      <c r="G32" s="2056"/>
      <c r="H32" s="2059"/>
      <c r="I32" s="2060"/>
      <c r="J32" s="2061"/>
      <c r="K32" s="2062"/>
      <c r="L32" s="2063"/>
      <c r="M32" s="2064"/>
    </row>
    <row r="33" spans="1:18" ht="18" customHeight="1">
      <c r="A33" s="799" t="s">
        <v>1876</v>
      </c>
      <c r="B33" s="780" t="s">
        <v>655</v>
      </c>
      <c r="C33" s="53">
        <f ca="1">ROUND(IF(项目基本情况!B11="自然人",C7*F33,C34+C35+C36),1)</f>
        <v>0</v>
      </c>
      <c r="D33" s="1973" t="s">
        <v>656</v>
      </c>
      <c r="E33" s="1971" t="s">
        <v>689</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1875</v>
      </c>
      <c r="B34" s="780" t="s">
        <v>659</v>
      </c>
      <c r="C34" s="53">
        <f ca="1">ROUND(C7*F34/1.05,1)</f>
        <v>0</v>
      </c>
      <c r="D34" s="1971" t="s">
        <v>660</v>
      </c>
      <c r="E34" s="780" t="s">
        <v>648</v>
      </c>
      <c r="F34" s="805">
        <f>'数据-取费表'!B41</f>
        <v>5.6000000000000001E-2</v>
      </c>
      <c r="G34" s="2056"/>
      <c r="H34" s="2065"/>
      <c r="I34" s="2066"/>
      <c r="J34" s="2067"/>
      <c r="K34" s="2068"/>
      <c r="L34" s="2069"/>
      <c r="M34" s="2070"/>
    </row>
    <row r="35" spans="1:18" ht="18" customHeight="1">
      <c r="A35" s="799" t="s">
        <v>1849</v>
      </c>
      <c r="B35" s="780" t="s">
        <v>663</v>
      </c>
      <c r="C35" s="53">
        <f ca="1">IF(D35="按租金收入计税",ROUND(C7*F35,1),IF(D35="按房产原值计税",ROUND(C31*F35*0.7,1),INDIRECT("'数据-取费表'!Aj"&amp;$G$1)))</f>
        <v>0</v>
      </c>
      <c r="D35" s="807" t="s">
        <v>1680</v>
      </c>
      <c r="E35" s="780" t="s">
        <v>648</v>
      </c>
      <c r="F35" s="805">
        <f>IF(D35="按租金收入计税",'数据-取费表'!B51,'数据-取费表'!B50)</f>
        <v>1.2E-2</v>
      </c>
      <c r="G35" s="2056"/>
      <c r="H35" s="2071"/>
      <c r="I35" s="2071"/>
      <c r="J35" s="2071"/>
      <c r="K35" s="2072"/>
      <c r="L35" s="2071"/>
      <c r="M35" s="2071"/>
    </row>
    <row r="36" spans="1:18" ht="18" customHeight="1">
      <c r="A36" s="809" t="s">
        <v>1880</v>
      </c>
      <c r="B36" s="337" t="s">
        <v>667</v>
      </c>
      <c r="C36" s="54">
        <f ca="1">ROUND(F36*F37/10000,1)</f>
        <v>0</v>
      </c>
      <c r="D36" s="810" t="s">
        <v>668</v>
      </c>
      <c r="E36" s="780" t="s">
        <v>669</v>
      </c>
      <c r="F36" s="636">
        <f>'数据-取费表'!B52</f>
        <v>1.5</v>
      </c>
      <c r="G36" s="2056"/>
      <c r="H36" s="2059"/>
      <c r="I36" s="3463"/>
      <c r="J36" s="2073"/>
      <c r="K36" s="2074"/>
      <c r="L36" s="2073"/>
      <c r="M36" s="2073"/>
    </row>
    <row r="37" spans="1:18" ht="18" customHeight="1">
      <c r="A37" s="811"/>
      <c r="B37" s="789"/>
      <c r="C37" s="69"/>
      <c r="D37" s="812"/>
      <c r="E37" s="780" t="s">
        <v>673</v>
      </c>
      <c r="F37" s="781">
        <f ca="1">INDIRECT("'数据-取费表'!r"&amp;$G$1)</f>
        <v>0</v>
      </c>
      <c r="G37" s="2056"/>
      <c r="H37" s="2059"/>
      <c r="I37" s="3463"/>
      <c r="J37" s="2071"/>
      <c r="K37" s="2072"/>
      <c r="L37" s="2071"/>
      <c r="M37" s="2071"/>
    </row>
    <row r="38" spans="1:18" ht="18" customHeight="1">
      <c r="A38" s="799" t="s">
        <v>1877</v>
      </c>
      <c r="B38" s="780" t="s">
        <v>675</v>
      </c>
      <c r="C38" s="53">
        <f ca="1">ROUND(C31*F38,1)</f>
        <v>0</v>
      </c>
      <c r="D38" s="1971" t="s">
        <v>690</v>
      </c>
      <c r="E38" s="780" t="s">
        <v>648</v>
      </c>
      <c r="F38" s="813">
        <f ca="1">INDIRECT("'数据-取费表'!Ak"&amp;$G$1)</f>
        <v>0</v>
      </c>
      <c r="G38" s="2056"/>
      <c r="H38" s="2071"/>
      <c r="I38" s="2075"/>
      <c r="J38" s="1982"/>
      <c r="K38" s="2076"/>
      <c r="L38" s="2071"/>
      <c r="M38" s="2071"/>
    </row>
    <row r="39" spans="1:18" ht="18" customHeight="1">
      <c r="A39" s="799" t="s">
        <v>1878</v>
      </c>
      <c r="B39" s="780" t="s">
        <v>678</v>
      </c>
      <c r="C39" s="53">
        <f ca="1">ROUND(C15*F39,1)</f>
        <v>0</v>
      </c>
      <c r="D39" s="1971" t="s">
        <v>679</v>
      </c>
      <c r="E39" s="780" t="s">
        <v>648</v>
      </c>
      <c r="F39" s="814">
        <f ca="1">INDIRECT("'数据-取费表'!Al"&amp;$G$1)</f>
        <v>0</v>
      </c>
      <c r="G39" s="2056"/>
      <c r="H39" s="2071"/>
      <c r="I39" s="2075"/>
      <c r="J39" s="1982"/>
      <c r="K39" s="2076"/>
      <c r="L39" s="2071"/>
      <c r="M39" s="2071"/>
    </row>
    <row r="40" spans="1:18" ht="18" customHeight="1" thickBot="1">
      <c r="A40" s="2578" t="s">
        <v>1879</v>
      </c>
      <c r="B40" s="2564" t="s">
        <v>665</v>
      </c>
      <c r="C40" s="2562">
        <f ca="1">ROUND(C7*F40,1)</f>
        <v>0</v>
      </c>
      <c r="D40" s="2563" t="s">
        <v>682</v>
      </c>
      <c r="E40" s="2564" t="s">
        <v>648</v>
      </c>
      <c r="F40" s="2560">
        <f ca="1">INDIRECT("'数据-取费表'!Am"&amp;$G$1)</f>
        <v>0</v>
      </c>
      <c r="G40" s="2056"/>
      <c r="H40" s="2071"/>
      <c r="I40" s="2075"/>
      <c r="J40" s="1982"/>
      <c r="K40" s="2077"/>
      <c r="L40" s="2071"/>
      <c r="M40" s="2071"/>
    </row>
    <row r="41" spans="1:18" ht="18" customHeight="1" thickTop="1">
      <c r="A41" s="1824">
        <v>4</v>
      </c>
      <c r="B41" s="1822" t="s">
        <v>691</v>
      </c>
      <c r="C41" s="1348"/>
      <c r="D41" s="1349"/>
      <c r="E41" s="1349"/>
      <c r="F41" s="1350"/>
      <c r="G41" s="2056"/>
      <c r="H41" s="2056"/>
      <c r="I41" s="2056"/>
      <c r="J41" s="2056"/>
      <c r="K41" s="2077"/>
      <c r="L41" s="2056"/>
      <c r="M41" s="2056"/>
    </row>
    <row r="42" spans="1:18" ht="18" customHeight="1">
      <c r="A42" s="799" t="s">
        <v>1876</v>
      </c>
      <c r="B42" s="831" t="s">
        <v>692</v>
      </c>
      <c r="C42" s="825">
        <f ca="1">C7-C32</f>
        <v>0</v>
      </c>
      <c r="D42" s="1973" t="s">
        <v>693</v>
      </c>
      <c r="E42" s="1975"/>
      <c r="F42" s="816"/>
      <c r="G42" s="2056"/>
      <c r="H42" s="2056"/>
      <c r="I42" s="2056"/>
      <c r="J42" s="2056"/>
      <c r="K42" s="2077"/>
      <c r="L42" s="2056"/>
      <c r="M42" s="2056"/>
    </row>
    <row r="43" spans="1:18" ht="18" customHeight="1">
      <c r="A43" s="799" t="s">
        <v>1877</v>
      </c>
      <c r="B43" s="831" t="s">
        <v>710</v>
      </c>
      <c r="C43" s="832">
        <f ca="1">ROUND(C15*F43,0)</f>
        <v>0</v>
      </c>
      <c r="D43" s="1351" t="s">
        <v>711</v>
      </c>
      <c r="E43" s="3147" t="s">
        <v>2952</v>
      </c>
      <c r="F43" s="3148">
        <f ca="1">INDIRECT("'数据-取费表'!j"&amp;$G$1)</f>
        <v>0</v>
      </c>
      <c r="G43" s="2056"/>
      <c r="H43" s="2056"/>
      <c r="I43" s="2056"/>
      <c r="J43" s="2056"/>
      <c r="K43" s="2077"/>
      <c r="L43" s="2056"/>
      <c r="M43" s="2056"/>
    </row>
    <row r="44" spans="1:18" ht="18" customHeight="1">
      <c r="A44" s="799" t="s">
        <v>1878</v>
      </c>
      <c r="B44" s="831" t="s">
        <v>712</v>
      </c>
      <c r="C44" s="1352">
        <f ca="1">C42-C43</f>
        <v>0</v>
      </c>
      <c r="D44" s="459" t="s">
        <v>713</v>
      </c>
      <c r="E44" s="460"/>
      <c r="F44" s="461"/>
      <c r="G44" s="2056"/>
      <c r="H44" s="2056"/>
      <c r="I44" s="2056"/>
      <c r="J44" s="2056"/>
      <c r="K44" s="2077"/>
      <c r="L44" s="2056"/>
      <c r="M44" s="2056"/>
    </row>
    <row r="45" spans="1:18" ht="18" customHeight="1">
      <c r="A45" s="799" t="s">
        <v>1879</v>
      </c>
      <c r="B45" s="1351" t="s">
        <v>714</v>
      </c>
      <c r="C45" s="3056">
        <f ca="1">ROUND(-PV(F45,F46,C44,0),0)</f>
        <v>0</v>
      </c>
      <c r="D45" s="1353" t="s">
        <v>715</v>
      </c>
      <c r="E45" s="802" t="s">
        <v>716</v>
      </c>
      <c r="F45" s="826">
        <f ca="1">INDIRECT("'数据-取费表'!h"&amp;$G$1)</f>
        <v>0</v>
      </c>
      <c r="G45" s="2056"/>
      <c r="H45" s="2056"/>
      <c r="I45" s="2056"/>
      <c r="J45" s="2056"/>
      <c r="K45" s="2077"/>
      <c r="L45" s="2056"/>
      <c r="M45" s="2056"/>
    </row>
    <row r="46" spans="1:18" ht="18" customHeight="1" thickBot="1">
      <c r="A46" s="827"/>
      <c r="B46" s="1354"/>
      <c r="C46" s="1355"/>
      <c r="D46" s="1356"/>
      <c r="E46" s="3149" t="s">
        <v>2955</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2339</v>
      </c>
      <c r="J47" s="2373"/>
      <c r="K47" s="2374"/>
      <c r="L47" s="2375" t="str">
        <f ca="1">IF(M48="住宅",0,IF(L49&gt;J52,L61,J61))</f>
        <v>0</v>
      </c>
      <c r="O47" s="2412" t="s">
        <v>2407</v>
      </c>
      <c r="P47" s="1587"/>
      <c r="Q47" s="1599"/>
      <c r="R47" s="1587"/>
    </row>
    <row r="48" spans="1:18" s="2053" customFormat="1" ht="18" customHeight="1" thickBot="1">
      <c r="A48" s="2078"/>
      <c r="C48" s="2081"/>
      <c r="D48" s="2082"/>
      <c r="E48" s="2082"/>
      <c r="F48" s="2083"/>
      <c r="G48" s="2084"/>
      <c r="I48" s="2376" t="s">
        <v>2340</v>
      </c>
      <c r="J48" s="2381"/>
      <c r="K48" s="2382" t="s">
        <v>2346</v>
      </c>
      <c r="L48" s="2383">
        <f ca="1">INDIRECT("'数据-取费表'!d"&amp;$G$1)</f>
        <v>0</v>
      </c>
      <c r="M48" s="3144" t="str">
        <f>IF(ISNUMBER(FIND("住宅",C1)),"住宅","非住宅")</f>
        <v>非住宅</v>
      </c>
      <c r="O48" s="2413" t="s">
        <v>2372</v>
      </c>
      <c r="P48" s="2414" t="s">
        <v>2373</v>
      </c>
      <c r="Q48" s="2415" t="s">
        <v>2374</v>
      </c>
      <c r="R48" s="2414" t="s">
        <v>2375</v>
      </c>
    </row>
    <row r="49" spans="1:18" s="2053" customFormat="1" ht="18" customHeight="1" thickBot="1">
      <c r="A49" s="2078"/>
      <c r="D49" s="2085"/>
      <c r="E49" s="2086"/>
      <c r="F49" s="2083"/>
      <c r="G49" s="2084"/>
      <c r="H49" s="2087"/>
      <c r="I49" s="2377" t="s">
        <v>2341</v>
      </c>
      <c r="J49" s="2384"/>
      <c r="K49" s="2385" t="s">
        <v>2348</v>
      </c>
      <c r="L49" s="2386">
        <f ca="1">INDIRECT("'数据-取费表'!f"&amp;$G$1)</f>
        <v>0</v>
      </c>
      <c r="O49" s="2416" t="s">
        <v>2376</v>
      </c>
      <c r="P49" s="2417" t="s">
        <v>2402</v>
      </c>
      <c r="Q49" s="2418">
        <f ca="1">C41+J31</f>
        <v>0</v>
      </c>
      <c r="R49" s="2417" t="s">
        <v>2377</v>
      </c>
    </row>
    <row r="50" spans="1:18" s="2053" customFormat="1" ht="18" customHeight="1" thickBot="1">
      <c r="A50" s="2078"/>
      <c r="D50" s="2088"/>
      <c r="E50" s="2088"/>
      <c r="F50" s="2082"/>
      <c r="G50" s="2089"/>
      <c r="H50" s="2087"/>
      <c r="I50" s="2377" t="s">
        <v>2342</v>
      </c>
      <c r="J50" s="2387"/>
      <c r="K50" s="2388" t="s">
        <v>2349</v>
      </c>
      <c r="L50" s="2389"/>
      <c r="O50" s="2416" t="s">
        <v>2378</v>
      </c>
      <c r="P50" s="2417" t="s">
        <v>2403</v>
      </c>
      <c r="Q50" s="2418" t="str">
        <f ca="1">J61</f>
        <v>0</v>
      </c>
      <c r="R50" s="2417" t="s">
        <v>2379</v>
      </c>
    </row>
    <row r="51" spans="1:18" s="2053" customFormat="1" ht="18" customHeight="1" thickBot="1">
      <c r="A51" s="2090"/>
      <c r="D51" s="2088"/>
      <c r="E51" s="2088"/>
      <c r="F51" s="2079"/>
      <c r="H51" s="2087"/>
      <c r="I51" s="2377" t="s">
        <v>2343</v>
      </c>
      <c r="J51" s="2390">
        <f>SUMPRODUCT((I64:I66=J48)*(J63:L63=J49)*(J64:L66))</f>
        <v>0</v>
      </c>
      <c r="K51" s="2388" t="s">
        <v>2350</v>
      </c>
      <c r="L51" s="2389"/>
      <c r="O51" s="2419" t="s">
        <v>2380</v>
      </c>
      <c r="P51" s="2417" t="s">
        <v>2404</v>
      </c>
      <c r="Q51" s="2418">
        <f ca="1">C31</f>
        <v>0</v>
      </c>
      <c r="R51" s="2417" t="s">
        <v>2377</v>
      </c>
    </row>
    <row r="52" spans="1:18" s="2053" customFormat="1" ht="18" customHeight="1" thickBot="1">
      <c r="A52" s="2090"/>
      <c r="F52" s="2079"/>
      <c r="I52" s="2378" t="s">
        <v>2344</v>
      </c>
      <c r="J52" s="2391">
        <f>IF(J50="",J51,J50+J51-YEAR('数据-取费表'!B3))</f>
        <v>0</v>
      </c>
      <c r="K52" s="2377" t="s">
        <v>2351</v>
      </c>
      <c r="L52" s="2392">
        <f ca="1">ROUND(-PV(INDIRECT("'数据-取费表'!h"&amp;$G$1),L49,(C40-C14*J36),0),0)</f>
        <v>0</v>
      </c>
      <c r="O52" s="2419" t="s">
        <v>2381</v>
      </c>
      <c r="P52" s="2417" t="s">
        <v>2382</v>
      </c>
      <c r="Q52" s="2420" t="e">
        <f ca="1">J59</f>
        <v>#VALUE!</v>
      </c>
      <c r="R52" s="2421"/>
    </row>
    <row r="53" spans="1:18" s="2053" customFormat="1" ht="18" customHeight="1" thickBot="1">
      <c r="A53" s="2090"/>
      <c r="F53" s="2079"/>
      <c r="I53" s="2379" t="s">
        <v>2418</v>
      </c>
      <c r="J53" s="2393"/>
      <c r="K53" s="2379" t="s">
        <v>2417</v>
      </c>
      <c r="L53" s="2393"/>
      <c r="O53" s="2419" t="s">
        <v>2383</v>
      </c>
      <c r="P53" s="2417" t="s">
        <v>2384</v>
      </c>
      <c r="Q53" s="2420">
        <f>J53</f>
        <v>0</v>
      </c>
      <c r="R53" s="2421"/>
    </row>
    <row r="54" spans="1:18" s="2053" customFormat="1" ht="43.5" thickBot="1">
      <c r="A54" s="2090"/>
      <c r="I54" s="2380" t="s">
        <v>2345</v>
      </c>
      <c r="J54" s="2394">
        <f ca="1">IF(M48="住宅",J52,IF(J52&gt;L49,L49-'数据-取费表'!B25,J52))</f>
        <v>0</v>
      </c>
      <c r="K54" s="3468"/>
      <c r="L54" s="3469"/>
      <c r="O54" s="2419" t="s">
        <v>2385</v>
      </c>
      <c r="P54" s="2417" t="s">
        <v>2386</v>
      </c>
      <c r="Q54" s="2418">
        <f ca="1">J54</f>
        <v>0</v>
      </c>
      <c r="R54" s="2417" t="s">
        <v>2387</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2388</v>
      </c>
      <c r="P55" s="2417" t="s">
        <v>2405</v>
      </c>
      <c r="Q55" s="2418">
        <f ca="1">Q49+Q50</f>
        <v>0</v>
      </c>
      <c r="R55" s="2421" t="s">
        <v>2389</v>
      </c>
    </row>
    <row r="56" spans="1:18" s="2053" customFormat="1" ht="16.5" thickBot="1">
      <c r="A56" s="2090"/>
      <c r="B56" s="2091"/>
      <c r="C56" s="2091"/>
      <c r="I56" s="3121" t="s">
        <v>2352</v>
      </c>
      <c r="J56" s="3145" t="e">
        <f ca="1">ROUND(IF(J48="钢混",J58/J51,1-(1-2%)*(J51-J58)/J51),3)</f>
        <v>#VALUE!</v>
      </c>
      <c r="K56" s="2395" t="s">
        <v>2353</v>
      </c>
      <c r="L56" s="2396"/>
      <c r="O56" s="2422" t="s">
        <v>2408</v>
      </c>
      <c r="P56" s="1587"/>
      <c r="Q56" s="1599"/>
      <c r="R56" s="1587"/>
    </row>
    <row r="57" spans="1:18" s="2053" customFormat="1" ht="43.5" thickBot="1">
      <c r="A57" s="2090"/>
      <c r="B57" s="2091"/>
      <c r="C57" s="2091"/>
      <c r="I57" s="2397" t="s">
        <v>2354</v>
      </c>
      <c r="J57" s="3144" t="s">
        <v>1678</v>
      </c>
      <c r="K57" s="2377" t="s">
        <v>2359</v>
      </c>
      <c r="L57" s="2386">
        <f ca="1">IF(L49&lt;J52,"——",L49-J52)</f>
        <v>0</v>
      </c>
      <c r="O57" s="2413" t="s">
        <v>2372</v>
      </c>
      <c r="P57" s="2414" t="s">
        <v>2373</v>
      </c>
      <c r="Q57" s="2415" t="s">
        <v>2374</v>
      </c>
      <c r="R57" s="2414" t="s">
        <v>2375</v>
      </c>
    </row>
    <row r="58" spans="1:18" s="2053" customFormat="1" ht="29.25" thickBot="1">
      <c r="A58" s="2090"/>
      <c r="B58" s="2091"/>
      <c r="C58" s="2091"/>
      <c r="I58" s="2398" t="s">
        <v>2355</v>
      </c>
      <c r="J58" s="2400" t="str">
        <f ca="1">IF(OR(M48="住宅",J52&lt;L49,J57="是"),"——",J52-L49)</f>
        <v>——</v>
      </c>
      <c r="K58" s="2377" t="s">
        <v>2360</v>
      </c>
      <c r="L58" s="2386">
        <f ca="1">IF(L49&lt;J52,"——",IF(L56="比较法",L50,IF(L56="基准地价",L51,L52)))</f>
        <v>0</v>
      </c>
      <c r="O58" s="2416" t="s">
        <v>2376</v>
      </c>
      <c r="P58" s="2417" t="s">
        <v>2402</v>
      </c>
      <c r="Q58" s="2418">
        <f ca="1">C41+J31</f>
        <v>0</v>
      </c>
      <c r="R58" s="2417" t="s">
        <v>2377</v>
      </c>
    </row>
    <row r="59" spans="1:18" s="2053" customFormat="1" ht="29.25" thickBot="1">
      <c r="A59" s="2090"/>
      <c r="B59" s="2091"/>
      <c r="C59" s="2091"/>
      <c r="I59" s="2398" t="s">
        <v>2356</v>
      </c>
      <c r="J59" s="3146" t="e">
        <f ca="1">IF(J56&lt;0.4,0.4,J56)</f>
        <v>#VALUE!</v>
      </c>
      <c r="K59" s="2377" t="s">
        <v>2361</v>
      </c>
      <c r="L59" s="2386">
        <f ca="1">IF(ISERROR(POWER(1+L53,L48-L49)*(POWER(1+L53,L49)-1)/(POWER(1+L53,L48)-1)),0,POWER(1+L53,L48-L49)*(POWER(1+L53,L49)-1)/(POWER(1+L53,L48)-1))</f>
        <v>0</v>
      </c>
      <c r="O59" s="2416" t="s">
        <v>2378</v>
      </c>
      <c r="P59" s="2417" t="s">
        <v>2409</v>
      </c>
      <c r="Q59" s="2418" t="e">
        <f ca="1">L61</f>
        <v>#DIV/0!</v>
      </c>
      <c r="R59" s="2421" t="s">
        <v>2411</v>
      </c>
    </row>
    <row r="60" spans="1:18" s="2053" customFormat="1" ht="29.25" thickBot="1">
      <c r="A60" s="2090"/>
      <c r="B60" s="2091"/>
      <c r="C60" s="2091"/>
      <c r="I60" s="2398" t="s">
        <v>2357</v>
      </c>
      <c r="J60" s="2400" t="str">
        <f ca="1">IF(OR(M48="住宅",J52&lt;L49,J57="是"),"——",ROUND(C30*J59,0))</f>
        <v>——</v>
      </c>
      <c r="K60" s="2377" t="s">
        <v>2362</v>
      </c>
      <c r="L60" s="2386">
        <f ca="1">IF(ISERROR(POWER(1+L53,L48-J52)*(POWER(1+L53,J52)-1)/(POWER(1+L53,L48)-1)),0,POWER(1+L53,L48-J52)*(POWER(1+L53,J52)-1)/(POWER(1+L53,L48)-1))</f>
        <v>0</v>
      </c>
      <c r="O60" s="2419" t="s">
        <v>2380</v>
      </c>
      <c r="P60" s="2417" t="s">
        <v>2410</v>
      </c>
      <c r="Q60" s="2418">
        <f>IF(L56="比较法",L50,IF(L56="基准地价",L51,0))</f>
        <v>0</v>
      </c>
      <c r="R60" s="2417" t="s">
        <v>2377</v>
      </c>
    </row>
    <row r="61" spans="1:18" s="2053" customFormat="1" ht="15.75" thickBot="1">
      <c r="A61" s="2090"/>
      <c r="B61" s="2091"/>
      <c r="C61" s="2091"/>
      <c r="I61" s="2399" t="s">
        <v>2358</v>
      </c>
      <c r="J61" s="2401" t="str">
        <f ca="1">IF(OR(M48="住宅",J52&lt;L49,J57="是"),"0",ROUND(J60/(1+J53)^J54,0))</f>
        <v>0</v>
      </c>
      <c r="K61" s="2402" t="s">
        <v>2363</v>
      </c>
      <c r="L61" s="2401" t="e">
        <f ca="1">IF(OR(M48="住宅",L49&lt;J52),0,ROUND(L58*(L59/L60-1),0))</f>
        <v>#DIV/0!</v>
      </c>
      <c r="O61" s="2419" t="s">
        <v>2381</v>
      </c>
      <c r="P61" s="2417" t="s">
        <v>2390</v>
      </c>
      <c r="Q61" s="2420">
        <f>L53</f>
        <v>0</v>
      </c>
      <c r="R61" s="2421"/>
    </row>
    <row r="62" spans="1:18" s="2053" customFormat="1" ht="20.25" thickBot="1">
      <c r="A62" s="2090"/>
      <c r="B62" s="2091"/>
      <c r="C62" s="2091"/>
      <c r="K62" s="2080"/>
      <c r="O62" s="2419" t="s">
        <v>2383</v>
      </c>
      <c r="P62" s="2417" t="s">
        <v>2391</v>
      </c>
      <c r="Q62" s="2418">
        <f ca="1">L59</f>
        <v>0</v>
      </c>
      <c r="R62" s="2421" t="s">
        <v>2392</v>
      </c>
    </row>
    <row r="63" spans="1:18" s="2053" customFormat="1" ht="20.25" thickBot="1">
      <c r="A63" s="2090"/>
      <c r="B63" s="2091"/>
      <c r="C63" s="2091"/>
      <c r="I63" s="2403" t="s">
        <v>2364</v>
      </c>
      <c r="J63" s="2404" t="s">
        <v>2365</v>
      </c>
      <c r="K63" s="2404" t="s">
        <v>2366</v>
      </c>
      <c r="L63" s="2404" t="s">
        <v>2347</v>
      </c>
      <c r="M63" s="3123" t="s">
        <v>2931</v>
      </c>
      <c r="O63" s="2419" t="s">
        <v>2385</v>
      </c>
      <c r="P63" s="2417" t="s">
        <v>2393</v>
      </c>
      <c r="Q63" s="2418">
        <f ca="1">L60</f>
        <v>0</v>
      </c>
      <c r="R63" s="2421" t="s">
        <v>2394</v>
      </c>
    </row>
    <row r="64" spans="1:18" s="2053" customFormat="1" ht="15.75" thickBot="1">
      <c r="A64" s="2090"/>
      <c r="B64" s="2091"/>
      <c r="C64" s="2091"/>
      <c r="I64" s="2403" t="s">
        <v>2367</v>
      </c>
      <c r="J64" s="2404">
        <v>70</v>
      </c>
      <c r="K64" s="2404">
        <v>50</v>
      </c>
      <c r="L64" s="2404">
        <v>80</v>
      </c>
      <c r="M64" s="3124">
        <v>0.02</v>
      </c>
      <c r="O64" s="2416" t="s">
        <v>2388</v>
      </c>
      <c r="P64" s="2417" t="s">
        <v>2405</v>
      </c>
      <c r="Q64" s="2418" t="e">
        <f ca="1">Q58+Q59</f>
        <v>#DIV/0!</v>
      </c>
      <c r="R64" s="2421" t="s">
        <v>2389</v>
      </c>
    </row>
    <row r="65" spans="1:18" s="2053" customFormat="1" ht="16.5" thickBot="1">
      <c r="A65" s="2090"/>
      <c r="B65" s="2091"/>
      <c r="C65" s="2091"/>
      <c r="I65" s="2403" t="s">
        <v>2368</v>
      </c>
      <c r="J65" s="2404">
        <v>50</v>
      </c>
      <c r="K65" s="2404">
        <v>35</v>
      </c>
      <c r="L65" s="2404">
        <v>60</v>
      </c>
      <c r="M65" s="3125">
        <v>0</v>
      </c>
      <c r="O65" s="2422" t="s">
        <v>2412</v>
      </c>
      <c r="P65" s="1587"/>
      <c r="Q65" s="1599"/>
      <c r="R65" s="1587"/>
    </row>
    <row r="66" spans="1:18" s="2053" customFormat="1" ht="15.75" thickBot="1">
      <c r="A66" s="2090"/>
      <c r="B66" s="2091"/>
      <c r="C66" s="2091"/>
      <c r="I66" s="2403" t="s">
        <v>2369</v>
      </c>
      <c r="J66" s="2404">
        <v>40</v>
      </c>
      <c r="K66" s="2404">
        <v>30</v>
      </c>
      <c r="L66" s="2404">
        <v>50</v>
      </c>
      <c r="M66" s="3124">
        <v>0.02</v>
      </c>
      <c r="O66" s="2413" t="s">
        <v>2372</v>
      </c>
      <c r="P66" s="2414" t="s">
        <v>2373</v>
      </c>
      <c r="Q66" s="2415" t="s">
        <v>2374</v>
      </c>
      <c r="R66" s="2414" t="s">
        <v>2375</v>
      </c>
    </row>
    <row r="67" spans="1:18" s="2053" customFormat="1" ht="15.75" thickBot="1">
      <c r="A67" s="2090"/>
      <c r="B67" s="2091"/>
      <c r="C67" s="2091"/>
      <c r="K67" s="2080"/>
      <c r="O67" s="2416" t="s">
        <v>2376</v>
      </c>
      <c r="P67" s="2417" t="s">
        <v>2402</v>
      </c>
      <c r="Q67" s="2418">
        <f ca="1">C41+J31</f>
        <v>0</v>
      </c>
      <c r="R67" s="2417" t="s">
        <v>2377</v>
      </c>
    </row>
    <row r="68" spans="1:18" s="2053" customFormat="1" ht="20.25" thickBot="1">
      <c r="A68" s="2090"/>
      <c r="B68" s="2091"/>
      <c r="C68" s="2091"/>
      <c r="K68" s="2080"/>
      <c r="O68" s="2416" t="s">
        <v>2378</v>
      </c>
      <c r="P68" s="2417" t="s">
        <v>2409</v>
      </c>
      <c r="Q68" s="2418" t="e">
        <f ca="1">L61</f>
        <v>#DIV/0!</v>
      </c>
      <c r="R68" s="2421" t="s">
        <v>2411</v>
      </c>
    </row>
    <row r="69" spans="1:18" s="2053" customFormat="1" ht="21.75" thickBot="1">
      <c r="A69" s="2090"/>
      <c r="B69" s="2091"/>
      <c r="C69" s="2091"/>
      <c r="K69" s="2080"/>
      <c r="O69" s="2419" t="s">
        <v>2380</v>
      </c>
      <c r="P69" s="2417" t="s">
        <v>2410</v>
      </c>
      <c r="Q69" s="2423">
        <f ca="1">L52</f>
        <v>0</v>
      </c>
      <c r="R69" s="2424" t="s">
        <v>2413</v>
      </c>
    </row>
    <row r="70" spans="1:18" s="2053" customFormat="1" ht="20.25" thickBot="1">
      <c r="A70" s="2090"/>
      <c r="B70" s="2091"/>
      <c r="C70" s="2091"/>
      <c r="K70" s="2080"/>
      <c r="O70" s="2419" t="s">
        <v>2381</v>
      </c>
      <c r="P70" s="2425" t="s">
        <v>2395</v>
      </c>
      <c r="Q70" s="2418">
        <f ca="1">ROUND(Q71-Q72*Q73,0)</f>
        <v>0</v>
      </c>
      <c r="R70" s="2421"/>
    </row>
    <row r="71" spans="1:18" s="2053" customFormat="1" ht="15.75" thickBot="1">
      <c r="A71" s="2090"/>
      <c r="B71" s="2091"/>
      <c r="C71" s="2091"/>
      <c r="K71" s="2080"/>
      <c r="O71" s="2419" t="s">
        <v>2396</v>
      </c>
      <c r="P71" s="2425" t="s">
        <v>2397</v>
      </c>
      <c r="Q71" s="2418">
        <f ca="1">C42</f>
        <v>0</v>
      </c>
      <c r="R71" s="2417" t="s">
        <v>2377</v>
      </c>
    </row>
    <row r="72" spans="1:18" s="2053" customFormat="1" ht="15.75" thickBot="1">
      <c r="A72" s="2090"/>
      <c r="B72" s="2091"/>
      <c r="C72" s="2091"/>
      <c r="K72" s="2080"/>
      <c r="O72" s="2419" t="s">
        <v>2398</v>
      </c>
      <c r="P72" s="2425" t="s">
        <v>2399</v>
      </c>
      <c r="Q72" s="2418">
        <f ca="1">C15</f>
        <v>0</v>
      </c>
      <c r="R72" s="2417" t="s">
        <v>2377</v>
      </c>
    </row>
    <row r="73" spans="1:18" s="2053" customFormat="1" ht="15.75" thickBot="1">
      <c r="A73" s="2090"/>
      <c r="B73" s="2091"/>
      <c r="C73" s="2091"/>
      <c r="K73" s="2080"/>
      <c r="O73" s="2419" t="s">
        <v>2400</v>
      </c>
      <c r="P73" s="2425" t="s">
        <v>2401</v>
      </c>
      <c r="Q73" s="2420">
        <f ca="1">F43</f>
        <v>0</v>
      </c>
      <c r="R73" s="2421"/>
    </row>
    <row r="74" spans="1:18" s="2053" customFormat="1" ht="15.75" thickBot="1">
      <c r="A74" s="2090"/>
      <c r="B74" s="2091"/>
      <c r="C74" s="2091"/>
      <c r="K74" s="2080"/>
      <c r="O74" s="2419" t="s">
        <v>2383</v>
      </c>
      <c r="P74" s="2417" t="s">
        <v>2390</v>
      </c>
      <c r="Q74" s="2420">
        <f>L53</f>
        <v>0</v>
      </c>
      <c r="R74" s="2421"/>
    </row>
    <row r="75" spans="1:18" s="2053" customFormat="1" ht="20.25" thickBot="1">
      <c r="A75" s="2090"/>
      <c r="B75" s="2091"/>
      <c r="C75" s="2091"/>
      <c r="K75" s="2080"/>
      <c r="O75" s="2419" t="s">
        <v>2385</v>
      </c>
      <c r="P75" s="2417" t="s">
        <v>2391</v>
      </c>
      <c r="Q75" s="2418">
        <f ca="1">L59</f>
        <v>0</v>
      </c>
      <c r="R75" s="2421" t="s">
        <v>2392</v>
      </c>
    </row>
    <row r="76" spans="1:18" s="2053" customFormat="1" ht="20.25" thickBot="1">
      <c r="A76" s="2090"/>
      <c r="B76" s="2091"/>
      <c r="C76" s="2091"/>
      <c r="K76" s="2080"/>
      <c r="O76" s="2419" t="s">
        <v>2414</v>
      </c>
      <c r="P76" s="2417" t="s">
        <v>2393</v>
      </c>
      <c r="Q76" s="2418">
        <f ca="1">L60</f>
        <v>0</v>
      </c>
      <c r="R76" s="2421" t="s">
        <v>2394</v>
      </c>
    </row>
    <row r="77" spans="1:18" s="2053" customFormat="1" ht="15.75" thickBot="1">
      <c r="A77" s="2090"/>
      <c r="B77" s="2091"/>
      <c r="C77" s="2091"/>
      <c r="K77" s="2080"/>
      <c r="O77" s="2416" t="s">
        <v>2388</v>
      </c>
      <c r="P77" s="2417" t="s">
        <v>2405</v>
      </c>
      <c r="Q77" s="2418" t="e">
        <f ca="1">Q67+Q68</f>
        <v>#DIV/0!</v>
      </c>
      <c r="R77" s="2421" t="s">
        <v>2389</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472" t="s">
        <v>2574</v>
      </c>
      <c r="C1" s="3472"/>
      <c r="D1" s="3472"/>
      <c r="E1" s="3472"/>
      <c r="F1" s="3472"/>
      <c r="G1" s="3471" t="s">
        <v>2575</v>
      </c>
      <c r="H1" s="3471"/>
      <c r="I1" s="3471"/>
      <c r="J1" s="3471"/>
      <c r="K1" s="3471"/>
      <c r="L1" s="3471"/>
      <c r="N1" s="3471" t="s">
        <v>2576</v>
      </c>
      <c r="O1" s="3471"/>
      <c r="P1" s="3471"/>
      <c r="Q1" s="3471"/>
      <c r="R1" s="2672"/>
      <c r="S1" s="3471" t="s">
        <v>2577</v>
      </c>
      <c r="T1" s="3471"/>
      <c r="U1" s="3471"/>
      <c r="V1" s="3471"/>
      <c r="X1" s="3470" t="s">
        <v>2637</v>
      </c>
      <c r="Y1" s="3471"/>
      <c r="Z1" s="3471"/>
      <c r="AA1" s="3471"/>
      <c r="AB1" s="3471"/>
      <c r="AD1" s="3470" t="s">
        <v>2641</v>
      </c>
      <c r="AE1" s="3471"/>
      <c r="AF1" s="3471"/>
      <c r="AG1" s="3471"/>
      <c r="AH1" s="3471"/>
    </row>
    <row r="2" spans="1:34" s="2774" customFormat="1" ht="14.25" thickBot="1">
      <c r="B2" s="2782" t="s">
        <v>2578</v>
      </c>
      <c r="C2" s="2782" t="s">
        <v>2639</v>
      </c>
      <c r="D2" s="2775" t="s">
        <v>1644</v>
      </c>
      <c r="E2" s="2775" t="s">
        <v>1951</v>
      </c>
      <c r="F2" s="2782" t="s">
        <v>2640</v>
      </c>
      <c r="G2" s="2778"/>
      <c r="H2" s="2777"/>
      <c r="I2" s="2782" t="s">
        <v>2946</v>
      </c>
      <c r="J2" s="2775" t="s">
        <v>2948</v>
      </c>
      <c r="K2" s="2775" t="s">
        <v>2949</v>
      </c>
      <c r="L2" s="2782" t="s">
        <v>2950</v>
      </c>
      <c r="N2" s="2782" t="s">
        <v>2578</v>
      </c>
      <c r="O2" s="2775" t="s">
        <v>2947</v>
      </c>
      <c r="P2" s="2775" t="s">
        <v>1951</v>
      </c>
      <c r="Q2" s="2782" t="s">
        <v>2640</v>
      </c>
      <c r="R2" s="2776"/>
      <c r="S2" s="2782" t="s">
        <v>2578</v>
      </c>
      <c r="T2" s="2775" t="s">
        <v>2947</v>
      </c>
      <c r="U2" s="2775" t="s">
        <v>1951</v>
      </c>
      <c r="V2" s="2782" t="s">
        <v>2640</v>
      </c>
      <c r="X2" s="2782" t="s">
        <v>2578</v>
      </c>
      <c r="Y2" s="2782" t="s">
        <v>2639</v>
      </c>
      <c r="Z2" s="2775" t="s">
        <v>1644</v>
      </c>
      <c r="AA2" s="2775" t="s">
        <v>1951</v>
      </c>
      <c r="AB2" s="2782" t="s">
        <v>2640</v>
      </c>
      <c r="AD2" s="2782" t="s">
        <v>2578</v>
      </c>
      <c r="AE2" s="2782" t="s">
        <v>2639</v>
      </c>
      <c r="AF2" s="2775" t="s">
        <v>1644</v>
      </c>
      <c r="AG2" s="2775" t="s">
        <v>1951</v>
      </c>
      <c r="AH2" s="2782" t="s">
        <v>2640</v>
      </c>
    </row>
    <row r="3" spans="1:34" s="3159" customFormat="1" ht="14.25">
      <c r="A3" s="3171" t="s">
        <v>2960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7" customFormat="1" ht="14.25">
      <c r="B4" s="2768"/>
      <c r="C4" s="2768"/>
      <c r="D4" s="2769"/>
      <c r="E4" s="2769"/>
      <c r="F4" s="2768"/>
      <c r="G4" s="2773"/>
      <c r="H4" s="2770"/>
      <c r="I4" s="3152"/>
      <c r="J4" s="3152"/>
      <c r="K4" s="3152"/>
      <c r="L4" s="3152"/>
      <c r="N4" s="2773"/>
      <c r="O4" s="2771"/>
      <c r="P4" s="2771"/>
      <c r="Q4" s="2771"/>
      <c r="R4" s="2771"/>
      <c r="S4" s="2773"/>
      <c r="T4" s="2771"/>
      <c r="U4" s="2771"/>
      <c r="V4" s="2771"/>
      <c r="W4" s="3168"/>
      <c r="X4" s="2772"/>
      <c r="Y4" s="2772"/>
      <c r="Z4" s="2772"/>
      <c r="AA4" s="2772"/>
      <c r="AB4" s="2772"/>
      <c r="AD4" s="2692"/>
      <c r="AE4" s="2692"/>
      <c r="AF4" s="2692"/>
      <c r="AG4" s="2692"/>
      <c r="AH4" s="2692"/>
    </row>
    <row r="5" spans="1:34" s="3138" customFormat="1" ht="13.5" thickBot="1">
      <c r="A5" s="3136" t="s">
        <v>2959</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7">
        <v>1</v>
      </c>
      <c r="I5" s="3153">
        <v>0</v>
      </c>
      <c r="J5" s="3153">
        <v>0</v>
      </c>
      <c r="K5" s="3153">
        <v>0</v>
      </c>
      <c r="L5" s="3153">
        <v>0</v>
      </c>
      <c r="N5" s="2780">
        <f t="shared" ref="N5:N10" si="6">I5/100</f>
        <v>0</v>
      </c>
      <c r="O5" s="2780">
        <f t="shared" ref="O5" si="7">J5/100</f>
        <v>0</v>
      </c>
      <c r="P5" s="2780">
        <f t="shared" ref="P5" si="8">K5/100</f>
        <v>0</v>
      </c>
      <c r="Q5" s="2780">
        <f t="shared" ref="Q5" si="9">L5/100</f>
        <v>0</v>
      </c>
      <c r="R5" s="3139"/>
      <c r="S5" s="3140"/>
      <c r="T5" s="3139"/>
      <c r="U5" s="3139"/>
      <c r="V5" s="3139"/>
      <c r="W5" s="3169" t="s">
        <v>2961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3" t="s">
        <v>2957</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6">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2962</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8"/>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2579</v>
      </c>
      <c r="B8" s="2687">
        <f t="shared" si="19"/>
        <v>419.31181600000002</v>
      </c>
      <c r="C8" s="2687">
        <f t="shared" si="19"/>
        <v>313.95436800000004</v>
      </c>
      <c r="D8" s="2687">
        <f t="shared" si="3"/>
        <v>313.95436800000004</v>
      </c>
      <c r="E8" s="2687">
        <f t="shared" si="20"/>
        <v>596.63028431999999</v>
      </c>
      <c r="F8" s="2687">
        <f t="shared" si="20"/>
        <v>274.74220703999998</v>
      </c>
      <c r="G8" s="3157"/>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2580</v>
      </c>
      <c r="B9" s="2687">
        <f t="shared" si="19"/>
        <v>405.524</v>
      </c>
      <c r="C9" s="2687">
        <f t="shared" si="19"/>
        <v>307.79840000000002</v>
      </c>
      <c r="D9" s="2687">
        <f t="shared" si="3"/>
        <v>307.79840000000002</v>
      </c>
      <c r="E9" s="2687">
        <f t="shared" si="20"/>
        <v>574.67759999999998</v>
      </c>
      <c r="F9" s="2687">
        <f t="shared" si="20"/>
        <v>270.20280000000002</v>
      </c>
      <c r="G9" s="3158"/>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970</v>
      </c>
      <c r="B10" s="2679">
        <v>392</v>
      </c>
      <c r="C10" s="2679">
        <v>302</v>
      </c>
      <c r="D10" s="2679">
        <f t="shared" si="3"/>
        <v>302</v>
      </c>
      <c r="E10" s="2679">
        <v>553</v>
      </c>
      <c r="F10" s="2680">
        <v>266</v>
      </c>
      <c r="G10" s="3479">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969</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474"/>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959</v>
      </c>
      <c r="B12" s="2687">
        <f t="shared" si="28"/>
        <v>360.06949782209392</v>
      </c>
      <c r="C12" s="2687">
        <f t="shared" si="28"/>
        <v>289.84672674747821</v>
      </c>
      <c r="D12" s="2687">
        <f t="shared" si="29"/>
        <v>289.84672674747821</v>
      </c>
      <c r="E12" s="2687">
        <f t="shared" si="30"/>
        <v>501.06543001181495</v>
      </c>
      <c r="F12" s="2687">
        <f t="shared" si="30"/>
        <v>256.82882500744967</v>
      </c>
      <c r="G12" s="3474"/>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968</v>
      </c>
      <c r="B13" s="2687">
        <f t="shared" si="28"/>
        <v>346.720748986128</v>
      </c>
      <c r="C13" s="2687">
        <f t="shared" si="28"/>
        <v>284.30282172386285</v>
      </c>
      <c r="D13" s="2687">
        <f t="shared" si="29"/>
        <v>284.30282172386285</v>
      </c>
      <c r="E13" s="2687">
        <f t="shared" si="30"/>
        <v>479.58023546306947</v>
      </c>
      <c r="F13" s="2687">
        <f t="shared" si="30"/>
        <v>253.25788877571213</v>
      </c>
      <c r="G13" s="3475"/>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967</v>
      </c>
      <c r="B14" s="2679">
        <v>333</v>
      </c>
      <c r="C14" s="2679">
        <v>277</v>
      </c>
      <c r="D14" s="2679">
        <f t="shared" si="29"/>
        <v>277</v>
      </c>
      <c r="E14" s="2679">
        <v>459</v>
      </c>
      <c r="F14" s="2680">
        <v>249</v>
      </c>
      <c r="G14" s="3473">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966</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474"/>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965</v>
      </c>
      <c r="B16" s="2687">
        <f t="shared" si="32"/>
        <v>322.34053690220776</v>
      </c>
      <c r="C16" s="2687">
        <f t="shared" si="32"/>
        <v>271.46160770422546</v>
      </c>
      <c r="D16" s="2687">
        <f t="shared" si="29"/>
        <v>271.46160770422546</v>
      </c>
      <c r="E16" s="2687">
        <f t="shared" si="33"/>
        <v>442.69434542172456</v>
      </c>
      <c r="F16" s="2687">
        <f t="shared" si="33"/>
        <v>241.34030753190925</v>
      </c>
      <c r="G16" s="3474"/>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964</v>
      </c>
      <c r="B17" s="2687">
        <f t="shared" si="32"/>
        <v>319.87748030386797</v>
      </c>
      <c r="C17" s="2687">
        <f t="shared" si="32"/>
        <v>269.60135833173649</v>
      </c>
      <c r="D17" s="2687">
        <f t="shared" si="29"/>
        <v>269.60135833173649</v>
      </c>
      <c r="E17" s="2687">
        <f t="shared" si="33"/>
        <v>439.18089823583784</v>
      </c>
      <c r="F17" s="2687">
        <f t="shared" si="33"/>
        <v>239.23503918706311</v>
      </c>
      <c r="G17" s="3475"/>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963</v>
      </c>
      <c r="B18" s="2701">
        <v>318</v>
      </c>
      <c r="C18" s="2701">
        <v>268</v>
      </c>
      <c r="D18" s="2701">
        <f t="shared" si="29"/>
        <v>268</v>
      </c>
      <c r="E18" s="2701">
        <v>437</v>
      </c>
      <c r="F18" s="2702">
        <v>237</v>
      </c>
      <c r="G18" s="3473">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962</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474"/>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961</v>
      </c>
      <c r="B20" s="2687">
        <f t="shared" si="34"/>
        <v>314.72141172386546</v>
      </c>
      <c r="C20" s="2687">
        <f t="shared" si="34"/>
        <v>263.03901319069001</v>
      </c>
      <c r="D20" s="2687">
        <f t="shared" si="29"/>
        <v>263.03901319069001</v>
      </c>
      <c r="E20" s="2687">
        <f t="shared" si="35"/>
        <v>433.65745506782821</v>
      </c>
      <c r="F20" s="2687">
        <f t="shared" si="35"/>
        <v>233.23005080045735</v>
      </c>
      <c r="G20" s="3474"/>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960</v>
      </c>
      <c r="B21" s="2706">
        <f t="shared" si="34"/>
        <v>307.34512863658733</v>
      </c>
      <c r="C21" s="2706">
        <f t="shared" si="34"/>
        <v>257.80556031626975</v>
      </c>
      <c r="D21" s="2706">
        <f t="shared" si="29"/>
        <v>257.80556031626975</v>
      </c>
      <c r="E21" s="2706">
        <f t="shared" si="35"/>
        <v>422.70928459677179</v>
      </c>
      <c r="F21" s="2706">
        <f t="shared" si="35"/>
        <v>229.73803270336617</v>
      </c>
      <c r="G21" s="3475"/>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2638</v>
      </c>
      <c r="X21" s="2783">
        <v>1</v>
      </c>
      <c r="Y21" s="2783">
        <v>1</v>
      </c>
      <c r="Z21" s="2783">
        <v>1</v>
      </c>
      <c r="AA21" s="2783">
        <v>1</v>
      </c>
      <c r="AB21" s="2783">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3" t="s">
        <v>2581</v>
      </c>
      <c r="B22" s="2679">
        <v>299</v>
      </c>
      <c r="C22" s="2679">
        <v>252</v>
      </c>
      <c r="D22" s="2679">
        <f t="shared" si="29"/>
        <v>252</v>
      </c>
      <c r="E22" s="2679">
        <v>409</v>
      </c>
      <c r="F22" s="2680">
        <v>227</v>
      </c>
      <c r="G22" s="3476">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2582</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477"/>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2583</v>
      </c>
      <c r="B24" s="2687">
        <f t="shared" si="38"/>
        <v>288.2649053828776</v>
      </c>
      <c r="C24" s="2687">
        <f t="shared" si="38"/>
        <v>243.64564425013293</v>
      </c>
      <c r="D24" s="2687">
        <f t="shared" si="29"/>
        <v>243.64564425013293</v>
      </c>
      <c r="E24" s="2687">
        <f t="shared" si="39"/>
        <v>393.31080825986544</v>
      </c>
      <c r="F24" s="2687">
        <f t="shared" si="39"/>
        <v>223.07903790551154</v>
      </c>
      <c r="G24" s="3477"/>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2584</v>
      </c>
      <c r="B25" s="2687">
        <f t="shared" si="38"/>
        <v>282.50186729015837</v>
      </c>
      <c r="C25" s="2687">
        <f t="shared" si="38"/>
        <v>238.09796174155468</v>
      </c>
      <c r="D25" s="2687">
        <f t="shared" si="29"/>
        <v>238.09796174155468</v>
      </c>
      <c r="E25" s="2687">
        <f t="shared" si="39"/>
        <v>385.33438646014054</v>
      </c>
      <c r="F25" s="2687">
        <f t="shared" si="39"/>
        <v>221.55034055567739</v>
      </c>
      <c r="G25" s="3478"/>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2585</v>
      </c>
      <c r="B26" s="2717">
        <v>278</v>
      </c>
      <c r="C26" s="2717">
        <v>234</v>
      </c>
      <c r="D26" s="2717">
        <f t="shared" si="29"/>
        <v>234</v>
      </c>
      <c r="E26" s="2717">
        <v>379</v>
      </c>
      <c r="F26" s="2718">
        <v>220</v>
      </c>
      <c r="G26" s="3473">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2586</v>
      </c>
      <c r="B27" s="2687">
        <f>B26/(1+N26)</f>
        <v>275.49301357645425</v>
      </c>
      <c r="C27" s="2687">
        <f>C26/(1+O26)</f>
        <v>232.41954707985698</v>
      </c>
      <c r="D27" s="2687">
        <f t="shared" si="29"/>
        <v>232.41954707985698</v>
      </c>
      <c r="E27" s="2687">
        <f t="shared" ref="E27:F29" si="40">E26/(1+P26)</f>
        <v>375.32184591008121</v>
      </c>
      <c r="F27" s="2687">
        <f t="shared" si="40"/>
        <v>218.03766105054513</v>
      </c>
      <c r="G27" s="3474"/>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2587</v>
      </c>
      <c r="B28" s="2687">
        <f>B27/(1+N27)</f>
        <v>275.24529281292263</v>
      </c>
      <c r="C28" s="2687">
        <f>C27/(1+O27)</f>
        <v>231.74747938962707</v>
      </c>
      <c r="D28" s="2687">
        <f t="shared" si="29"/>
        <v>231.74747938962707</v>
      </c>
      <c r="E28" s="2687">
        <f t="shared" si="40"/>
        <v>375.35938184826603</v>
      </c>
      <c r="F28" s="2687">
        <f t="shared" si="40"/>
        <v>216.78033510692495</v>
      </c>
      <c r="G28" s="3474"/>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2588</v>
      </c>
      <c r="B29" s="2687">
        <f>B28/(1+N28)</f>
        <v>275.19025476197027</v>
      </c>
      <c r="C29" s="2719">
        <v>232</v>
      </c>
      <c r="D29" s="2719">
        <f t="shared" si="29"/>
        <v>232</v>
      </c>
      <c r="E29" s="2687">
        <f t="shared" si="40"/>
        <v>375.65990977608692</v>
      </c>
      <c r="F29" s="2687">
        <f t="shared" si="40"/>
        <v>214.12518283971252</v>
      </c>
      <c r="G29" s="3475"/>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2589</v>
      </c>
      <c r="B30" s="2679">
        <v>275</v>
      </c>
      <c r="C30" s="2679">
        <v>232</v>
      </c>
      <c r="D30" s="2679">
        <f t="shared" si="29"/>
        <v>232</v>
      </c>
      <c r="E30" s="2679">
        <v>376</v>
      </c>
      <c r="F30" s="2680">
        <v>213</v>
      </c>
      <c r="G30" s="3473">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2590</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474">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2591</v>
      </c>
      <c r="B32" s="2687">
        <f t="shared" si="41"/>
        <v>275.19335084830601</v>
      </c>
      <c r="C32" s="2687">
        <f t="shared" si="41"/>
        <v>230.18088050139744</v>
      </c>
      <c r="D32" s="2687">
        <f t="shared" si="29"/>
        <v>230.18088050139744</v>
      </c>
      <c r="E32" s="2687">
        <f t="shared" si="42"/>
        <v>377.58482925212331</v>
      </c>
      <c r="F32" s="2687">
        <f t="shared" si="42"/>
        <v>210.90687997847917</v>
      </c>
      <c r="G32" s="3474">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2592</v>
      </c>
      <c r="B33" s="2687">
        <f t="shared" si="41"/>
        <v>276.29854502841971</v>
      </c>
      <c r="C33" s="2687">
        <f t="shared" si="41"/>
        <v>229.79023709833027</v>
      </c>
      <c r="D33" s="2687">
        <f t="shared" si="29"/>
        <v>229.79023709833027</v>
      </c>
      <c r="E33" s="2687">
        <f t="shared" si="42"/>
        <v>379.78759731655936</v>
      </c>
      <c r="F33" s="2687">
        <f t="shared" si="42"/>
        <v>211.32953905659235</v>
      </c>
      <c r="G33" s="3475">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2593</v>
      </c>
      <c r="B34" s="2679">
        <v>269</v>
      </c>
      <c r="C34" s="2679">
        <v>221</v>
      </c>
      <c r="D34" s="2679">
        <f t="shared" si="29"/>
        <v>221</v>
      </c>
      <c r="E34" s="2679">
        <v>373</v>
      </c>
      <c r="F34" s="2680">
        <v>196</v>
      </c>
      <c r="G34" s="3473">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2594</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474">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2595</v>
      </c>
      <c r="B36" s="2687">
        <f t="shared" si="43"/>
        <v>242.95398227588385</v>
      </c>
      <c r="C36" s="2687">
        <f t="shared" si="43"/>
        <v>199.59137053614126</v>
      </c>
      <c r="D36" s="2687">
        <f t="shared" si="29"/>
        <v>199.59137053614126</v>
      </c>
      <c r="E36" s="2687">
        <f t="shared" si="44"/>
        <v>335.92189522342125</v>
      </c>
      <c r="F36" s="2687">
        <f t="shared" si="44"/>
        <v>183.10139991109489</v>
      </c>
      <c r="G36" s="3474">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2596</v>
      </c>
      <c r="B37" s="2687">
        <f t="shared" si="43"/>
        <v>232.06990378821649</v>
      </c>
      <c r="C37" s="2687">
        <f t="shared" si="43"/>
        <v>192.74878854286936</v>
      </c>
      <c r="D37" s="2687">
        <f t="shared" si="29"/>
        <v>192.74878854286936</v>
      </c>
      <c r="E37" s="2687">
        <f t="shared" si="44"/>
        <v>319.71247284992984</v>
      </c>
      <c r="F37" s="2687">
        <f t="shared" si="44"/>
        <v>175.67053622862409</v>
      </c>
      <c r="G37" s="3475">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2597</v>
      </c>
      <c r="B38" s="2679">
        <v>220</v>
      </c>
      <c r="C38" s="2679">
        <v>187</v>
      </c>
      <c r="D38" s="2679">
        <f t="shared" si="29"/>
        <v>187</v>
      </c>
      <c r="E38" s="2679">
        <v>301</v>
      </c>
      <c r="F38" s="2680">
        <v>168</v>
      </c>
      <c r="G38" s="3473">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2598</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474">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2599</v>
      </c>
      <c r="B40" s="2687">
        <f t="shared" si="45"/>
        <v>210.630522469011</v>
      </c>
      <c r="C40" s="2687">
        <f t="shared" si="45"/>
        <v>181.69567812247232</v>
      </c>
      <c r="D40" s="2687">
        <f t="shared" si="29"/>
        <v>181.69567812247232</v>
      </c>
      <c r="E40" s="2687">
        <f t="shared" si="46"/>
        <v>286.13517466736738</v>
      </c>
      <c r="F40" s="2687">
        <f t="shared" si="46"/>
        <v>165.47535084591149</v>
      </c>
      <c r="G40" s="3474">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2600</v>
      </c>
      <c r="B41" s="2687">
        <f t="shared" si="45"/>
        <v>208.83454537875372</v>
      </c>
      <c r="C41" s="2687">
        <f t="shared" si="45"/>
        <v>183.77230517090351</v>
      </c>
      <c r="D41" s="2687">
        <f t="shared" si="29"/>
        <v>183.77230517090351</v>
      </c>
      <c r="E41" s="2687">
        <f t="shared" si="46"/>
        <v>281.10342338870947</v>
      </c>
      <c r="F41" s="2687">
        <f t="shared" si="46"/>
        <v>168.97309388942256</v>
      </c>
      <c r="G41" s="3475">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2601</v>
      </c>
      <c r="B42" s="2717">
        <v>214</v>
      </c>
      <c r="C42" s="2717">
        <v>188</v>
      </c>
      <c r="D42" s="2717">
        <f t="shared" si="29"/>
        <v>188</v>
      </c>
      <c r="E42" s="2717">
        <v>289</v>
      </c>
      <c r="F42" s="2718">
        <v>166</v>
      </c>
      <c r="G42" s="3473">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2602</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474">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2603</v>
      </c>
      <c r="B44" s="2687">
        <f t="shared" si="47"/>
        <v>206.31694671589116</v>
      </c>
      <c r="C44" s="2687">
        <f t="shared" si="47"/>
        <v>183.61041121036101</v>
      </c>
      <c r="D44" s="2687">
        <f t="shared" si="29"/>
        <v>183.61041121036101</v>
      </c>
      <c r="E44" s="2687">
        <f t="shared" si="48"/>
        <v>276.66850301795557</v>
      </c>
      <c r="F44" s="2687">
        <f t="shared" si="48"/>
        <v>165.1360938278614</v>
      </c>
      <c r="G44" s="3474">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2604</v>
      </c>
      <c r="B45" s="2720">
        <f t="shared" si="47"/>
        <v>196.62341248059772</v>
      </c>
      <c r="C45" s="2720">
        <f t="shared" si="47"/>
        <v>170.99125648199012</v>
      </c>
      <c r="D45" s="2720">
        <f t="shared" si="29"/>
        <v>170.99125648199012</v>
      </c>
      <c r="E45" s="2720">
        <f t="shared" si="48"/>
        <v>266.07857570490052</v>
      </c>
      <c r="F45" s="2720">
        <f t="shared" si="48"/>
        <v>154.53499328828505</v>
      </c>
      <c r="G45" s="3475">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2605</v>
      </c>
      <c r="B46" s="2679">
        <v>188</v>
      </c>
      <c r="C46" s="2679">
        <v>165</v>
      </c>
      <c r="D46" s="2679">
        <f t="shared" si="29"/>
        <v>165</v>
      </c>
      <c r="E46" s="2679">
        <v>254</v>
      </c>
      <c r="F46" s="2680">
        <v>148</v>
      </c>
      <c r="G46" s="3473">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2606</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474">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2607</v>
      </c>
      <c r="B48" s="2687">
        <f t="shared" si="51"/>
        <v>168.82017748715555</v>
      </c>
      <c r="C48" s="2687">
        <f t="shared" si="51"/>
        <v>148.06267029972753</v>
      </c>
      <c r="D48" s="2687">
        <f t="shared" si="29"/>
        <v>148.06267029972753</v>
      </c>
      <c r="E48" s="2687">
        <f t="shared" si="52"/>
        <v>216.46288379323747</v>
      </c>
      <c r="F48" s="2687">
        <f t="shared" si="52"/>
        <v>134.23529411764704</v>
      </c>
      <c r="G48" s="3474">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2608</v>
      </c>
      <c r="B49" s="2687">
        <f t="shared" si="51"/>
        <v>163.84913591779542</v>
      </c>
      <c r="C49" s="2687">
        <f t="shared" si="51"/>
        <v>145.0283378746594</v>
      </c>
      <c r="D49" s="2687">
        <f t="shared" si="29"/>
        <v>145.0283378746594</v>
      </c>
      <c r="E49" s="2687">
        <f t="shared" si="52"/>
        <v>204.95180722891567</v>
      </c>
      <c r="F49" s="2687">
        <f t="shared" si="52"/>
        <v>125.95920303605313</v>
      </c>
      <c r="G49" s="3475">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2609</v>
      </c>
      <c r="B50" s="2701">
        <v>159</v>
      </c>
      <c r="C50" s="2701">
        <v>141</v>
      </c>
      <c r="D50" s="2701">
        <f t="shared" si="29"/>
        <v>141</v>
      </c>
      <c r="E50" s="2701">
        <v>195</v>
      </c>
      <c r="F50" s="2702">
        <v>122</v>
      </c>
      <c r="G50" s="3473">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2610</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474">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2611</v>
      </c>
      <c r="B52" s="2687">
        <f t="shared" si="55"/>
        <v>146.57412060301507</v>
      </c>
      <c r="C52" s="2687">
        <f t="shared" si="55"/>
        <v>136.46831955922866</v>
      </c>
      <c r="D52" s="2687">
        <f t="shared" si="29"/>
        <v>136.46831955922866</v>
      </c>
      <c r="E52" s="2687">
        <f t="shared" si="56"/>
        <v>166.73864894795128</v>
      </c>
      <c r="F52" s="2687">
        <f t="shared" si="56"/>
        <v>115.05882352941177</v>
      </c>
      <c r="G52" s="3474">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2612</v>
      </c>
      <c r="B53" s="2687">
        <f t="shared" si="55"/>
        <v>144.04145728643215</v>
      </c>
      <c r="C53" s="2687">
        <f t="shared" si="55"/>
        <v>136.12396694214877</v>
      </c>
      <c r="D53" s="2687">
        <f t="shared" si="29"/>
        <v>136.12396694214877</v>
      </c>
      <c r="E53" s="2687">
        <f t="shared" si="56"/>
        <v>158.32225913621264</v>
      </c>
      <c r="F53" s="2687">
        <f t="shared" si="56"/>
        <v>114.04278074866311</v>
      </c>
      <c r="G53" s="3475">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2613</v>
      </c>
      <c r="B54" s="2701">
        <v>138</v>
      </c>
      <c r="C54" s="2701">
        <v>131</v>
      </c>
      <c r="D54" s="2701">
        <f t="shared" si="29"/>
        <v>131</v>
      </c>
      <c r="E54" s="2701">
        <v>155</v>
      </c>
      <c r="F54" s="2702">
        <v>114</v>
      </c>
      <c r="G54" s="3473">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2614</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474">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2615</v>
      </c>
      <c r="B56" s="2687">
        <f t="shared" si="59"/>
        <v>124.29032258064517</v>
      </c>
      <c r="C56" s="2687">
        <f t="shared" si="59"/>
        <v>123.8968609865471</v>
      </c>
      <c r="D56" s="2687">
        <f t="shared" si="29"/>
        <v>123.8968609865471</v>
      </c>
      <c r="E56" s="2687">
        <f t="shared" si="60"/>
        <v>138.00507614213197</v>
      </c>
      <c r="F56" s="2687">
        <f t="shared" si="60"/>
        <v>107.96106557377048</v>
      </c>
      <c r="G56" s="3474">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2616</v>
      </c>
      <c r="B57" s="2687">
        <f t="shared" si="59"/>
        <v>122.57204301075269</v>
      </c>
      <c r="C57" s="2687">
        <f t="shared" si="59"/>
        <v>123.4932735426009</v>
      </c>
      <c r="D57" s="2687">
        <f t="shared" si="29"/>
        <v>123.4932735426009</v>
      </c>
      <c r="E57" s="2687">
        <f t="shared" si="60"/>
        <v>129.82233502538071</v>
      </c>
      <c r="F57" s="2687">
        <f t="shared" si="60"/>
        <v>107.39446721311475</v>
      </c>
      <c r="G57" s="3475">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2617</v>
      </c>
      <c r="B58" s="2717">
        <v>121</v>
      </c>
      <c r="C58" s="2717">
        <v>122</v>
      </c>
      <c r="D58" s="2717">
        <f t="shared" si="29"/>
        <v>122</v>
      </c>
      <c r="E58" s="2717">
        <v>124</v>
      </c>
      <c r="F58" s="2718">
        <v>107</v>
      </c>
      <c r="G58" s="3473">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2618</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474">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2619</v>
      </c>
      <c r="B60" s="2687">
        <f t="shared" si="63"/>
        <v>116.99099099099099</v>
      </c>
      <c r="C60" s="2687">
        <f t="shared" si="63"/>
        <v>118.84848484848486</v>
      </c>
      <c r="D60" s="2687">
        <f t="shared" si="29"/>
        <v>118.84848484848486</v>
      </c>
      <c r="E60" s="2687">
        <f t="shared" si="64"/>
        <v>117.60960960960961</v>
      </c>
      <c r="F60" s="2687">
        <f t="shared" si="64"/>
        <v>104</v>
      </c>
      <c r="G60" s="3474">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2620</v>
      </c>
      <c r="B61" s="2720">
        <f t="shared" si="63"/>
        <v>112.48648648648648</v>
      </c>
      <c r="C61" s="2720">
        <f t="shared" si="63"/>
        <v>115.21212121212122</v>
      </c>
      <c r="D61" s="2720">
        <f t="shared" si="29"/>
        <v>115.21212121212122</v>
      </c>
      <c r="E61" s="2720">
        <f t="shared" si="64"/>
        <v>110.4024024024024</v>
      </c>
      <c r="F61" s="2720">
        <f t="shared" si="64"/>
        <v>104</v>
      </c>
      <c r="G61" s="3475">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2621</v>
      </c>
      <c r="B62" s="2738">
        <v>111</v>
      </c>
      <c r="C62" s="2738">
        <v>114</v>
      </c>
      <c r="D62" s="2738">
        <f t="shared" si="29"/>
        <v>114</v>
      </c>
      <c r="E62" s="2738">
        <v>108</v>
      </c>
      <c r="F62" s="2739">
        <v>104</v>
      </c>
      <c r="G62" s="3473">
        <v>2003</v>
      </c>
      <c r="H62" s="2728">
        <v>4</v>
      </c>
      <c r="I62" s="2740"/>
      <c r="J62" s="2740"/>
      <c r="K62" s="2740"/>
      <c r="L62" s="2740"/>
      <c r="N62" s="2741"/>
      <c r="O62" s="2740"/>
      <c r="P62" s="2740"/>
      <c r="Q62" s="2740"/>
      <c r="S62" s="2741"/>
      <c r="T62" s="2740"/>
      <c r="U62" s="2740"/>
      <c r="V62" s="2740"/>
      <c r="X62" s="2732"/>
      <c r="Y62" s="2732"/>
      <c r="Z62" s="2732"/>
    </row>
    <row r="63" spans="1:26">
      <c r="A63" s="2673" t="s">
        <v>2622</v>
      </c>
      <c r="B63" s="2742">
        <f t="shared" ref="B63:C65" si="65">B64+(B$62-B$66)/4</f>
        <v>109.75</v>
      </c>
      <c r="C63" s="2742">
        <f t="shared" si="65"/>
        <v>112.25</v>
      </c>
      <c r="D63" s="2742">
        <f t="shared" si="29"/>
        <v>112.25</v>
      </c>
      <c r="E63" s="2742">
        <f t="shared" ref="E63:F65" si="66">E64+(E$62-E$66)/4</f>
        <v>107.25</v>
      </c>
      <c r="F63" s="2742">
        <f t="shared" si="66"/>
        <v>103.5</v>
      </c>
      <c r="G63" s="3474">
        <v>2003</v>
      </c>
      <c r="H63" s="2698">
        <v>3</v>
      </c>
      <c r="I63" s="2740"/>
      <c r="J63" s="2740"/>
      <c r="K63" s="2740"/>
      <c r="L63" s="2740"/>
      <c r="X63" s="2732"/>
      <c r="Y63" s="2732"/>
      <c r="Z63" s="2732"/>
    </row>
    <row r="64" spans="1:26">
      <c r="A64" s="2673" t="s">
        <v>2623</v>
      </c>
      <c r="B64" s="2742">
        <f t="shared" si="65"/>
        <v>108.5</v>
      </c>
      <c r="C64" s="2742">
        <f t="shared" si="65"/>
        <v>110.5</v>
      </c>
      <c r="D64" s="2742">
        <f t="shared" si="29"/>
        <v>110.5</v>
      </c>
      <c r="E64" s="2742">
        <f t="shared" si="66"/>
        <v>106.5</v>
      </c>
      <c r="F64" s="2742">
        <f t="shared" si="66"/>
        <v>103</v>
      </c>
      <c r="G64" s="3474">
        <v>2003</v>
      </c>
      <c r="H64" s="2678">
        <v>2</v>
      </c>
      <c r="I64" s="2740"/>
      <c r="J64" s="2740"/>
      <c r="K64" s="2740"/>
      <c r="L64" s="2740"/>
      <c r="X64" s="2732"/>
      <c r="Y64" s="2732"/>
      <c r="Z64" s="2732"/>
    </row>
    <row r="65" spans="1:26" ht="13.5" thickBot="1">
      <c r="A65" s="2673" t="s">
        <v>2624</v>
      </c>
      <c r="B65" s="2742">
        <f t="shared" si="65"/>
        <v>107.25</v>
      </c>
      <c r="C65" s="2742">
        <f t="shared" si="65"/>
        <v>108.75</v>
      </c>
      <c r="D65" s="2742">
        <f t="shared" si="29"/>
        <v>108.75</v>
      </c>
      <c r="E65" s="2742">
        <f t="shared" si="66"/>
        <v>105.75</v>
      </c>
      <c r="F65" s="2742">
        <f t="shared" si="66"/>
        <v>102.5</v>
      </c>
      <c r="G65" s="3475">
        <v>2003</v>
      </c>
      <c r="H65" s="2743">
        <v>1</v>
      </c>
      <c r="I65" s="2740"/>
      <c r="J65" s="2740"/>
      <c r="K65" s="2740"/>
      <c r="L65" s="2740"/>
      <c r="S65" s="2682"/>
      <c r="T65" s="2683"/>
      <c r="U65" s="2683"/>
      <c r="X65" s="2732"/>
      <c r="Y65" s="2732"/>
      <c r="Z65" s="2732"/>
    </row>
    <row r="66" spans="1:26" ht="13.5" thickBot="1">
      <c r="A66" s="2673" t="s">
        <v>2625</v>
      </c>
      <c r="B66" s="2744">
        <v>106</v>
      </c>
      <c r="C66" s="2744">
        <v>107</v>
      </c>
      <c r="D66" s="2744">
        <f t="shared" si="29"/>
        <v>107</v>
      </c>
      <c r="E66" s="2744">
        <v>105</v>
      </c>
      <c r="F66" s="2745">
        <v>102</v>
      </c>
      <c r="G66" s="3473">
        <v>2002</v>
      </c>
      <c r="H66" s="2693">
        <v>4</v>
      </c>
      <c r="I66" s="2740"/>
      <c r="J66" s="2740"/>
      <c r="K66" s="2740"/>
      <c r="L66" s="2740"/>
      <c r="N66" s="2741"/>
      <c r="O66" s="2740"/>
      <c r="P66" s="2740"/>
      <c r="Q66" s="2740"/>
      <c r="S66" s="2741"/>
      <c r="T66" s="2740"/>
      <c r="U66" s="2740"/>
      <c r="V66" s="2740"/>
      <c r="X66" s="2732"/>
      <c r="Y66" s="2732"/>
      <c r="Z66" s="2732"/>
    </row>
    <row r="67" spans="1:26">
      <c r="A67" s="2673" t="s">
        <v>2626</v>
      </c>
      <c r="B67" s="2742">
        <f t="shared" ref="B67:C69" si="67">B68+(B$66-B$70)/4</f>
        <v>105</v>
      </c>
      <c r="C67" s="2742">
        <f t="shared" si="67"/>
        <v>106</v>
      </c>
      <c r="D67" s="2742">
        <f t="shared" si="29"/>
        <v>106</v>
      </c>
      <c r="E67" s="2742">
        <f t="shared" ref="E67:F69" si="68">E68+(E$66-E$70)/4</f>
        <v>104.5</v>
      </c>
      <c r="F67" s="2742">
        <f t="shared" si="68"/>
        <v>101.5</v>
      </c>
      <c r="G67" s="3474">
        <v>2002</v>
      </c>
      <c r="H67" s="2698">
        <v>3</v>
      </c>
      <c r="I67" s="2740"/>
      <c r="J67" s="2740"/>
      <c r="K67" s="2740"/>
      <c r="L67" s="2740"/>
      <c r="X67" s="2732"/>
      <c r="Y67" s="2732"/>
      <c r="Z67" s="2732"/>
    </row>
    <row r="68" spans="1:26">
      <c r="A68" s="2673" t="s">
        <v>2627</v>
      </c>
      <c r="B68" s="2742">
        <f t="shared" si="67"/>
        <v>104</v>
      </c>
      <c r="C68" s="2742">
        <f t="shared" si="67"/>
        <v>105</v>
      </c>
      <c r="D68" s="2742">
        <f t="shared" si="29"/>
        <v>105</v>
      </c>
      <c r="E68" s="2742">
        <f t="shared" si="68"/>
        <v>104</v>
      </c>
      <c r="F68" s="2742">
        <f t="shared" si="68"/>
        <v>101</v>
      </c>
      <c r="G68" s="3474">
        <v>2002</v>
      </c>
      <c r="H68" s="2678">
        <v>2</v>
      </c>
      <c r="I68" s="2740"/>
      <c r="J68" s="2740"/>
      <c r="K68" s="2740"/>
      <c r="L68" s="2740"/>
      <c r="X68" s="2732"/>
      <c r="Y68" s="2732"/>
      <c r="Z68" s="2732"/>
    </row>
    <row r="69" spans="1:26" s="2709" customFormat="1" ht="13.5" thickBot="1">
      <c r="A69" s="2705" t="s">
        <v>2628</v>
      </c>
      <c r="B69" s="2746">
        <f t="shared" si="67"/>
        <v>103</v>
      </c>
      <c r="C69" s="2746">
        <f t="shared" si="67"/>
        <v>104</v>
      </c>
      <c r="D69" s="2746">
        <f t="shared" si="29"/>
        <v>104</v>
      </c>
      <c r="E69" s="2746">
        <f t="shared" si="68"/>
        <v>103.5</v>
      </c>
      <c r="F69" s="2746">
        <f t="shared" si="68"/>
        <v>100.5</v>
      </c>
      <c r="G69" s="3475">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2629</v>
      </c>
      <c r="G72" s="2756"/>
      <c r="N72" s="2756"/>
      <c r="S72" s="2756"/>
    </row>
    <row r="73" spans="1:26" s="2755" customFormat="1">
      <c r="A73" s="2755" t="s">
        <v>2630</v>
      </c>
      <c r="G73" s="2756"/>
      <c r="N73" s="2756"/>
      <c r="S73" s="2756"/>
    </row>
    <row r="74" spans="1:26" s="2755" customFormat="1">
      <c r="A74" s="2755" t="s">
        <v>2631</v>
      </c>
      <c r="G74" s="2756"/>
      <c r="I74" s="2757"/>
      <c r="J74" s="2757"/>
      <c r="K74" s="2757"/>
      <c r="L74" s="2757"/>
      <c r="N74" s="2758"/>
      <c r="O74" s="2757"/>
      <c r="P74" s="2757"/>
      <c r="Q74" s="2757"/>
      <c r="S74" s="2758"/>
      <c r="T74" s="2757"/>
      <c r="U74" s="2757"/>
      <c r="V74" s="2757"/>
    </row>
    <row r="75" spans="1:26" s="2755" customFormat="1">
      <c r="A75" s="2755" t="s">
        <v>2632</v>
      </c>
      <c r="G75" s="2756"/>
      <c r="N75" s="2756"/>
      <c r="S75" s="2756"/>
    </row>
    <row r="82" spans="7:22" ht="13.5" thickBot="1"/>
    <row r="83" spans="7:22">
      <c r="G83" s="2681"/>
      <c r="S83" s="2759" t="s">
        <v>2633</v>
      </c>
      <c r="T83" s="2760" t="s">
        <v>2634</v>
      </c>
      <c r="U83" s="2760" t="s">
        <v>2635</v>
      </c>
      <c r="V83" s="2760" t="s">
        <v>2636</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view="pageBreakPreview" zoomScaleNormal="100" zoomScaleSheetLayoutView="100" workbookViewId="0">
      <selection activeCell="C40" sqref="C40"/>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7"/>
      <c r="C1" s="2098"/>
      <c r="D1" s="2098"/>
      <c r="E1" s="2098"/>
      <c r="F1" s="2098"/>
      <c r="G1" s="2098"/>
      <c r="H1" s="2098"/>
      <c r="I1" s="2098"/>
      <c r="J1" s="2098"/>
      <c r="K1" s="418">
        <f>MATCH(B1,'数据-取费表'!A6:A16,0)+5</f>
        <v>10</v>
      </c>
    </row>
    <row r="2" spans="1:31" s="2035" customFormat="1" ht="18" customHeight="1">
      <c r="A2" s="2095" t="s">
        <v>466</v>
      </c>
      <c r="B2" s="2099">
        <f ca="1">C36</f>
        <v>225309</v>
      </c>
      <c r="C2" s="2098"/>
      <c r="D2" s="2098"/>
      <c r="E2" s="2098"/>
      <c r="F2" s="2098"/>
      <c r="G2" s="2098"/>
      <c r="H2" s="2098"/>
      <c r="I2" s="2098"/>
      <c r="J2" s="2098"/>
      <c r="K2" s="2098"/>
    </row>
    <row r="3" spans="1:31" s="2035" customFormat="1" ht="18" customHeight="1">
      <c r="A3" s="2100" t="s">
        <v>1684</v>
      </c>
      <c r="B3" s="2101">
        <f ca="1">ROUND(B2*10000/IF(B1="",'数据-汇总表'!E3,INDIRECT("'数据-取费表'!K"&amp;$K$1)),0)</f>
        <v>4258</v>
      </c>
      <c r="C3" s="2098"/>
      <c r="D3" s="2098"/>
      <c r="E3" s="2098"/>
      <c r="F3" s="2098"/>
      <c r="G3" s="2098"/>
      <c r="H3" s="2098"/>
      <c r="I3" s="2098"/>
      <c r="J3" s="2098"/>
      <c r="K3" s="2098"/>
    </row>
    <row r="4" spans="1:31" s="2035" customFormat="1" ht="18" customHeight="1">
      <c r="A4" s="422" t="s">
        <v>467</v>
      </c>
      <c r="B4" s="423">
        <f ca="1">ROUND(B2*10000/IF(B1="",'数据-汇总表'!D3,INDIRECT("'数据-取费表'!R"&amp;$K$1)),0)</f>
        <v>21325</v>
      </c>
      <c r="C4" s="424"/>
      <c r="D4" s="418"/>
      <c r="E4" s="418"/>
      <c r="F4" s="418"/>
      <c r="G4" s="418"/>
      <c r="H4" s="418"/>
      <c r="I4" s="418"/>
      <c r="J4" s="418"/>
      <c r="K4" s="418"/>
    </row>
    <row r="5" spans="1:31" s="2035" customFormat="1" ht="18" customHeight="1" thickBot="1">
      <c r="A5" s="425"/>
      <c r="B5" s="426">
        <f ca="1">ROUND(B2/(IF(B1="",'数据-汇总表'!D3,INDIRECT("'数据-取费表'!R"&amp;$K$1))/666.67),0)</f>
        <v>1422</v>
      </c>
      <c r="C5" s="427" t="s">
        <v>468</v>
      </c>
      <c r="D5" s="418"/>
      <c r="E5" s="418"/>
      <c r="F5" s="418"/>
      <c r="G5" s="418"/>
      <c r="H5" s="418"/>
      <c r="I5" s="418"/>
      <c r="J5" s="418"/>
      <c r="K5" s="418"/>
    </row>
    <row r="6" spans="1:31" s="2105" customFormat="1" ht="16.5" customHeight="1">
      <c r="A6" s="2846" t="s">
        <v>1842</v>
      </c>
      <c r="B6" s="2847"/>
      <c r="C6" s="2848">
        <f ca="1">SUM(C10:K10)</f>
        <v>460960</v>
      </c>
      <c r="D6" s="2847"/>
      <c r="E6" s="2847"/>
      <c r="F6" s="2847"/>
      <c r="G6" s="2847"/>
      <c r="H6" s="2847"/>
      <c r="I6" s="2847"/>
      <c r="J6" s="2847"/>
      <c r="K6" s="2849"/>
    </row>
    <row r="7" spans="1:31" s="2107" customFormat="1" ht="15">
      <c r="A7" s="2850" t="s">
        <v>469</v>
      </c>
      <c r="B7" s="2851" t="s">
        <v>470</v>
      </c>
      <c r="C7" s="432" t="s">
        <v>3008</v>
      </c>
      <c r="D7" s="432" t="s">
        <v>922</v>
      </c>
      <c r="E7" s="432" t="s">
        <v>2979</v>
      </c>
      <c r="F7" s="432" t="s">
        <v>35</v>
      </c>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9" t="s">
        <v>1845</v>
      </c>
      <c r="B8" s="259" t="s">
        <v>471</v>
      </c>
      <c r="C8" s="2852">
        <v>7402</v>
      </c>
      <c r="D8" s="3210">
        <f>'不动产比较法-住宅'!B3</f>
        <v>12565</v>
      </c>
      <c r="E8" s="2852">
        <f>'不动产比较法-商业'!B3</f>
        <v>22045</v>
      </c>
      <c r="F8" s="2852">
        <f ca="1">不动产收益法!B3</f>
        <v>3036</v>
      </c>
      <c r="G8" s="2852"/>
      <c r="H8" s="2852"/>
      <c r="I8" s="2852"/>
      <c r="J8" s="2852"/>
      <c r="K8" s="2853"/>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9" t="s">
        <v>1846</v>
      </c>
      <c r="B9" s="259" t="s">
        <v>472</v>
      </c>
      <c r="C9" s="437">
        <f>SUMIF('数据-汇总表'!$C19:$C33,'剩余法-待开发'!C7,'数据-汇总表'!$E19:$E33)</f>
        <v>140000</v>
      </c>
      <c r="D9" s="437">
        <f>SUMIF('数据-汇总表'!$C19:$C33,'剩余法-待开发'!D7,'数据-汇总表'!$E19:$E33)</f>
        <v>230740</v>
      </c>
      <c r="E9" s="437">
        <f>SUMIF('数据-汇总表'!$C19:$C33,'剩余法-待开发'!E7,'数据-汇总表'!$E19:$E33)</f>
        <v>12117</v>
      </c>
      <c r="F9" s="437">
        <f>SUMIF('数据-汇总表'!$C19:$C33,'剩余法-待开发'!F7,'数据-汇总表'!$E19:$E33)</f>
        <v>134025.01</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4" t="s">
        <v>1847</v>
      </c>
      <c r="B10" s="2840" t="s">
        <v>473</v>
      </c>
      <c r="C10" s="3047">
        <f>ROUND(C8*C9/10000,0)</f>
        <v>103628</v>
      </c>
      <c r="D10" s="3218">
        <f>'不动产比较法-住宅'!B2</f>
        <v>289925</v>
      </c>
      <c r="E10" s="3218">
        <f>'不动产比较法-商业'!B2</f>
        <v>26712</v>
      </c>
      <c r="F10" s="3218">
        <f ca="1">不动产收益法!B2</f>
        <v>40695</v>
      </c>
      <c r="G10" s="2855"/>
      <c r="H10" s="2855"/>
      <c r="I10" s="2855"/>
      <c r="J10" s="2855"/>
      <c r="K10" s="2856"/>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7" t="s">
        <v>1843</v>
      </c>
      <c r="B11" s="2847"/>
      <c r="C11" s="2847"/>
      <c r="D11" s="2847"/>
      <c r="E11" s="2847"/>
      <c r="F11" s="2847"/>
      <c r="G11" s="2847"/>
      <c r="H11" s="2847"/>
      <c r="I11" s="2847"/>
      <c r="J11" s="2847"/>
      <c r="K11" s="2849"/>
    </row>
    <row r="12" spans="1:31" s="2079" customFormat="1" ht="13.5" customHeight="1">
      <c r="A12" s="2858" t="s">
        <v>469</v>
      </c>
      <c r="B12" s="2830" t="s">
        <v>470</v>
      </c>
      <c r="C12" s="2859" t="s">
        <v>474</v>
      </c>
      <c r="D12" s="2826" t="s">
        <v>475</v>
      </c>
      <c r="E12" s="2826" t="s">
        <v>476</v>
      </c>
      <c r="F12" s="2826" t="s">
        <v>477</v>
      </c>
      <c r="G12" s="2830"/>
      <c r="H12" s="2831"/>
      <c r="I12" s="2831"/>
      <c r="J12" s="2831"/>
      <c r="K12" s="2832"/>
    </row>
    <row r="13" spans="1:31" s="2110" customFormat="1" ht="13.5" customHeight="1">
      <c r="A13" s="2860" t="s">
        <v>1848</v>
      </c>
      <c r="B13" s="2861" t="s">
        <v>478</v>
      </c>
      <c r="C13" s="446">
        <f ca="1">IF(B1="",'数据-取费表'!P16,INDIRECT("'数据-取费表'!p"&amp;$K$1)+INDIRECT("'数据-取费表'!t"&amp;$K$1))</f>
        <v>109145</v>
      </c>
      <c r="D13" s="2862"/>
      <c r="E13" s="2863"/>
      <c r="F13" s="2864"/>
      <c r="G13" s="2830"/>
      <c r="H13" s="2831"/>
      <c r="I13" s="2831"/>
      <c r="J13" s="2831"/>
      <c r="K13" s="2832"/>
    </row>
    <row r="14" spans="1:31" s="2110" customFormat="1" ht="13.5" customHeight="1">
      <c r="A14" s="2860" t="s">
        <v>1849</v>
      </c>
      <c r="B14" s="2861" t="s">
        <v>479</v>
      </c>
      <c r="C14" s="53">
        <f ca="1">ROUND(C13*F14,0)</f>
        <v>3274</v>
      </c>
      <c r="D14" s="2862"/>
      <c r="E14" s="2863"/>
      <c r="F14" s="2865">
        <f>'数据-取费表'!B33</f>
        <v>0.03</v>
      </c>
      <c r="G14" s="2830" t="s">
        <v>480</v>
      </c>
      <c r="H14" s="2831"/>
      <c r="I14" s="2831"/>
      <c r="J14" s="2831"/>
      <c r="K14" s="2832"/>
    </row>
    <row r="15" spans="1:31" s="2110" customFormat="1" ht="13.5" customHeight="1">
      <c r="A15" s="2860" t="s">
        <v>1850</v>
      </c>
      <c r="B15" s="2861" t="s">
        <v>481</v>
      </c>
      <c r="C15" s="53">
        <f ca="1">ROUND(IF(B1="",SUMIF('数据-取费表'!C:C,"住宅",'数据-取费表'!P:P)*F15,IF(INDIRECT("'数据-取费表'!c"&amp;$K$1)="住宅",INDIRECT("'数据-取费表'!P"&amp;$K$1)*F15,0)),0)</f>
        <v>2445</v>
      </c>
      <c r="D15" s="2862"/>
      <c r="E15" s="2863"/>
      <c r="F15" s="2865">
        <f>'数据-取费表'!B34</f>
        <v>0.03</v>
      </c>
      <c r="G15" s="2830" t="s">
        <v>482</v>
      </c>
      <c r="H15" s="2831"/>
      <c r="I15" s="2831"/>
      <c r="J15" s="2831"/>
      <c r="K15" s="2832"/>
    </row>
    <row r="16" spans="1:31" s="2111" customFormat="1" ht="13.5" customHeight="1">
      <c r="A16" s="2860" t="s">
        <v>1851</v>
      </c>
      <c r="B16" s="2861" t="s">
        <v>483</v>
      </c>
      <c r="C16" s="53">
        <f ca="1">ROUND(D16*E16/10000,0)</f>
        <v>10583</v>
      </c>
      <c r="D16" s="2862">
        <f ca="1">IF(B1="",'数据-汇总表'!E3,INDIRECT("'数据-取费表'!K"&amp;$K$1)+INDIRECT("'数据-取费表'!S"&amp;$K$1))</f>
        <v>529172.31000000006</v>
      </c>
      <c r="E16" s="53">
        <f>'数据-取费表'!B35</f>
        <v>200</v>
      </c>
      <c r="F16" s="2865"/>
      <c r="G16" s="2830"/>
      <c r="H16" s="2831"/>
      <c r="I16" s="2831"/>
      <c r="J16" s="2831"/>
      <c r="K16" s="2832"/>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0" t="s">
        <v>1852</v>
      </c>
      <c r="B17" s="2861" t="s">
        <v>484</v>
      </c>
      <c r="C17" s="2866">
        <f ca="1">ROUND(C13*F17,0)</f>
        <v>1637</v>
      </c>
      <c r="D17" s="471"/>
      <c r="E17" s="2866"/>
      <c r="F17" s="2867">
        <f>'数据-取费表'!B36</f>
        <v>1.4999999999999999E-2</v>
      </c>
      <c r="G17" s="259" t="s">
        <v>485</v>
      </c>
      <c r="H17" s="2833"/>
      <c r="I17" s="2833"/>
      <c r="J17" s="2833"/>
      <c r="K17" s="277"/>
    </row>
    <row r="18" spans="1:14" s="2110" customFormat="1" ht="13.5" customHeight="1">
      <c r="A18" s="2868" t="s">
        <v>1853</v>
      </c>
      <c r="B18" s="2869" t="s">
        <v>486</v>
      </c>
      <c r="C18" s="2870">
        <f ca="1">SUM(C13:C17)</f>
        <v>127084</v>
      </c>
      <c r="D18" s="2871"/>
      <c r="E18" s="464"/>
      <c r="F18" s="464"/>
      <c r="G18" s="2834" t="s">
        <v>2427</v>
      </c>
      <c r="H18" s="2835"/>
      <c r="I18" s="2835"/>
      <c r="J18" s="2835"/>
      <c r="K18" s="2836"/>
    </row>
    <row r="19" spans="1:14" s="2110" customFormat="1" ht="13.5" customHeight="1">
      <c r="A19" s="2868" t="s">
        <v>1854</v>
      </c>
      <c r="B19" s="2869" t="s">
        <v>487</v>
      </c>
      <c r="C19" s="2826">
        <f ca="1">ROUND(D19*E19/10000,0)</f>
        <v>7938</v>
      </c>
      <c r="D19" s="2872">
        <f ca="1">D16</f>
        <v>529172.31000000006</v>
      </c>
      <c r="E19" s="2826">
        <f>'数据-取费表'!B32</f>
        <v>150</v>
      </c>
      <c r="F19" s="464"/>
      <c r="G19" s="2830" t="s">
        <v>488</v>
      </c>
      <c r="H19" s="2831"/>
      <c r="I19" s="2835"/>
      <c r="J19" s="2835"/>
      <c r="K19" s="2836"/>
    </row>
    <row r="20" spans="1:14" s="2110" customFormat="1" ht="13.5" customHeight="1">
      <c r="A20" s="2868" t="s">
        <v>1855</v>
      </c>
      <c r="B20" s="2869" t="s">
        <v>489</v>
      </c>
      <c r="C20" s="2826">
        <f ca="1">C21+C22-IF(B1="",'数据-取费表'!B29,IF(G20="已全部缴纳",C21+C22,H20))</f>
        <v>5291</v>
      </c>
      <c r="D20" s="2872"/>
      <c r="E20" s="2826"/>
      <c r="F20" s="2873"/>
      <c r="G20" s="3107"/>
      <c r="H20" s="2828">
        <v>0</v>
      </c>
      <c r="I20" s="2829" t="s">
        <v>2649</v>
      </c>
      <c r="J20" s="2835"/>
      <c r="K20" s="2836"/>
    </row>
    <row r="21" spans="1:14" s="2110" customFormat="1" ht="13.5" customHeight="1">
      <c r="A21" s="2860" t="s">
        <v>1856</v>
      </c>
      <c r="B21" s="2861" t="s">
        <v>490</v>
      </c>
      <c r="C21" s="53">
        <f ca="1">ROUND(D21*E21/10000,0)</f>
        <v>3707</v>
      </c>
      <c r="D21" s="2862">
        <f ca="1">IF(B1="",'数据-汇总表'!E5,IF(INDIRECT("'数据-取费表'!c"&amp;$K$1)="住宅",INDIRECT("'数据-取费表'!k"&amp;$K$1),0))</f>
        <v>370740</v>
      </c>
      <c r="E21" s="53">
        <f>'数据-取费表'!B27</f>
        <v>100</v>
      </c>
      <c r="F21" s="2865"/>
      <c r="G21" s="26"/>
      <c r="H21" s="51"/>
      <c r="I21" s="51"/>
      <c r="J21" s="51"/>
      <c r="K21" s="2837"/>
    </row>
    <row r="22" spans="1:14" s="2110" customFormat="1" ht="13.5" customHeight="1">
      <c r="A22" s="2860" t="s">
        <v>1857</v>
      </c>
      <c r="B22" s="2861" t="s">
        <v>491</v>
      </c>
      <c r="C22" s="53">
        <f ca="1">ROUND(D22*E22/10000,0)</f>
        <v>1584</v>
      </c>
      <c r="D22" s="2862">
        <f ca="1">IF(B1="",'数据-汇总表'!E6,IF(INDIRECT("'数据-取费表'!c"&amp;$K$1)="住宅",INDIRECT("'数据-取费表'!s"&amp;$K$1),INDIRECT("'数据-取费表'!k"&amp;$K$1)+INDIRECT("'数据-取费表'!s"&amp;$K$1)))</f>
        <v>158432.31000000006</v>
      </c>
      <c r="E22" s="53">
        <f>'数据-取费表'!B28</f>
        <v>100</v>
      </c>
      <c r="F22" s="2865"/>
      <c r="G22" s="26"/>
      <c r="H22" s="51"/>
      <c r="I22" s="51"/>
      <c r="J22" s="51"/>
      <c r="K22" s="2837"/>
    </row>
    <row r="23" spans="1:14" s="2110" customFormat="1" ht="13.5" customHeight="1">
      <c r="A23" s="2868" t="s">
        <v>1858</v>
      </c>
      <c r="B23" s="3053" t="s">
        <v>2832</v>
      </c>
      <c r="C23" s="2870">
        <f ca="1">ROUND((C18+C19+C20)*F23,0)</f>
        <v>2105</v>
      </c>
      <c r="D23" s="464"/>
      <c r="E23" s="464"/>
      <c r="F23" s="2874">
        <f>'数据-取费表'!B37</f>
        <v>1.4999999999999999E-2</v>
      </c>
      <c r="G23" s="2830" t="s">
        <v>2428</v>
      </c>
      <c r="H23" s="2831"/>
      <c r="I23" s="2831"/>
      <c r="J23" s="2831"/>
      <c r="K23" s="2832"/>
      <c r="L23" s="2112"/>
      <c r="M23" s="2112"/>
      <c r="N23" s="2112"/>
    </row>
    <row r="24" spans="1:14" s="2110" customFormat="1" ht="13.5" customHeight="1">
      <c r="A24" s="2868" t="s">
        <v>1859</v>
      </c>
      <c r="B24" s="3053" t="s">
        <v>2835</v>
      </c>
      <c r="C24" s="2870">
        <f ca="1">ROUND(C6*F24,0)</f>
        <v>6914</v>
      </c>
      <c r="D24" s="471"/>
      <c r="E24" s="469"/>
      <c r="F24" s="2874">
        <f>'数据-取费表'!B38</f>
        <v>1.4999999999999999E-2</v>
      </c>
      <c r="G24" s="2839" t="s">
        <v>498</v>
      </c>
      <c r="H24" s="2833"/>
      <c r="I24" s="2833"/>
      <c r="J24" s="2833"/>
      <c r="K24" s="277"/>
      <c r="L24" s="2112"/>
      <c r="M24" s="2112"/>
      <c r="N24" s="2112"/>
    </row>
    <row r="25" spans="1:14" s="2113" customFormat="1" ht="13.5" customHeight="1">
      <c r="A25" s="2868" t="s">
        <v>1860</v>
      </c>
      <c r="B25" s="3053" t="s">
        <v>2833</v>
      </c>
      <c r="C25" s="463">
        <f>ROUND(F25/(1+'数据-取费表'!C42),4)</f>
        <v>3.8600000000000002E-2</v>
      </c>
      <c r="D25" s="458" t="s">
        <v>2827</v>
      </c>
      <c r="E25" s="465"/>
      <c r="F25" s="2874">
        <f>'数据-取费表'!B48+'数据-取费表'!B49</f>
        <v>4.0500000000000001E-2</v>
      </c>
      <c r="G25" s="2838" t="s">
        <v>2288</v>
      </c>
      <c r="H25" s="2831"/>
      <c r="I25" s="2831"/>
      <c r="J25" s="2831"/>
      <c r="K25" s="2832"/>
    </row>
    <row r="26" spans="1:14" s="2112" customFormat="1" ht="13.5" customHeight="1">
      <c r="A26" s="2868" t="s">
        <v>1861</v>
      </c>
      <c r="B26" s="3054" t="s">
        <v>2834</v>
      </c>
      <c r="C26" s="2875">
        <f ca="1">C28</f>
        <v>8919</v>
      </c>
      <c r="D26" s="463">
        <f ca="1">C27</f>
        <v>0.1278</v>
      </c>
      <c r="E26" s="465" t="s">
        <v>494</v>
      </c>
      <c r="F26" s="467">
        <f ca="1">'数据-取费表'!B40</f>
        <v>4.7500000000000001E-2</v>
      </c>
      <c r="G26" s="2590" t="str">
        <f>IF('数据-取费表'!B22&lt;=1,"单利计息。","复利计息。")&amp;"后续开发成本、管理费用及销售费用产生的利息。"</f>
        <v>复利计息。后续开发成本、管理费用及销售费用产生的利息。</v>
      </c>
      <c r="H26" s="2835"/>
      <c r="I26" s="2835"/>
      <c r="J26" s="2835"/>
      <c r="K26" s="2836"/>
    </row>
    <row r="27" spans="1:14" s="2114" customFormat="1" ht="13.5" customHeight="1">
      <c r="A27" s="799" t="s">
        <v>1856</v>
      </c>
      <c r="B27" s="2876" t="s">
        <v>495</v>
      </c>
      <c r="C27" s="2877">
        <f ca="1">ROUND(IF('数据-取费表'!B22&lt;=1,(1+C25)*F26*'数据-取费表'!B24,(1+C25)*(POWER((1+F26),'数据-取费表'!B24)-1)),4)</f>
        <v>0.1278</v>
      </c>
      <c r="D27" s="468"/>
      <c r="E27" s="469"/>
      <c r="F27" s="470"/>
      <c r="G27" s="2590" t="str">
        <f>IF('数据-取费表'!B22&lt;=1,"（1+取得税费率/(1+5%)）×年利率×建设期","（1+取得税费率）/(1+5%)×((1+年利率)^建设期-1)")</f>
        <v>（1+取得税费率）/(1+5%)×((1+年利率)^建设期-1)</v>
      </c>
      <c r="H27" s="2833"/>
      <c r="I27" s="2833"/>
      <c r="J27" s="2833"/>
      <c r="K27" s="277"/>
    </row>
    <row r="28" spans="1:14" s="2114" customFormat="1" ht="13.5" customHeight="1">
      <c r="A28" s="799" t="s">
        <v>1857</v>
      </c>
      <c r="B28" s="2876" t="s">
        <v>2836</v>
      </c>
      <c r="C28" s="2878">
        <f ca="1">ROUND(IF('数据-取费表'!B22&lt;=1,(C18+C19+C20+C23+C24)*F26*'数据-取费表'!B24/2,(C18+C19+C20+C23+C24)*(POWER((1+F26),'数据-取费表'!B24/2)-1)),0)</f>
        <v>8919</v>
      </c>
      <c r="D28" s="468"/>
      <c r="E28" s="469"/>
      <c r="F28" s="470"/>
      <c r="G28" s="2590" t="str">
        <f>IF('数据-取费表'!B22&lt;=1,"（1）-（4）项×年利率×建设期÷2","（1）-（4）项×((1+年利率)^(建设期÷2)-1)")</f>
        <v>（1）-（4）项×((1+年利率)^(建设期÷2)-1)</v>
      </c>
      <c r="H28" s="2833"/>
      <c r="I28" s="2833"/>
      <c r="J28" s="2833"/>
      <c r="K28" s="277"/>
    </row>
    <row r="29" spans="1:14" s="2114" customFormat="1" ht="13.5" customHeight="1">
      <c r="A29" s="2879" t="s">
        <v>1862</v>
      </c>
      <c r="B29" s="2869" t="s">
        <v>496</v>
      </c>
      <c r="C29" s="2870">
        <f ca="1">ROUND(C6*F29/(1+'数据-取费表'!C42),0)</f>
        <v>24585</v>
      </c>
      <c r="D29" s="464"/>
      <c r="E29" s="464"/>
      <c r="F29" s="3055">
        <f>'数据-取费表'!B41</f>
        <v>5.6000000000000001E-2</v>
      </c>
      <c r="G29" s="2839" t="s">
        <v>497</v>
      </c>
      <c r="H29" s="2831"/>
      <c r="I29" s="2831"/>
      <c r="J29" s="2831"/>
      <c r="K29" s="2832"/>
    </row>
    <row r="30" spans="1:14" s="2115" customFormat="1" ht="13.5" customHeight="1">
      <c r="A30" s="1629" t="s">
        <v>1863</v>
      </c>
      <c r="B30" s="2880" t="s">
        <v>499</v>
      </c>
      <c r="C30" s="2875">
        <f ca="1">C31</f>
        <v>182836</v>
      </c>
      <c r="D30" s="473">
        <f ca="1">C32</f>
        <v>0.16639999999999999</v>
      </c>
      <c r="E30" s="465" t="s">
        <v>494</v>
      </c>
      <c r="F30" s="467"/>
      <c r="G30" s="2838" t="s">
        <v>2963</v>
      </c>
      <c r="H30" s="2831"/>
      <c r="I30" s="2831"/>
      <c r="J30" s="2831"/>
      <c r="K30" s="2832"/>
    </row>
    <row r="31" spans="1:14" s="2114" customFormat="1" ht="13.5" customHeight="1">
      <c r="A31" s="799" t="s">
        <v>1856</v>
      </c>
      <c r="B31" s="2876"/>
      <c r="C31" s="446">
        <f ca="1">C18+C19+C20+C23+C24+C26+C29</f>
        <v>182836</v>
      </c>
      <c r="D31" s="468"/>
      <c r="E31" s="469"/>
      <c r="F31" s="470"/>
      <c r="G31" s="259"/>
      <c r="H31" s="2833"/>
      <c r="I31" s="2833"/>
      <c r="J31" s="2833"/>
      <c r="K31" s="277"/>
    </row>
    <row r="32" spans="1:14" s="2114" customFormat="1" ht="13.5" customHeight="1">
      <c r="A32" s="799" t="s">
        <v>1857</v>
      </c>
      <c r="B32" s="2876"/>
      <c r="C32" s="53">
        <f ca="1">ROUND(C25+D26,4)</f>
        <v>0.16639999999999999</v>
      </c>
      <c r="D32" s="468"/>
      <c r="E32" s="469"/>
      <c r="F32" s="470"/>
      <c r="G32" s="259"/>
      <c r="H32" s="2833"/>
      <c r="I32" s="2833"/>
      <c r="J32" s="2833"/>
      <c r="K32" s="277"/>
    </row>
    <row r="33" spans="1:11" s="2116" customFormat="1" ht="13.5" customHeight="1">
      <c r="A33" s="3052" t="s">
        <v>2831</v>
      </c>
      <c r="B33" s="3050" t="s">
        <v>2829</v>
      </c>
      <c r="C33" s="474">
        <f ca="1">C35</f>
        <v>5973</v>
      </c>
      <c r="D33" s="463">
        <f ca="1">C34</f>
        <v>4.1500000000000002E-2</v>
      </c>
      <c r="E33" s="465" t="s">
        <v>494</v>
      </c>
      <c r="F33" s="475">
        <f ca="1">IF(B1="",'数据-取费表'!Q16,INDIRECT("'数据-取费表'!q"&amp;$K$1))</f>
        <v>0.04</v>
      </c>
      <c r="G33" s="2834"/>
      <c r="H33" s="2835"/>
      <c r="I33" s="2835"/>
      <c r="J33" s="2835"/>
      <c r="K33" s="2836"/>
    </row>
    <row r="34" spans="1:11" s="2117" customFormat="1" ht="13.5" customHeight="1">
      <c r="A34" s="371" t="s">
        <v>1856</v>
      </c>
      <c r="B34" s="2881" t="s">
        <v>500</v>
      </c>
      <c r="C34" s="468">
        <f ca="1">ROUND((1+C25)*F33,4)</f>
        <v>4.1500000000000002E-2</v>
      </c>
      <c r="D34" s="468"/>
      <c r="E34" s="469"/>
      <c r="F34" s="476"/>
      <c r="G34" s="259" t="s">
        <v>2289</v>
      </c>
      <c r="H34" s="2833"/>
      <c r="I34" s="2833"/>
      <c r="J34" s="2833"/>
      <c r="K34" s="277"/>
    </row>
    <row r="35" spans="1:11" s="2117" customFormat="1" ht="13.5" customHeight="1" thickBot="1">
      <c r="A35" s="1630" t="s">
        <v>1857</v>
      </c>
      <c r="B35" s="3051" t="s">
        <v>2837</v>
      </c>
      <c r="C35" s="1622">
        <f ca="1">ROUND((C18+C19+C20+C23+C24)*F33,0)</f>
        <v>5973</v>
      </c>
      <c r="D35" s="1623"/>
      <c r="E35" s="2882"/>
      <c r="F35" s="1624"/>
      <c r="G35" s="2840"/>
      <c r="H35" s="2841"/>
      <c r="I35" s="2841"/>
      <c r="J35" s="2841"/>
      <c r="K35" s="2842"/>
    </row>
    <row r="36" spans="1:11" s="2079" customFormat="1" ht="13.5" customHeight="1" thickBot="1">
      <c r="A36" s="282" t="s">
        <v>1844</v>
      </c>
      <c r="B36" s="2844"/>
      <c r="C36" s="2883">
        <f ca="1">ROUND((C6-C30-C33)/(1+D30+D33),0)</f>
        <v>225309</v>
      </c>
      <c r="D36" s="2844"/>
      <c r="E36" s="2844"/>
      <c r="F36" s="2844"/>
      <c r="G36" s="2843" t="s">
        <v>2838</v>
      </c>
      <c r="H36" s="2844"/>
      <c r="I36" s="2844"/>
      <c r="J36" s="2844"/>
      <c r="K36" s="2845"/>
    </row>
    <row r="38" spans="1:11" ht="12.75" customHeight="1">
      <c r="F38" s="2108">
        <f>F9/4565</f>
        <v>29.359257393209202</v>
      </c>
    </row>
    <row r="39" spans="1:11">
      <c r="F39" s="2108">
        <f ca="1">F38*F8</f>
        <v>89134.70544578314</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56.25">
      <c r="A7" s="1790" t="s">
        <v>2745</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2930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18.75">
      <c r="A21" s="1786" t="s">
        <v>2073</v>
      </c>
    </row>
    <row r="22" spans="1:1" ht="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80" zoomScaleSheetLayoutView="85" workbookViewId="0">
      <selection activeCell="M34" sqref="M34"/>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2641" t="s">
        <v>718</v>
      </c>
      <c r="C1" s="2642" t="s">
        <v>719</v>
      </c>
      <c r="D1" s="2643" t="s">
        <v>922</v>
      </c>
      <c r="E1" s="2644"/>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466</v>
      </c>
      <c r="B2" s="2640">
        <f>ROUND(B3*D3/10000,0)</f>
        <v>289925</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7" customFormat="1" ht="28.5" customHeight="1" thickBot="1">
      <c r="A3" s="505" t="s">
        <v>518</v>
      </c>
      <c r="B3" s="847">
        <f>C49</f>
        <v>12565</v>
      </c>
      <c r="C3" s="848" t="s">
        <v>721</v>
      </c>
      <c r="D3" s="847">
        <f>SUMIF('数据-汇总表'!$C19:$C33,D1,'数据-汇总表'!$E19:$E33)</f>
        <v>230740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8" t="s">
        <v>520</v>
      </c>
      <c r="B4" s="509"/>
      <c r="C4" s="3410" t="s">
        <v>521</v>
      </c>
      <c r="D4" s="3411"/>
      <c r="E4" s="3434" t="s">
        <v>522</v>
      </c>
      <c r="F4" s="3435"/>
      <c r="G4" s="3410" t="s">
        <v>523</v>
      </c>
      <c r="H4" s="3411"/>
      <c r="I4" s="3410" t="s">
        <v>524</v>
      </c>
      <c r="J4" s="3411"/>
      <c r="K4" s="849" t="s">
        <v>525</v>
      </c>
      <c r="L4" s="2127"/>
      <c r="M4" s="2128"/>
      <c r="N4" s="2128"/>
      <c r="O4" s="2128"/>
      <c r="P4" s="3412" t="s">
        <v>526</v>
      </c>
      <c r="Q4" s="3413"/>
      <c r="R4" s="3398" t="s">
        <v>522</v>
      </c>
      <c r="S4" s="3399"/>
      <c r="T4" s="3398" t="s">
        <v>523</v>
      </c>
      <c r="U4" s="3399"/>
      <c r="V4" s="3418" t="s">
        <v>524</v>
      </c>
      <c r="W4" s="3418"/>
      <c r="X4" s="1562"/>
      <c r="Y4" s="3398" t="s">
        <v>526</v>
      </c>
      <c r="Z4" s="3399"/>
      <c r="AA4" s="3393" t="s">
        <v>522</v>
      </c>
      <c r="AB4" s="3393" t="s">
        <v>523</v>
      </c>
      <c r="AC4" s="3393" t="s">
        <v>524</v>
      </c>
    </row>
    <row r="5" spans="1:29" ht="15">
      <c r="A5" s="511"/>
      <c r="B5" s="512"/>
      <c r="C5" s="3421" t="str">
        <f>'比较法-住宅、综合'!C7:D7</f>
        <v>P(2018)009号</v>
      </c>
      <c r="D5" s="3422"/>
      <c r="E5" s="3480" t="s">
        <v>3155</v>
      </c>
      <c r="F5" s="3437"/>
      <c r="G5" s="3481" t="s">
        <v>3216</v>
      </c>
      <c r="H5" s="3422"/>
      <c r="I5" s="3481" t="s">
        <v>3219</v>
      </c>
      <c r="J5" s="3422"/>
      <c r="K5" s="850"/>
      <c r="L5" s="2127"/>
      <c r="M5" s="2128"/>
      <c r="N5" s="2128"/>
      <c r="O5" s="2128"/>
      <c r="P5" s="3414"/>
      <c r="Q5" s="3415"/>
      <c r="R5" s="3400"/>
      <c r="S5" s="3401"/>
      <c r="T5" s="3400"/>
      <c r="U5" s="3401"/>
      <c r="V5" s="3418"/>
      <c r="W5" s="3418"/>
      <c r="X5" s="1562"/>
      <c r="Y5" s="3400"/>
      <c r="Z5" s="3401"/>
      <c r="AA5" s="3394"/>
      <c r="AB5" s="3394"/>
      <c r="AC5" s="3394"/>
    </row>
    <row r="6" spans="1:29" ht="15.75" thickBot="1">
      <c r="A6" s="513"/>
      <c r="B6" s="514"/>
      <c r="C6" s="3419" t="str">
        <f>'比较法-住宅、综合'!C8:D8</f>
        <v>江夏区纸坊街齐心村</v>
      </c>
      <c r="D6" s="3420"/>
      <c r="E6" s="3482" t="s">
        <v>3156</v>
      </c>
      <c r="F6" s="3439"/>
      <c r="G6" s="3483" t="s">
        <v>3158</v>
      </c>
      <c r="H6" s="3420"/>
      <c r="I6" s="3483" t="s">
        <v>3159</v>
      </c>
      <c r="J6" s="3420"/>
      <c r="K6" s="850" t="s">
        <v>527</v>
      </c>
      <c r="L6" s="2127"/>
      <c r="M6" s="2128"/>
      <c r="N6" s="2128"/>
      <c r="O6" s="2128"/>
      <c r="P6" s="3416"/>
      <c r="Q6" s="3417"/>
      <c r="R6" s="3400"/>
      <c r="S6" s="3401"/>
      <c r="T6" s="3402"/>
      <c r="U6" s="3403"/>
      <c r="V6" s="3418"/>
      <c r="W6" s="3418"/>
      <c r="X6" s="1562"/>
      <c r="Y6" s="3402"/>
      <c r="Z6" s="3403"/>
      <c r="AA6" s="3395"/>
      <c r="AB6" s="3395"/>
      <c r="AC6" s="3395"/>
    </row>
    <row r="7" spans="1:29" s="1215" customFormat="1" ht="15.75" thickBot="1">
      <c r="A7" s="2930"/>
      <c r="B7" s="2937" t="s">
        <v>528</v>
      </c>
      <c r="C7" s="515">
        <f>'数据-取费表'!B2</f>
        <v>43182</v>
      </c>
      <c r="D7" s="516">
        <v>100</v>
      </c>
      <c r="E7" s="517">
        <v>43101</v>
      </c>
      <c r="F7" s="518">
        <f>SUMIF(58:58,YEAR(E7)&amp;"-"&amp;MONTH(E7),59:59)</f>
        <v>100</v>
      </c>
      <c r="G7" s="517">
        <v>43101</v>
      </c>
      <c r="H7" s="516">
        <f>SUMIF(58:58,YEAR(G7)&amp;"-"&amp;MONTH(G7),59:59)</f>
        <v>100</v>
      </c>
      <c r="I7" s="519">
        <v>43070</v>
      </c>
      <c r="J7" s="516">
        <f>SUMIF(58:58,YEAR(I7)&amp;"-"&amp;MONTH(I7),59:59)</f>
        <v>99</v>
      </c>
      <c r="K7" s="851"/>
      <c r="L7" s="2129"/>
      <c r="M7" s="2130"/>
      <c r="N7" s="2130"/>
      <c r="O7" s="2130"/>
      <c r="P7" s="3396" t="s">
        <v>529</v>
      </c>
      <c r="Q7" s="3405"/>
      <c r="R7" s="1563" t="s">
        <v>13</v>
      </c>
      <c r="S7" s="1564">
        <f t="shared" ref="S7:S15" si="0">F7</f>
        <v>100</v>
      </c>
      <c r="T7" s="1563" t="s">
        <v>13</v>
      </c>
      <c r="U7" s="1564">
        <f t="shared" ref="U7:U15" si="1">H7</f>
        <v>100</v>
      </c>
      <c r="V7" s="1563" t="s">
        <v>13</v>
      </c>
      <c r="W7" s="1564">
        <f t="shared" ref="W7:W15" si="2">J7</f>
        <v>99</v>
      </c>
      <c r="X7" s="1565"/>
      <c r="Y7" s="3396" t="s">
        <v>529</v>
      </c>
      <c r="Z7" s="3397"/>
      <c r="AA7" s="1566">
        <f>D7/F7</f>
        <v>1</v>
      </c>
      <c r="AB7" s="1566">
        <f>D7/H7</f>
        <v>1</v>
      </c>
      <c r="AC7" s="1566">
        <f>D7/J7</f>
        <v>1.0101010101010102</v>
      </c>
    </row>
    <row r="8" spans="1:29" s="1215" customFormat="1" ht="15.75" thickBot="1">
      <c r="A8" s="2931"/>
      <c r="B8" s="2938" t="s">
        <v>530</v>
      </c>
      <c r="C8" s="521" t="s">
        <v>575</v>
      </c>
      <c r="D8" s="516">
        <v>100</v>
      </c>
      <c r="E8" s="852" t="s">
        <v>3101</v>
      </c>
      <c r="F8" s="518">
        <f>SUMIF(61:61,E8,62:62)-SUMIF(61:61,C8,62:62)+100</f>
        <v>100</v>
      </c>
      <c r="G8" s="852" t="s">
        <v>3101</v>
      </c>
      <c r="H8" s="516">
        <f>SUMIF(61:61,G8,62:62)-SUMIF(61:61,C8,62:62)+100</f>
        <v>100</v>
      </c>
      <c r="I8" s="852" t="s">
        <v>3101</v>
      </c>
      <c r="J8" s="516">
        <f>SUMIF(61:61,I8,62:62)-SUMIF(61:61,C8,62:62)+100</f>
        <v>100</v>
      </c>
      <c r="K8" s="851"/>
      <c r="L8" s="2129"/>
      <c r="M8" s="2130"/>
      <c r="N8" s="2130"/>
      <c r="O8" s="2130"/>
      <c r="P8" s="3396" t="s">
        <v>532</v>
      </c>
      <c r="Q8" s="3397"/>
      <c r="R8" s="1563" t="s">
        <v>13</v>
      </c>
      <c r="S8" s="1564">
        <f t="shared" si="0"/>
        <v>100</v>
      </c>
      <c r="T8" s="1563" t="s">
        <v>13</v>
      </c>
      <c r="U8" s="1564">
        <f t="shared" si="1"/>
        <v>100</v>
      </c>
      <c r="V8" s="1563" t="s">
        <v>13</v>
      </c>
      <c r="W8" s="1564">
        <f t="shared" si="2"/>
        <v>100</v>
      </c>
      <c r="X8" s="1565"/>
      <c r="Y8" s="3396" t="s">
        <v>532</v>
      </c>
      <c r="Z8" s="3397"/>
      <c r="AA8" s="1566">
        <f t="shared" ref="AA8:AA46" si="3">D8/F8</f>
        <v>1</v>
      </c>
      <c r="AB8" s="1566">
        <f t="shared" ref="AB8:AB46" si="4">D8/H8</f>
        <v>1</v>
      </c>
      <c r="AC8" s="1566">
        <f t="shared" ref="AC8:AC46" si="5">D8/J8</f>
        <v>1</v>
      </c>
    </row>
    <row r="9" spans="1:29" s="1215" customFormat="1" ht="15">
      <c r="A9" s="2932"/>
      <c r="B9" s="2939" t="s">
        <v>2754</v>
      </c>
      <c r="C9" s="853" t="str">
        <f>'比较法-住宅、综合'!C11</f>
        <v>居住</v>
      </c>
      <c r="D9" s="252">
        <v>100</v>
      </c>
      <c r="E9" s="854" t="s">
        <v>2973</v>
      </c>
      <c r="F9" s="855">
        <f>SUMIF(63:63,E9,64:64)-SUMIF(63:63,C9,64:64)+100</f>
        <v>100</v>
      </c>
      <c r="G9" s="854" t="s">
        <v>2973</v>
      </c>
      <c r="H9" s="252">
        <f>SUMIF(63:63,G9,64:64)-SUMIF(63:63,C9,64:64)+100</f>
        <v>100</v>
      </c>
      <c r="I9" s="854" t="s">
        <v>2973</v>
      </c>
      <c r="J9" s="252">
        <f>SUMIF(63:63,I9,64:64)-SUMIF(63:63,C9,64:64)+100</f>
        <v>100</v>
      </c>
      <c r="K9" s="851"/>
      <c r="L9" s="2129"/>
      <c r="M9" s="2130"/>
      <c r="N9" s="2130"/>
      <c r="O9" s="2131"/>
      <c r="P9" s="3404" t="s">
        <v>534</v>
      </c>
      <c r="Q9" s="1146" t="str">
        <f t="shared" ref="Q9:Q15" si="6">B9</f>
        <v>用途</v>
      </c>
      <c r="R9" s="1563" t="s">
        <v>8</v>
      </c>
      <c r="S9" s="1564">
        <f t="shared" si="0"/>
        <v>100</v>
      </c>
      <c r="T9" s="1563" t="s">
        <v>8</v>
      </c>
      <c r="U9" s="1564">
        <f t="shared" si="1"/>
        <v>100</v>
      </c>
      <c r="V9" s="1563" t="s">
        <v>8</v>
      </c>
      <c r="W9" s="1564">
        <f t="shared" si="2"/>
        <v>100</v>
      </c>
      <c r="X9" s="1565"/>
      <c r="Y9" s="3361" t="s">
        <v>535</v>
      </c>
      <c r="Z9" s="1145" t="str">
        <f t="shared" ref="Z9:Z15" si="7">Q9</f>
        <v>用途</v>
      </c>
      <c r="AA9" s="1566">
        <f t="shared" si="3"/>
        <v>1</v>
      </c>
      <c r="AB9" s="1566">
        <f t="shared" si="4"/>
        <v>1</v>
      </c>
      <c r="AC9" s="1566">
        <f t="shared" si="5"/>
        <v>1</v>
      </c>
    </row>
    <row r="10" spans="1:29" s="1333" customFormat="1" ht="27">
      <c r="A10" s="2933"/>
      <c r="B10" s="2938" t="s">
        <v>2755</v>
      </c>
      <c r="C10" s="857" t="s">
        <v>3129</v>
      </c>
      <c r="D10" s="253">
        <v>100</v>
      </c>
      <c r="E10" s="858" t="s">
        <v>3129</v>
      </c>
      <c r="F10" s="859">
        <f>SUMIF(65:65,E10,66:66)-SUMIF(65:65,C10,66:66)+100</f>
        <v>100</v>
      </c>
      <c r="G10" s="858" t="s">
        <v>3129</v>
      </c>
      <c r="H10" s="253">
        <f>SUMIF(65:65,G10,66:66)-SUMIF(65:65,C10,66:66)+100</f>
        <v>100</v>
      </c>
      <c r="I10" s="858" t="s">
        <v>3129</v>
      </c>
      <c r="J10" s="253">
        <f>SUMIF(65:65,I10,66:66)-SUMIF(65:65,C10,66:66)+100</f>
        <v>100</v>
      </c>
      <c r="K10" s="860"/>
      <c r="L10" s="2132"/>
      <c r="M10" s="2172"/>
      <c r="N10" s="2172"/>
      <c r="O10" s="2133"/>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75" thickBot="1">
      <c r="A11" s="2934"/>
      <c r="B11" s="2938" t="s">
        <v>2756</v>
      </c>
      <c r="C11" s="529">
        <f>'比较法-住宅、综合'!C13</f>
        <v>3.5</v>
      </c>
      <c r="D11" s="253">
        <v>100</v>
      </c>
      <c r="E11" s="530">
        <v>3.66</v>
      </c>
      <c r="F11" s="859">
        <f>LOOKUP(E11,68:68,69:69)-LOOKUP(C11,68:68,69:69)+100</f>
        <v>100</v>
      </c>
      <c r="G11" s="529">
        <v>2.04</v>
      </c>
      <c r="H11" s="253">
        <f>LOOKUP(G11,68:68,69:69)-LOOKUP(C11,68:68,69:69)+100</f>
        <v>105</v>
      </c>
      <c r="I11" s="529">
        <v>2.1</v>
      </c>
      <c r="J11" s="253">
        <f>LOOKUP(I11,68:68,69:69)-LOOKUP(C11,68:68,69:69)+100</f>
        <v>105</v>
      </c>
      <c r="K11" s="860">
        <v>5</v>
      </c>
      <c r="L11" s="2134"/>
      <c r="M11" s="2128"/>
      <c r="N11" s="2128"/>
      <c r="O11" s="2135"/>
      <c r="P11" s="3404"/>
      <c r="Q11" s="1146" t="str">
        <f t="shared" si="6"/>
        <v>容积率</v>
      </c>
      <c r="R11" s="1563" t="s">
        <v>11</v>
      </c>
      <c r="S11" s="1564">
        <f t="shared" si="0"/>
        <v>100</v>
      </c>
      <c r="T11" s="1563" t="s">
        <v>11</v>
      </c>
      <c r="U11" s="1564">
        <f t="shared" si="1"/>
        <v>105</v>
      </c>
      <c r="V11" s="1563" t="s">
        <v>11</v>
      </c>
      <c r="W11" s="1564">
        <f t="shared" si="2"/>
        <v>105</v>
      </c>
      <c r="X11" s="1565"/>
      <c r="Y11" s="3361"/>
      <c r="Z11" s="1145" t="str">
        <f t="shared" si="7"/>
        <v>容积率</v>
      </c>
      <c r="AA11" s="1566">
        <f t="shared" si="3"/>
        <v>1</v>
      </c>
      <c r="AB11" s="1566">
        <f t="shared" si="4"/>
        <v>0.95238095238095233</v>
      </c>
      <c r="AC11" s="1566">
        <f t="shared" si="5"/>
        <v>0.95238095238095233</v>
      </c>
    </row>
    <row r="12" spans="1:29" s="1215" customFormat="1" ht="15" hidden="1">
      <c r="A12" s="2935"/>
      <c r="B12" s="2941"/>
      <c r="C12" s="524"/>
      <c r="D12" s="534">
        <v>100</v>
      </c>
      <c r="E12" s="524"/>
      <c r="F12" s="859">
        <f>SUMIF(70:70,E12,71:71)-SUMIF(70:70,C12,71:71)+100</f>
        <v>100</v>
      </c>
      <c r="G12" s="524"/>
      <c r="H12" s="253">
        <f>SUMIF(70:70,G12,71:71)-SUMIF(70:70,C12,71:71)+100</f>
        <v>100</v>
      </c>
      <c r="I12" s="524"/>
      <c r="J12" s="253">
        <f>SUMIF(70:70,I12,71:71)-SUMIF(70:70,C12,71:71)+100</f>
        <v>100</v>
      </c>
      <c r="K12" s="861"/>
      <c r="L12" s="2129"/>
      <c r="M12" s="2130"/>
      <c r="N12" s="2130"/>
      <c r="O12" s="2131"/>
      <c r="P12" s="3404"/>
      <c r="Q12" s="1146">
        <f t="shared" si="6"/>
        <v>0</v>
      </c>
      <c r="R12" s="1563" t="s">
        <v>11</v>
      </c>
      <c r="S12" s="1564">
        <f t="shared" si="0"/>
        <v>100</v>
      </c>
      <c r="T12" s="1563" t="s">
        <v>11</v>
      </c>
      <c r="U12" s="1564">
        <f t="shared" si="1"/>
        <v>100</v>
      </c>
      <c r="V12" s="1563" t="s">
        <v>11</v>
      </c>
      <c r="W12" s="1564">
        <f t="shared" si="2"/>
        <v>100</v>
      </c>
      <c r="X12" s="1565"/>
      <c r="Y12" s="3361"/>
      <c r="Z12" s="1145">
        <f t="shared" si="7"/>
        <v>0</v>
      </c>
      <c r="AA12" s="1566">
        <f>D12/F12</f>
        <v>1</v>
      </c>
      <c r="AB12" s="1566">
        <f>D12/H12</f>
        <v>1</v>
      </c>
      <c r="AC12" s="1566">
        <f>D12/J12</f>
        <v>1</v>
      </c>
    </row>
    <row r="13" spans="1:29" ht="15" hidden="1">
      <c r="A13" s="2935"/>
      <c r="B13" s="2941"/>
      <c r="C13" s="535"/>
      <c r="D13" s="536">
        <v>100</v>
      </c>
      <c r="E13" s="535"/>
      <c r="F13" s="859">
        <f>SUMIF(72:72,E13,73:73)-SUMIF(72:72,C13,73:73)+100</f>
        <v>100</v>
      </c>
      <c r="G13" s="535"/>
      <c r="H13" s="536">
        <f>SUMIF(72:72,G13,73:73)-SUMIF(72:72,C13,73:73)+100</f>
        <v>100</v>
      </c>
      <c r="I13" s="535"/>
      <c r="J13" s="536">
        <f>SUMIF(72:72,I13,73:73)-SUMIF(72:72,C13,73:73)+100</f>
        <v>100</v>
      </c>
      <c r="K13" s="861"/>
      <c r="L13" s="2136"/>
      <c r="M13" s="2128"/>
      <c r="N13" s="2128"/>
      <c r="O13" s="2135"/>
      <c r="P13" s="3404"/>
      <c r="Q13" s="1146">
        <f t="shared" si="6"/>
        <v>0</v>
      </c>
      <c r="R13" s="1563" t="s">
        <v>11</v>
      </c>
      <c r="S13" s="1564">
        <f t="shared" si="0"/>
        <v>100</v>
      </c>
      <c r="T13" s="1563" t="s">
        <v>11</v>
      </c>
      <c r="U13" s="1564">
        <f t="shared" si="1"/>
        <v>100</v>
      </c>
      <c r="V13" s="1563" t="s">
        <v>11</v>
      </c>
      <c r="W13" s="1564">
        <f t="shared" si="2"/>
        <v>100</v>
      </c>
      <c r="X13" s="1565"/>
      <c r="Y13" s="3361"/>
      <c r="Z13" s="1145">
        <f t="shared" si="7"/>
        <v>0</v>
      </c>
      <c r="AA13" s="1566">
        <f t="shared" si="3"/>
        <v>1</v>
      </c>
      <c r="AB13" s="1566">
        <f t="shared" si="4"/>
        <v>1</v>
      </c>
      <c r="AC13" s="1566">
        <f t="shared" si="5"/>
        <v>1</v>
      </c>
    </row>
    <row r="14" spans="1:29" ht="15.75" hidden="1" thickBot="1">
      <c r="A14" s="2936"/>
      <c r="B14" s="2942"/>
      <c r="C14" s="541"/>
      <c r="D14" s="542">
        <v>100</v>
      </c>
      <c r="E14" s="541"/>
      <c r="F14" s="862">
        <f>SUMIF(74:74,E14,75:75)-SUMIF(74:74,C14,75:75)+100</f>
        <v>100</v>
      </c>
      <c r="G14" s="541"/>
      <c r="H14" s="542">
        <f>SUMIF(74:74,G14,75:75)-SUMIF(74:74,C14,75:75)+100</f>
        <v>100</v>
      </c>
      <c r="I14" s="541"/>
      <c r="J14" s="542">
        <f>SUMIF(74:74,I14,75:75)-SUMIF(74:74,C14,75:75)+100</f>
        <v>100</v>
      </c>
      <c r="K14" s="861"/>
      <c r="L14" s="2136"/>
      <c r="M14" s="2128"/>
      <c r="N14" s="2128"/>
      <c r="O14" s="2135"/>
      <c r="P14" s="3404"/>
      <c r="Q14" s="1146">
        <f t="shared" si="6"/>
        <v>0</v>
      </c>
      <c r="R14" s="1563" t="s">
        <v>11</v>
      </c>
      <c r="S14" s="1564">
        <f t="shared" si="0"/>
        <v>100</v>
      </c>
      <c r="T14" s="1563" t="s">
        <v>11</v>
      </c>
      <c r="U14" s="1564">
        <f t="shared" si="1"/>
        <v>100</v>
      </c>
      <c r="V14" s="1563" t="s">
        <v>11</v>
      </c>
      <c r="W14" s="1564">
        <f t="shared" si="2"/>
        <v>100</v>
      </c>
      <c r="X14" s="1565"/>
      <c r="Y14" s="3361"/>
      <c r="Z14" s="1145">
        <f t="shared" si="7"/>
        <v>0</v>
      </c>
      <c r="AA14" s="1566">
        <f t="shared" si="3"/>
        <v>1</v>
      </c>
      <c r="AB14" s="1566">
        <f t="shared" si="4"/>
        <v>1</v>
      </c>
      <c r="AC14" s="1566">
        <f t="shared" si="5"/>
        <v>1</v>
      </c>
    </row>
    <row r="15" spans="1:29" ht="15">
      <c r="A15" s="2928" t="s">
        <v>2752</v>
      </c>
      <c r="B15" s="166" t="s">
        <v>295</v>
      </c>
      <c r="C15" s="863">
        <f>估价对象房地状况!C3</f>
        <v>0</v>
      </c>
      <c r="D15" s="545">
        <v>100</v>
      </c>
      <c r="E15" s="3199"/>
      <c r="F15" s="547">
        <f>SUMIF(76:76,E16,77:77)-SUMIF(76:76,C16,77:77)+100</f>
        <v>100</v>
      </c>
      <c r="G15" s="3200"/>
      <c r="H15" s="545">
        <f>SUMIF(76:76,G16,77:77)-SUMIF(76:76,C16,77:77)+100</f>
        <v>95</v>
      </c>
      <c r="I15" s="3199"/>
      <c r="J15" s="545">
        <f>SUMIF(76:76,I16,77:77)-SUMIF(76:76,C16,77:77)+100</f>
        <v>95</v>
      </c>
      <c r="K15" s="864">
        <v>5</v>
      </c>
      <c r="L15" s="2136"/>
      <c r="M15" s="2128"/>
      <c r="N15" s="2128"/>
      <c r="O15" s="2135"/>
      <c r="P15" s="3406" t="s">
        <v>539</v>
      </c>
      <c r="Q15" s="1567" t="str">
        <f t="shared" si="6"/>
        <v>居住社区成熟度</v>
      </c>
      <c r="R15" s="1568" t="s">
        <v>11</v>
      </c>
      <c r="S15" s="1569">
        <f t="shared" si="0"/>
        <v>100</v>
      </c>
      <c r="T15" s="1568" t="s">
        <v>11</v>
      </c>
      <c r="U15" s="1569">
        <f t="shared" si="1"/>
        <v>95</v>
      </c>
      <c r="V15" s="1568" t="s">
        <v>11</v>
      </c>
      <c r="W15" s="1569">
        <f t="shared" si="2"/>
        <v>95</v>
      </c>
      <c r="X15" s="1562"/>
      <c r="Y15" s="3406" t="s">
        <v>539</v>
      </c>
      <c r="Z15" s="1570" t="str">
        <f t="shared" si="7"/>
        <v>居住社区成熟度</v>
      </c>
      <c r="AA15" s="1571">
        <f t="shared" si="3"/>
        <v>1</v>
      </c>
      <c r="AB15" s="1571">
        <f t="shared" si="4"/>
        <v>1.0526315789473684</v>
      </c>
      <c r="AC15" s="1571">
        <f t="shared" si="5"/>
        <v>1.0526315789473684</v>
      </c>
    </row>
    <row r="16" spans="1:29" ht="15">
      <c r="A16" s="528"/>
      <c r="B16" s="865"/>
      <c r="C16" s="572" t="str">
        <f>'比较法-住宅、综合'!C18</f>
        <v>较好</v>
      </c>
      <c r="D16" s="551"/>
      <c r="E16" s="550" t="s">
        <v>3106</v>
      </c>
      <c r="F16" s="553"/>
      <c r="G16" s="572" t="s">
        <v>3107</v>
      </c>
      <c r="H16" s="555"/>
      <c r="I16" s="550" t="s">
        <v>3107</v>
      </c>
      <c r="J16" s="551"/>
      <c r="K16" s="866"/>
      <c r="L16" s="2136"/>
      <c r="M16" s="2128"/>
      <c r="N16" s="2128"/>
      <c r="O16" s="2135"/>
      <c r="P16" s="3407"/>
      <c r="Q16" s="1567"/>
      <c r="R16" s="1568"/>
      <c r="S16" s="1569"/>
      <c r="T16" s="1568"/>
      <c r="U16" s="1569"/>
      <c r="V16" s="1568"/>
      <c r="W16" s="1569"/>
      <c r="X16" s="1562"/>
      <c r="Y16" s="3407"/>
      <c r="Z16" s="1570"/>
      <c r="AA16" s="1571">
        <v>1</v>
      </c>
      <c r="AB16" s="1571">
        <v>1</v>
      </c>
      <c r="AC16" s="1571">
        <v>1</v>
      </c>
    </row>
    <row r="17" spans="1:29" ht="15">
      <c r="A17" s="528"/>
      <c r="B17" s="867" t="s">
        <v>296</v>
      </c>
      <c r="C17" s="868">
        <f>估价对象房地状况!C6</f>
        <v>0</v>
      </c>
      <c r="D17" s="555">
        <v>100</v>
      </c>
      <c r="E17" s="3201"/>
      <c r="F17" s="559">
        <f>SUMIF(78:78,E18,79:79)-SUMIF(78:78,C18,79:79)+100</f>
        <v>100</v>
      </c>
      <c r="G17" s="3202"/>
      <c r="H17" s="561">
        <f>SUMIF(78:78,G18,79:79)-SUMIF(78:78,C18,79:79)+100</f>
        <v>100</v>
      </c>
      <c r="I17" s="3201"/>
      <c r="J17" s="561">
        <f>SUMIF(78:78,I18,79:79)-SUMIF(78:78,C18,79:79)+100</f>
        <v>100</v>
      </c>
      <c r="K17" s="864">
        <v>2</v>
      </c>
      <c r="L17" s="2136"/>
      <c r="M17" s="2128"/>
      <c r="N17" s="2128"/>
      <c r="O17" s="2135"/>
      <c r="P17" s="3407"/>
      <c r="Q17" s="1567" t="str">
        <f>B17</f>
        <v>交通便捷度</v>
      </c>
      <c r="R17" s="1568" t="s">
        <v>11</v>
      </c>
      <c r="S17" s="1569">
        <f>F17</f>
        <v>100</v>
      </c>
      <c r="T17" s="1568" t="s">
        <v>11</v>
      </c>
      <c r="U17" s="1569">
        <f>H17</f>
        <v>100</v>
      </c>
      <c r="V17" s="1568" t="s">
        <v>11</v>
      </c>
      <c r="W17" s="1569">
        <f>J17</f>
        <v>100</v>
      </c>
      <c r="X17" s="1562"/>
      <c r="Y17" s="3407"/>
      <c r="Z17" s="1570" t="str">
        <f>Q17</f>
        <v>交通便捷度</v>
      </c>
      <c r="AA17" s="1571">
        <f t="shared" si="3"/>
        <v>1</v>
      </c>
      <c r="AB17" s="1571">
        <f t="shared" si="4"/>
        <v>1</v>
      </c>
      <c r="AC17" s="1571">
        <f t="shared" si="5"/>
        <v>1</v>
      </c>
    </row>
    <row r="18" spans="1:29" ht="15">
      <c r="A18" s="528"/>
      <c r="B18" s="591"/>
      <c r="C18" s="869" t="str">
        <f>'比较法-住宅、综合'!C24</f>
        <v>较好</v>
      </c>
      <c r="D18" s="555"/>
      <c r="E18" s="563" t="str">
        <f>C18</f>
        <v>较好</v>
      </c>
      <c r="F18" s="559"/>
      <c r="G18" s="869" t="s">
        <v>3106</v>
      </c>
      <c r="H18" s="551"/>
      <c r="I18" s="563" t="s">
        <v>3106</v>
      </c>
      <c r="J18" s="551"/>
      <c r="K18" s="866"/>
      <c r="L18" s="2136"/>
      <c r="M18" s="2128"/>
      <c r="N18" s="2128"/>
      <c r="O18" s="2135"/>
      <c r="P18" s="3407"/>
      <c r="Q18" s="1567"/>
      <c r="R18" s="1568"/>
      <c r="S18" s="1569"/>
      <c r="T18" s="1568"/>
      <c r="U18" s="1569"/>
      <c r="V18" s="1568"/>
      <c r="W18" s="1569"/>
      <c r="X18" s="1562"/>
      <c r="Y18" s="3407"/>
      <c r="Z18" s="1570"/>
      <c r="AA18" s="1571">
        <v>1</v>
      </c>
      <c r="AB18" s="1571">
        <v>1</v>
      </c>
      <c r="AC18" s="1571">
        <v>1</v>
      </c>
    </row>
    <row r="19" spans="1:29" ht="15">
      <c r="A19" s="528"/>
      <c r="B19" s="2618" t="s">
        <v>2544</v>
      </c>
      <c r="C19" s="868">
        <f>估价对象房地状况!C7</f>
        <v>0</v>
      </c>
      <c r="D19" s="561">
        <v>100</v>
      </c>
      <c r="E19" s="587"/>
      <c r="F19" s="567">
        <f>SUMIF(80:80,E20,81:81)-SUMIF(80:80,C20,81:81)+100</f>
        <v>100</v>
      </c>
      <c r="G19" s="3203"/>
      <c r="H19" s="555">
        <f>SUMIF(80:80,G20,81:81)-SUMIF(80:80,C20,81:81)+100</f>
        <v>95</v>
      </c>
      <c r="I19" s="587"/>
      <c r="J19" s="555">
        <f>SUMIF(80:80,I20,81:81)-SUMIF(80:80,C20,81:81)+100</f>
        <v>100</v>
      </c>
      <c r="K19" s="864">
        <v>5</v>
      </c>
      <c r="L19" s="2136"/>
      <c r="M19" s="2128"/>
      <c r="N19" s="2128"/>
      <c r="O19" s="2135"/>
      <c r="P19" s="3407"/>
      <c r="Q19" s="1567" t="str">
        <f>B19</f>
        <v>公共配套设施</v>
      </c>
      <c r="R19" s="1568" t="s">
        <v>11</v>
      </c>
      <c r="S19" s="1569">
        <f>F19</f>
        <v>100</v>
      </c>
      <c r="T19" s="1568" t="s">
        <v>11</v>
      </c>
      <c r="U19" s="1569">
        <f>H19</f>
        <v>95</v>
      </c>
      <c r="V19" s="1568" t="s">
        <v>11</v>
      </c>
      <c r="W19" s="1569">
        <f>J19</f>
        <v>100</v>
      </c>
      <c r="X19" s="1562"/>
      <c r="Y19" s="3407"/>
      <c r="Z19" s="1570" t="str">
        <f>Q19</f>
        <v>公共配套设施</v>
      </c>
      <c r="AA19" s="1571">
        <f t="shared" si="3"/>
        <v>1</v>
      </c>
      <c r="AB19" s="1571">
        <f t="shared" si="4"/>
        <v>1.0526315789473684</v>
      </c>
      <c r="AC19" s="1571">
        <f t="shared" si="5"/>
        <v>1</v>
      </c>
    </row>
    <row r="20" spans="1:29" ht="15">
      <c r="A20" s="528"/>
      <c r="B20" s="591"/>
      <c r="C20" s="572" t="str">
        <f>'比较法-住宅、综合'!C30</f>
        <v>较好</v>
      </c>
      <c r="D20" s="551"/>
      <c r="E20" s="550" t="str">
        <f>C20</f>
        <v>较好</v>
      </c>
      <c r="F20" s="553"/>
      <c r="G20" s="572" t="s">
        <v>3107</v>
      </c>
      <c r="H20" s="551"/>
      <c r="I20" s="550" t="s">
        <v>3106</v>
      </c>
      <c r="J20" s="551"/>
      <c r="K20" s="866"/>
      <c r="L20" s="2136"/>
      <c r="M20" s="2128"/>
      <c r="N20" s="2128"/>
      <c r="O20" s="2135"/>
      <c r="P20" s="3407"/>
      <c r="Q20" s="1567"/>
      <c r="R20" s="1568"/>
      <c r="S20" s="1569"/>
      <c r="T20" s="1568"/>
      <c r="U20" s="1569"/>
      <c r="V20" s="1568"/>
      <c r="W20" s="1569"/>
      <c r="X20" s="1562"/>
      <c r="Y20" s="3407"/>
      <c r="Z20" s="1570"/>
      <c r="AA20" s="1571">
        <v>1</v>
      </c>
      <c r="AB20" s="1571">
        <v>1</v>
      </c>
      <c r="AC20" s="1571">
        <v>1</v>
      </c>
    </row>
    <row r="21" spans="1:29" ht="15">
      <c r="A21" s="528"/>
      <c r="B21" s="2611" t="s">
        <v>2556</v>
      </c>
      <c r="C21" s="868">
        <f>估价对象房地状况!C8</f>
        <v>0</v>
      </c>
      <c r="D21" s="561">
        <v>100</v>
      </c>
      <c r="E21" s="3203"/>
      <c r="F21" s="567">
        <f>SUMIF(82:82,E22,83:83)-SUMIF(82:82,C22,83:83)+100</f>
        <v>100</v>
      </c>
      <c r="G21" s="3203"/>
      <c r="H21" s="561">
        <f>SUMIF(82:82,G22,83:83)-SUMIF(82:82,C22,83:83)+100</f>
        <v>100</v>
      </c>
      <c r="I21" s="587"/>
      <c r="J21" s="561">
        <f>SUMIF(82:82,I22,83:83)-SUMIF(82:82,C22,83:83)+100</f>
        <v>100</v>
      </c>
      <c r="K21" s="864">
        <v>2</v>
      </c>
      <c r="L21" s="2136"/>
      <c r="M21" s="2128"/>
      <c r="N21" s="2128"/>
      <c r="O21" s="2135"/>
      <c r="P21" s="3407"/>
      <c r="Q21" s="2597" t="str">
        <f>B21</f>
        <v>基础设施水平</v>
      </c>
      <c r="R21" s="1568" t="s">
        <v>11</v>
      </c>
      <c r="S21" s="1569">
        <f>F21</f>
        <v>100</v>
      </c>
      <c r="T21" s="1568" t="s">
        <v>11</v>
      </c>
      <c r="U21" s="1569">
        <f>H21</f>
        <v>100</v>
      </c>
      <c r="V21" s="1568" t="s">
        <v>11</v>
      </c>
      <c r="W21" s="1569">
        <f>J21</f>
        <v>100</v>
      </c>
      <c r="X21" s="2599"/>
      <c r="Y21" s="3407"/>
      <c r="Z21" s="2598" t="str">
        <f>Q21</f>
        <v>基础设施水平</v>
      </c>
      <c r="AA21" s="1571">
        <f t="shared" ref="AA21" si="8">D21/F21</f>
        <v>1</v>
      </c>
      <c r="AB21" s="1571">
        <f t="shared" ref="AB21" si="9">D21/H21</f>
        <v>1</v>
      </c>
      <c r="AC21" s="1571">
        <f t="shared" ref="AC21" si="10">D21/J21</f>
        <v>1</v>
      </c>
    </row>
    <row r="22" spans="1:29" ht="15">
      <c r="A22" s="528"/>
      <c r="B22" s="917"/>
      <c r="C22" s="869" t="str">
        <f>'比较法-住宅、综合'!C32</f>
        <v>六通</v>
      </c>
      <c r="D22" s="551"/>
      <c r="E22" s="572" t="str">
        <f>C22</f>
        <v>六通</v>
      </c>
      <c r="F22" s="553"/>
      <c r="G22" s="572" t="s">
        <v>3110</v>
      </c>
      <c r="H22" s="551"/>
      <c r="I22" s="572" t="s">
        <v>3110</v>
      </c>
      <c r="J22" s="551"/>
      <c r="K22" s="2617"/>
      <c r="L22" s="2136"/>
      <c r="M22" s="2128"/>
      <c r="N22" s="2128"/>
      <c r="O22" s="2135"/>
      <c r="P22" s="3407"/>
      <c r="Q22" s="2597"/>
      <c r="R22" s="1568"/>
      <c r="S22" s="1569"/>
      <c r="T22" s="1568"/>
      <c r="U22" s="1569"/>
      <c r="V22" s="1568"/>
      <c r="W22" s="1569"/>
      <c r="X22" s="2599"/>
      <c r="Y22" s="3407"/>
      <c r="Z22" s="2598"/>
      <c r="AA22" s="1571">
        <v>1</v>
      </c>
      <c r="AB22" s="1571">
        <v>1</v>
      </c>
      <c r="AC22" s="1571">
        <v>1</v>
      </c>
    </row>
    <row r="23" spans="1:29" ht="15">
      <c r="A23" s="528"/>
      <c r="B23" s="867" t="s">
        <v>297</v>
      </c>
      <c r="C23" s="868">
        <f>估价对象房地状况!C9</f>
        <v>0</v>
      </c>
      <c r="D23" s="555">
        <v>100</v>
      </c>
      <c r="E23" s="3201"/>
      <c r="F23" s="559">
        <f>SUMIF(84:84,E24,85:85)-SUMIF(84:84,C24,85:85)+100</f>
        <v>100</v>
      </c>
      <c r="G23" s="3202"/>
      <c r="H23" s="555">
        <f>SUMIF(84:84,G24,85:85)-SUMIF(84:84,C24,85:85)+100</f>
        <v>106</v>
      </c>
      <c r="I23" s="3201"/>
      <c r="J23" s="555">
        <f>SUMIF(84:84,I24,85:85)-SUMIF(84:84,C24,85:85)+100</f>
        <v>103</v>
      </c>
      <c r="K23" s="864">
        <v>3</v>
      </c>
      <c r="L23" s="2136"/>
      <c r="M23" s="2128"/>
      <c r="N23" s="2128"/>
      <c r="O23" s="2135"/>
      <c r="P23" s="3407"/>
      <c r="Q23" s="1567" t="str">
        <f>B23</f>
        <v>自然及人文环境</v>
      </c>
      <c r="R23" s="1568" t="s">
        <v>11</v>
      </c>
      <c r="S23" s="1569">
        <f>F23</f>
        <v>100</v>
      </c>
      <c r="T23" s="1568" t="s">
        <v>11</v>
      </c>
      <c r="U23" s="1569">
        <f>H23</f>
        <v>106</v>
      </c>
      <c r="V23" s="1568" t="s">
        <v>11</v>
      </c>
      <c r="W23" s="1569">
        <f>J23</f>
        <v>103</v>
      </c>
      <c r="X23" s="1562"/>
      <c r="Y23" s="3407"/>
      <c r="Z23" s="1570" t="str">
        <f>Q23</f>
        <v>自然及人文环境</v>
      </c>
      <c r="AA23" s="1571">
        <f t="shared" si="3"/>
        <v>1</v>
      </c>
      <c r="AB23" s="1571">
        <f t="shared" si="4"/>
        <v>0.94339622641509435</v>
      </c>
      <c r="AC23" s="1571">
        <f t="shared" si="5"/>
        <v>0.970873786407767</v>
      </c>
    </row>
    <row r="24" spans="1:29" ht="15.75" thickBot="1">
      <c r="A24" s="528"/>
      <c r="B24" s="591"/>
      <c r="C24" s="572" t="str">
        <f>'比较法-住宅、综合'!C28</f>
        <v>一般</v>
      </c>
      <c r="D24" s="551"/>
      <c r="E24" s="550" t="str">
        <f>C24</f>
        <v>一般</v>
      </c>
      <c r="F24" s="553"/>
      <c r="G24" s="572" t="s">
        <v>3109</v>
      </c>
      <c r="H24" s="551"/>
      <c r="I24" s="550" t="s">
        <v>3106</v>
      </c>
      <c r="J24" s="551"/>
      <c r="K24" s="866"/>
      <c r="L24" s="2136"/>
      <c r="M24" s="2128"/>
      <c r="N24" s="2128"/>
      <c r="O24" s="2135"/>
      <c r="P24" s="3407"/>
      <c r="Q24" s="1567"/>
      <c r="R24" s="1568"/>
      <c r="S24" s="1569"/>
      <c r="T24" s="1568"/>
      <c r="U24" s="1569"/>
      <c r="V24" s="1568"/>
      <c r="W24" s="1569"/>
      <c r="X24" s="1562"/>
      <c r="Y24" s="3407"/>
      <c r="Z24" s="1570"/>
      <c r="AA24" s="1571">
        <v>1</v>
      </c>
      <c r="AB24" s="1571">
        <v>1</v>
      </c>
      <c r="AC24" s="1571">
        <v>1</v>
      </c>
    </row>
    <row r="25" spans="1:29" ht="15" hidden="1">
      <c r="A25" s="528"/>
      <c r="B25" s="1889" t="s">
        <v>2255</v>
      </c>
      <c r="C25" s="570"/>
      <c r="D25" s="536">
        <v>100</v>
      </c>
      <c r="E25" s="3204"/>
      <c r="F25" s="571">
        <f>SUMIF(86:86,E25,87:87)-SUMIF(86:86,C25,87:87)+100</f>
        <v>100</v>
      </c>
      <c r="G25" s="570"/>
      <c r="H25" s="536">
        <f>SUMIF(86:86,G25,87:87)-SUMIF(86:86,C25,87:87)+100</f>
        <v>100</v>
      </c>
      <c r="I25" s="3204"/>
      <c r="J25" s="536">
        <f>SUMIF(86:86,I25,87:87)-SUMIF(86:86,C25,87:87)+100</f>
        <v>100</v>
      </c>
      <c r="K25" s="860"/>
      <c r="L25" s="2136"/>
      <c r="M25" s="2128"/>
      <c r="N25" s="2128"/>
      <c r="O25" s="2135"/>
      <c r="P25" s="3407"/>
      <c r="Q25" s="1567" t="str">
        <f t="shared" ref="Q25:Q46" si="11">B25</f>
        <v>楼层-1</v>
      </c>
      <c r="R25" s="1568" t="s">
        <v>11</v>
      </c>
      <c r="S25" s="1569">
        <f>F25</f>
        <v>100</v>
      </c>
      <c r="T25" s="1568" t="s">
        <v>11</v>
      </c>
      <c r="U25" s="1569">
        <f>H25</f>
        <v>100</v>
      </c>
      <c r="V25" s="1568" t="s">
        <v>11</v>
      </c>
      <c r="W25" s="1569">
        <f>J25</f>
        <v>100</v>
      </c>
      <c r="X25" s="1562"/>
      <c r="Y25" s="3407"/>
      <c r="Z25" s="1570" t="str">
        <f>Q25</f>
        <v>楼层-1</v>
      </c>
      <c r="AA25" s="1571">
        <f t="shared" si="3"/>
        <v>1</v>
      </c>
      <c r="AB25" s="1571">
        <f t="shared" si="4"/>
        <v>1</v>
      </c>
      <c r="AC25" s="1571">
        <f t="shared" si="5"/>
        <v>1</v>
      </c>
    </row>
    <row r="26" spans="1:29" ht="15" hidden="1">
      <c r="A26" s="528"/>
      <c r="B26" s="523" t="s">
        <v>722</v>
      </c>
      <c r="C26" s="570"/>
      <c r="D26" s="536">
        <v>100</v>
      </c>
      <c r="E26" s="3204"/>
      <c r="F26" s="571">
        <f>SUMIF(88:88,E26,89:89)-SUMIF(88:88,C26,89:89)+100</f>
        <v>100</v>
      </c>
      <c r="G26" s="570"/>
      <c r="H26" s="536">
        <f>SUMIF(88:88,G26,89:89)-SUMIF(88:88,C26,89:89)+100</f>
        <v>100</v>
      </c>
      <c r="I26" s="3204"/>
      <c r="J26" s="536">
        <f>SUMIF(88:88,I26,89:89)-SUMIF(88:88,C26,89:89)+100</f>
        <v>100</v>
      </c>
      <c r="K26" s="860"/>
      <c r="L26" s="2136"/>
      <c r="M26" s="2128"/>
      <c r="N26" s="2128"/>
      <c r="O26" s="2135"/>
      <c r="P26" s="3407"/>
      <c r="Q26" s="1567" t="str">
        <f t="shared" si="11"/>
        <v>朝向</v>
      </c>
      <c r="R26" s="1568" t="s">
        <v>11</v>
      </c>
      <c r="S26" s="1569">
        <f>F26</f>
        <v>100</v>
      </c>
      <c r="T26" s="1568" t="s">
        <v>11</v>
      </c>
      <c r="U26" s="1569">
        <f>H26</f>
        <v>100</v>
      </c>
      <c r="V26" s="1568" t="s">
        <v>11</v>
      </c>
      <c r="W26" s="1569">
        <f>J26</f>
        <v>100</v>
      </c>
      <c r="X26" s="1562"/>
      <c r="Y26" s="3407"/>
      <c r="Z26" s="1570" t="str">
        <f>Q26</f>
        <v>朝向</v>
      </c>
      <c r="AA26" s="1571">
        <f t="shared" si="3"/>
        <v>1</v>
      </c>
      <c r="AB26" s="1571">
        <f t="shared" si="4"/>
        <v>1</v>
      </c>
      <c r="AC26" s="1571">
        <f t="shared" si="5"/>
        <v>1</v>
      </c>
    </row>
    <row r="27" spans="1:29" s="1215" customFormat="1" ht="15" hidden="1">
      <c r="A27" s="532"/>
      <c r="B27" s="533" t="s">
        <v>723</v>
      </c>
      <c r="C27" s="524"/>
      <c r="D27" s="871">
        <v>100</v>
      </c>
      <c r="E27" s="905"/>
      <c r="F27" s="872">
        <f>SUMIF(90:90,E27,91:91)-SUMIF(90:90,C27,91:91)+100</f>
        <v>100</v>
      </c>
      <c r="G27" s="524"/>
      <c r="H27" s="871">
        <f>SUMIF(90:90,G27,91:91)-SUMIF(90:90,C27,91:91)+100</f>
        <v>100</v>
      </c>
      <c r="I27" s="905"/>
      <c r="J27" s="871">
        <f>SUMIF(90:90,I27,91:91)-SUMIF(90:90,C27,91:91)+100</f>
        <v>100</v>
      </c>
      <c r="K27" s="861"/>
      <c r="L27" s="2129"/>
      <c r="M27" s="2130"/>
      <c r="N27" s="2130"/>
      <c r="O27" s="2131"/>
      <c r="P27" s="3407"/>
      <c r="Q27" s="1146" t="str">
        <f t="shared" si="11"/>
        <v>道路级别</v>
      </c>
      <c r="R27" s="1563" t="s">
        <v>11</v>
      </c>
      <c r="S27" s="1564">
        <f>F27</f>
        <v>100</v>
      </c>
      <c r="T27" s="1563" t="s">
        <v>11</v>
      </c>
      <c r="U27" s="1564">
        <f>H27</f>
        <v>100</v>
      </c>
      <c r="V27" s="1563" t="s">
        <v>11</v>
      </c>
      <c r="W27" s="1564">
        <f>J27</f>
        <v>100</v>
      </c>
      <c r="X27" s="1565"/>
      <c r="Y27" s="3407"/>
      <c r="Z27" s="1145" t="str">
        <f>Q27</f>
        <v>道路级别</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6"/>
      <c r="M28" s="2128"/>
      <c r="N28" s="2128"/>
      <c r="O28" s="2135"/>
      <c r="P28" s="3407"/>
      <c r="Q28" s="1567">
        <f t="shared" si="11"/>
        <v>0</v>
      </c>
      <c r="R28" s="1568" t="s">
        <v>11</v>
      </c>
      <c r="S28" s="1569">
        <f t="shared" ref="S28:S46" si="12">F28</f>
        <v>100</v>
      </c>
      <c r="T28" s="1568" t="s">
        <v>11</v>
      </c>
      <c r="U28" s="1569">
        <f t="shared" ref="U28:U46" si="13">H28</f>
        <v>100</v>
      </c>
      <c r="V28" s="1568" t="s">
        <v>11</v>
      </c>
      <c r="W28" s="1569">
        <f t="shared" ref="W28:W46" si="14">J28</f>
        <v>100</v>
      </c>
      <c r="X28" s="1562"/>
      <c r="Y28" s="3407"/>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6"/>
      <c r="M29" s="2128"/>
      <c r="N29" s="2128"/>
      <c r="O29" s="2135"/>
      <c r="P29" s="3407"/>
      <c r="Q29" s="1567">
        <f t="shared" si="11"/>
        <v>0</v>
      </c>
      <c r="R29" s="1568" t="s">
        <v>11</v>
      </c>
      <c r="S29" s="1569">
        <f t="shared" si="12"/>
        <v>100</v>
      </c>
      <c r="T29" s="1568" t="s">
        <v>11</v>
      </c>
      <c r="U29" s="1569">
        <f t="shared" si="13"/>
        <v>100</v>
      </c>
      <c r="V29" s="1568" t="s">
        <v>11</v>
      </c>
      <c r="W29" s="1569">
        <f t="shared" si="14"/>
        <v>100</v>
      </c>
      <c r="X29" s="1562"/>
      <c r="Y29" s="3407"/>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6"/>
      <c r="M30" s="2128"/>
      <c r="N30" s="2128"/>
      <c r="O30" s="2135"/>
      <c r="P30" s="3407"/>
      <c r="Q30" s="1567">
        <f t="shared" si="11"/>
        <v>0</v>
      </c>
      <c r="R30" s="1568" t="s">
        <v>11</v>
      </c>
      <c r="S30" s="1569">
        <f t="shared" si="12"/>
        <v>100</v>
      </c>
      <c r="T30" s="1568" t="s">
        <v>11</v>
      </c>
      <c r="U30" s="1569">
        <f t="shared" si="13"/>
        <v>100</v>
      </c>
      <c r="V30" s="1568" t="s">
        <v>11</v>
      </c>
      <c r="W30" s="1569">
        <f t="shared" si="14"/>
        <v>100</v>
      </c>
      <c r="X30" s="1562"/>
      <c r="Y30" s="3407"/>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6"/>
      <c r="M31" s="2128"/>
      <c r="N31" s="2128"/>
      <c r="O31" s="2135"/>
      <c r="P31" s="3407"/>
      <c r="Q31" s="1567">
        <f t="shared" si="11"/>
        <v>0</v>
      </c>
      <c r="R31" s="1568" t="s">
        <v>11</v>
      </c>
      <c r="S31" s="1569">
        <f t="shared" si="12"/>
        <v>100</v>
      </c>
      <c r="T31" s="1568" t="s">
        <v>11</v>
      </c>
      <c r="U31" s="1569">
        <f t="shared" si="13"/>
        <v>100</v>
      </c>
      <c r="V31" s="1568" t="s">
        <v>11</v>
      </c>
      <c r="W31" s="1569">
        <f t="shared" si="14"/>
        <v>100</v>
      </c>
      <c r="X31" s="1562"/>
      <c r="Y31" s="3407"/>
      <c r="Z31" s="1570">
        <f t="shared" si="15"/>
        <v>0</v>
      </c>
      <c r="AA31" s="1571">
        <f t="shared" si="3"/>
        <v>1</v>
      </c>
      <c r="AB31" s="1571">
        <f t="shared" si="4"/>
        <v>1</v>
      </c>
      <c r="AC31" s="1571">
        <f t="shared" si="5"/>
        <v>1</v>
      </c>
    </row>
    <row r="32" spans="1:29" ht="15">
      <c r="A32" s="2925" t="s">
        <v>2753</v>
      </c>
      <c r="B32" s="172" t="s">
        <v>724</v>
      </c>
      <c r="C32" s="874" t="s">
        <v>3016</v>
      </c>
      <c r="D32" s="593">
        <v>100</v>
      </c>
      <c r="E32" s="3205" t="str">
        <f>C32</f>
        <v>高层</v>
      </c>
      <c r="F32" s="571">
        <f>SUMIF(100:100,E32,101:101)-SUMIF(100:100,C32,101:101)+100</f>
        <v>100</v>
      </c>
      <c r="G32" s="911" t="s">
        <v>3016</v>
      </c>
      <c r="H32" s="593">
        <f>SUMIF(100:100,G32,101:101)-SUMIF(100:100,C32,101:101)+100</f>
        <v>100</v>
      </c>
      <c r="I32" s="3205" t="s">
        <v>3131</v>
      </c>
      <c r="J32" s="536">
        <f>SUMIF(100:100,I32,101:101)-SUMIF(100:100,C32,101:101)+100</f>
        <v>110</v>
      </c>
      <c r="K32" s="860">
        <v>10</v>
      </c>
      <c r="L32" s="2136"/>
      <c r="M32" s="2128"/>
      <c r="N32" s="2128"/>
      <c r="O32" s="2135"/>
      <c r="P32" s="3408" t="s">
        <v>549</v>
      </c>
      <c r="Q32" s="1567" t="str">
        <f t="shared" si="11"/>
        <v>建筑类型</v>
      </c>
      <c r="R32" s="1568" t="s">
        <v>11</v>
      </c>
      <c r="S32" s="1569">
        <f t="shared" si="12"/>
        <v>100</v>
      </c>
      <c r="T32" s="1568" t="s">
        <v>11</v>
      </c>
      <c r="U32" s="1569">
        <f t="shared" si="13"/>
        <v>100</v>
      </c>
      <c r="V32" s="1568" t="s">
        <v>11</v>
      </c>
      <c r="W32" s="1569">
        <f t="shared" si="14"/>
        <v>110</v>
      </c>
      <c r="X32" s="1562"/>
      <c r="Y32" s="3409" t="s">
        <v>549</v>
      </c>
      <c r="Z32" s="1570" t="str">
        <f t="shared" si="15"/>
        <v>建筑类型</v>
      </c>
      <c r="AA32" s="1571">
        <f t="shared" si="3"/>
        <v>1</v>
      </c>
      <c r="AB32" s="1571">
        <f t="shared" si="4"/>
        <v>1</v>
      </c>
      <c r="AC32" s="1571">
        <f t="shared" si="5"/>
        <v>0.90909090909090906</v>
      </c>
    </row>
    <row r="33" spans="1:29" s="1334" customFormat="1" ht="15">
      <c r="A33" s="599"/>
      <c r="B33" s="523" t="s">
        <v>725</v>
      </c>
      <c r="C33" s="875">
        <v>100</v>
      </c>
      <c r="D33" s="253">
        <v>100</v>
      </c>
      <c r="E33" s="530">
        <v>100</v>
      </c>
      <c r="F33" s="859">
        <f>LOOKUP(E33,103:103,104:104)-LOOKUP(C33,103:103,104:104)+100</f>
        <v>100</v>
      </c>
      <c r="G33" s="529">
        <v>100</v>
      </c>
      <c r="H33" s="253">
        <f>LOOKUP(G33,103:103,104:104)-LOOKUP(C33,103:103,104:104)+100</f>
        <v>100</v>
      </c>
      <c r="I33" s="530">
        <v>100</v>
      </c>
      <c r="J33" s="253">
        <f>LOOKUP(I33,103:103,104:104)-LOOKUP(C33,103:103,104:104)+100</f>
        <v>100</v>
      </c>
      <c r="K33" s="861"/>
      <c r="L33" s="2134"/>
      <c r="M33" s="2165"/>
      <c r="N33" s="2165"/>
      <c r="O33" s="2137"/>
      <c r="P33" s="3409"/>
      <c r="Q33" s="1600" t="str">
        <f t="shared" si="11"/>
        <v>项目建筑规模</v>
      </c>
      <c r="R33" s="1572" t="s">
        <v>11</v>
      </c>
      <c r="S33" s="1573">
        <f t="shared" si="12"/>
        <v>100</v>
      </c>
      <c r="T33" s="1572" t="s">
        <v>11</v>
      </c>
      <c r="U33" s="1573">
        <f t="shared" si="13"/>
        <v>100</v>
      </c>
      <c r="V33" s="1572" t="s">
        <v>11</v>
      </c>
      <c r="W33" s="1573">
        <f t="shared" si="14"/>
        <v>100</v>
      </c>
      <c r="X33" s="1574"/>
      <c r="Y33" s="3409"/>
      <c r="Z33" s="1575" t="str">
        <f t="shared" si="15"/>
        <v>项目建筑规模</v>
      </c>
      <c r="AA33" s="1571">
        <f t="shared" si="3"/>
        <v>1</v>
      </c>
      <c r="AB33" s="1571">
        <f t="shared" si="4"/>
        <v>1</v>
      </c>
      <c r="AC33" s="1571">
        <f t="shared" si="5"/>
        <v>1</v>
      </c>
    </row>
    <row r="34" spans="1:29" ht="15">
      <c r="A34" s="590"/>
      <c r="B34" s="523" t="s">
        <v>726</v>
      </c>
      <c r="C34" s="876" t="s">
        <v>3024</v>
      </c>
      <c r="D34" s="536">
        <v>100</v>
      </c>
      <c r="E34" s="3204" t="str">
        <f>C34</f>
        <v>钢混</v>
      </c>
      <c r="F34" s="571">
        <f>SUMIF(105:105,E34,106:106)-SUMIF(105:105,C34,106:106)+100</f>
        <v>100</v>
      </c>
      <c r="G34" s="570" t="s">
        <v>3024</v>
      </c>
      <c r="H34" s="536">
        <f>SUMIF(105:105,G34,106:106)-SUMIF(105:105,C34,106:106)+100</f>
        <v>100</v>
      </c>
      <c r="I34" s="3204" t="s">
        <v>3024</v>
      </c>
      <c r="J34" s="536">
        <f>SUMIF(105:105,I34,106:106)-SUMIF(105:105,C34,106:106)+100</f>
        <v>100</v>
      </c>
      <c r="K34" s="860"/>
      <c r="L34" s="2136"/>
      <c r="M34" s="2128"/>
      <c r="N34" s="2128"/>
      <c r="O34" s="2135"/>
      <c r="P34" s="3409"/>
      <c r="Q34" s="1567" t="str">
        <f t="shared" si="11"/>
        <v>建筑结构</v>
      </c>
      <c r="R34" s="1568" t="s">
        <v>11</v>
      </c>
      <c r="S34" s="1569">
        <f t="shared" si="12"/>
        <v>100</v>
      </c>
      <c r="T34" s="1568" t="s">
        <v>11</v>
      </c>
      <c r="U34" s="1569">
        <f t="shared" si="13"/>
        <v>100</v>
      </c>
      <c r="V34" s="1568" t="s">
        <v>11</v>
      </c>
      <c r="W34" s="1569">
        <f t="shared" si="14"/>
        <v>100</v>
      </c>
      <c r="X34" s="1562"/>
      <c r="Y34" s="3409"/>
      <c r="Z34" s="1570" t="str">
        <f t="shared" si="15"/>
        <v>建筑结构</v>
      </c>
      <c r="AA34" s="1571">
        <f t="shared" si="3"/>
        <v>1</v>
      </c>
      <c r="AB34" s="1571">
        <f t="shared" si="4"/>
        <v>1</v>
      </c>
      <c r="AC34" s="1571">
        <f t="shared" si="5"/>
        <v>1</v>
      </c>
    </row>
    <row r="35" spans="1:29" ht="15">
      <c r="A35" s="590"/>
      <c r="B35" s="523" t="s">
        <v>727</v>
      </c>
      <c r="C35" s="595" t="s">
        <v>3106</v>
      </c>
      <c r="D35" s="536">
        <v>100</v>
      </c>
      <c r="E35" s="870" t="str">
        <f>C35</f>
        <v>较好</v>
      </c>
      <c r="F35" s="571">
        <f>SUMIF(107:107,E35,108:108)-SUMIF(107:107,C35,108:108)+100</f>
        <v>100</v>
      </c>
      <c r="G35" s="570" t="s">
        <v>3106</v>
      </c>
      <c r="H35" s="536">
        <f>SUMIF(107:107,G35,108:108)-SUMIF(107:107,C35,108:108)+100</f>
        <v>100</v>
      </c>
      <c r="I35" s="3204" t="s">
        <v>3106</v>
      </c>
      <c r="J35" s="536">
        <f>SUMIF(107:107,I35,108:108)-SUMIF(107:107,C35,108:108)+100</f>
        <v>100</v>
      </c>
      <c r="K35" s="860"/>
      <c r="L35" s="2136"/>
      <c r="M35" s="2128"/>
      <c r="N35" s="2128"/>
      <c r="O35" s="2135"/>
      <c r="P35" s="3409"/>
      <c r="Q35" s="1567" t="str">
        <f t="shared" si="11"/>
        <v>建筑品质</v>
      </c>
      <c r="R35" s="1568" t="s">
        <v>11</v>
      </c>
      <c r="S35" s="1569">
        <f t="shared" si="12"/>
        <v>100</v>
      </c>
      <c r="T35" s="1568" t="s">
        <v>11</v>
      </c>
      <c r="U35" s="1569">
        <f t="shared" si="13"/>
        <v>100</v>
      </c>
      <c r="V35" s="1568" t="s">
        <v>11</v>
      </c>
      <c r="W35" s="1569">
        <f t="shared" si="14"/>
        <v>100</v>
      </c>
      <c r="X35" s="1562"/>
      <c r="Y35" s="3409"/>
      <c r="Z35" s="1570" t="str">
        <f t="shared" si="15"/>
        <v>建筑品质</v>
      </c>
      <c r="AA35" s="1571">
        <f t="shared" si="3"/>
        <v>1</v>
      </c>
      <c r="AB35" s="1571">
        <f t="shared" si="4"/>
        <v>1</v>
      </c>
      <c r="AC35" s="1571">
        <f t="shared" si="5"/>
        <v>1</v>
      </c>
    </row>
    <row r="36" spans="1:29" ht="15">
      <c r="A36" s="590"/>
      <c r="B36" s="523" t="s">
        <v>728</v>
      </c>
      <c r="C36" s="595" t="s">
        <v>3141</v>
      </c>
      <c r="D36" s="536">
        <v>100</v>
      </c>
      <c r="E36" s="870" t="str">
        <f>C36</f>
        <v>精装修</v>
      </c>
      <c r="F36" s="571">
        <f>SUMIF(109:109,E36,110:110)-SUMIF(109:109,C36,110:110)+100</f>
        <v>100</v>
      </c>
      <c r="G36" s="570" t="s">
        <v>3141</v>
      </c>
      <c r="H36" s="536">
        <f>SUMIF(109:109,G36,110:110)-SUMIF(109:109,C36,110:110)+100</f>
        <v>100</v>
      </c>
      <c r="I36" s="3204" t="s">
        <v>3141</v>
      </c>
      <c r="J36" s="536">
        <f>SUMIF(109:109,I36,110:110)-SUMIF(109:109,C36,110:110)+100</f>
        <v>100</v>
      </c>
      <c r="K36" s="860"/>
      <c r="L36" s="2136"/>
      <c r="M36" s="2128"/>
      <c r="N36" s="2128"/>
      <c r="O36" s="2135"/>
      <c r="P36" s="3409"/>
      <c r="Q36" s="1567" t="str">
        <f t="shared" si="11"/>
        <v>公共部分装修</v>
      </c>
      <c r="R36" s="1568" t="s">
        <v>11</v>
      </c>
      <c r="S36" s="1569">
        <f t="shared" si="12"/>
        <v>100</v>
      </c>
      <c r="T36" s="1568" t="s">
        <v>11</v>
      </c>
      <c r="U36" s="1569">
        <f t="shared" si="13"/>
        <v>100</v>
      </c>
      <c r="V36" s="1568" t="s">
        <v>11</v>
      </c>
      <c r="W36" s="1569">
        <f t="shared" si="14"/>
        <v>100</v>
      </c>
      <c r="X36" s="1562"/>
      <c r="Y36" s="3409"/>
      <c r="Z36" s="1570" t="str">
        <f t="shared" si="15"/>
        <v>公共部分装修</v>
      </c>
      <c r="AA36" s="1571">
        <f t="shared" si="3"/>
        <v>1</v>
      </c>
      <c r="AB36" s="1571">
        <f t="shared" si="4"/>
        <v>1</v>
      </c>
      <c r="AC36" s="1571">
        <f t="shared" si="5"/>
        <v>1</v>
      </c>
    </row>
    <row r="37" spans="1:29" s="1215" customFormat="1" ht="15">
      <c r="A37" s="596"/>
      <c r="B37" s="523" t="s">
        <v>729</v>
      </c>
      <c r="C37" s="878">
        <v>1</v>
      </c>
      <c r="D37" s="253">
        <v>100</v>
      </c>
      <c r="E37" s="878">
        <v>1</v>
      </c>
      <c r="F37" s="859">
        <f>LOOKUP(E37,112:112,113:113)-LOOKUP(C37,112:112,113:113)+100</f>
        <v>100</v>
      </c>
      <c r="G37" s="878">
        <v>1</v>
      </c>
      <c r="H37" s="253">
        <f>LOOKUP(G37,112:112,113:113)-LOOKUP(C37,112:112,113:113)+100</f>
        <v>100</v>
      </c>
      <c r="I37" s="878">
        <v>1</v>
      </c>
      <c r="J37" s="253">
        <f>LOOKUP(I37,112:112,113:113)-LOOKUP(C37,112:112,113:113)+100</f>
        <v>100</v>
      </c>
      <c r="K37" s="860"/>
      <c r="L37" s="2129"/>
      <c r="M37" s="2130"/>
      <c r="N37" s="2130"/>
      <c r="O37" s="2131"/>
      <c r="P37" s="3409"/>
      <c r="Q37" s="1146" t="str">
        <f t="shared" si="11"/>
        <v>成新度</v>
      </c>
      <c r="R37" s="1563" t="s">
        <v>11</v>
      </c>
      <c r="S37" s="1564">
        <f t="shared" si="12"/>
        <v>100</v>
      </c>
      <c r="T37" s="1563" t="s">
        <v>11</v>
      </c>
      <c r="U37" s="1564">
        <f t="shared" si="13"/>
        <v>100</v>
      </c>
      <c r="V37" s="1563" t="s">
        <v>11</v>
      </c>
      <c r="W37" s="1564">
        <f t="shared" si="14"/>
        <v>100</v>
      </c>
      <c r="X37" s="1565"/>
      <c r="Y37" s="3409"/>
      <c r="Z37" s="1145" t="str">
        <f t="shared" si="15"/>
        <v>成新度</v>
      </c>
      <c r="AA37" s="1566">
        <f t="shared" si="3"/>
        <v>1</v>
      </c>
      <c r="AB37" s="1566">
        <f t="shared" si="4"/>
        <v>1</v>
      </c>
      <c r="AC37" s="1566">
        <f t="shared" si="5"/>
        <v>1</v>
      </c>
    </row>
    <row r="38" spans="1:29" ht="15">
      <c r="A38" s="590"/>
      <c r="B38" s="523" t="s">
        <v>730</v>
      </c>
      <c r="C38" s="595" t="s">
        <v>3144</v>
      </c>
      <c r="D38" s="536">
        <v>100</v>
      </c>
      <c r="E38" s="870" t="str">
        <f>C38</f>
        <v>专业</v>
      </c>
      <c r="F38" s="571">
        <f>SUMIF(114:114,E38,115:115)-SUMIF(114:114,C38,115:115)+100</f>
        <v>100</v>
      </c>
      <c r="G38" s="570" t="s">
        <v>3144</v>
      </c>
      <c r="H38" s="536">
        <f>SUMIF(114:114,G38,115:115)-SUMIF(114:114,C38,115:115)+100</f>
        <v>100</v>
      </c>
      <c r="I38" s="3204" t="s">
        <v>3144</v>
      </c>
      <c r="J38" s="536">
        <f>SUMIF(114:114,I38,115:115)-SUMIF(114:114,C38,115:115)+100</f>
        <v>100</v>
      </c>
      <c r="K38" s="860"/>
      <c r="L38" s="2136"/>
      <c r="M38" s="2128"/>
      <c r="N38" s="2128"/>
      <c r="O38" s="2135"/>
      <c r="P38" s="3409" t="s">
        <v>549</v>
      </c>
      <c r="Q38" s="1567" t="str">
        <f t="shared" si="11"/>
        <v>物业管理</v>
      </c>
      <c r="R38" s="1568" t="s">
        <v>11</v>
      </c>
      <c r="S38" s="1569">
        <f t="shared" si="12"/>
        <v>100</v>
      </c>
      <c r="T38" s="1568" t="s">
        <v>11</v>
      </c>
      <c r="U38" s="1569">
        <f t="shared" si="13"/>
        <v>100</v>
      </c>
      <c r="V38" s="1568" t="s">
        <v>11</v>
      </c>
      <c r="W38" s="1569">
        <f t="shared" si="14"/>
        <v>100</v>
      </c>
      <c r="X38" s="1562"/>
      <c r="Y38" s="3409" t="s">
        <v>549</v>
      </c>
      <c r="Z38" s="1570" t="str">
        <f t="shared" si="15"/>
        <v>物业管理</v>
      </c>
      <c r="AA38" s="1571">
        <f t="shared" si="3"/>
        <v>1</v>
      </c>
      <c r="AB38" s="1571">
        <f t="shared" si="4"/>
        <v>1</v>
      </c>
      <c r="AC38" s="1571">
        <f t="shared" si="5"/>
        <v>1</v>
      </c>
    </row>
    <row r="39" spans="1:29" ht="15">
      <c r="A39" s="590"/>
      <c r="B39" s="1889" t="s">
        <v>2562</v>
      </c>
      <c r="C39" s="595" t="s">
        <v>3110</v>
      </c>
      <c r="D39" s="536">
        <v>100</v>
      </c>
      <c r="E39" s="870" t="str">
        <f>C39</f>
        <v>六通</v>
      </c>
      <c r="F39" s="571">
        <f>SUMIF(116:116,E39,117:117)-SUMIF(116:116,C39,117:117)+100</f>
        <v>100</v>
      </c>
      <c r="G39" s="570" t="s">
        <v>3110</v>
      </c>
      <c r="H39" s="536">
        <f>SUMIF(116:116,G39,117:117)-SUMIF(116:116,C39,117:117)+100</f>
        <v>100</v>
      </c>
      <c r="I39" s="3204" t="s">
        <v>3110</v>
      </c>
      <c r="J39" s="536">
        <f>SUMIF(116:116,I39,117:117)-SUMIF(116:116,C39,117:117)+100</f>
        <v>100</v>
      </c>
      <c r="K39" s="860"/>
      <c r="L39" s="2136"/>
      <c r="M39" s="2128"/>
      <c r="N39" s="2128"/>
      <c r="O39" s="2135"/>
      <c r="P39" s="3409"/>
      <c r="Q39" s="1567" t="str">
        <f t="shared" si="11"/>
        <v>市政基础设施</v>
      </c>
      <c r="R39" s="1568" t="s">
        <v>11</v>
      </c>
      <c r="S39" s="1569">
        <f t="shared" si="12"/>
        <v>100</v>
      </c>
      <c r="T39" s="1568" t="s">
        <v>11</v>
      </c>
      <c r="U39" s="1569">
        <f t="shared" si="13"/>
        <v>100</v>
      </c>
      <c r="V39" s="1568" t="s">
        <v>11</v>
      </c>
      <c r="W39" s="1569">
        <f t="shared" si="14"/>
        <v>100</v>
      </c>
      <c r="X39" s="1562"/>
      <c r="Y39" s="3409"/>
      <c r="Z39" s="1570" t="str">
        <f t="shared" si="15"/>
        <v>市政基础设施</v>
      </c>
      <c r="AA39" s="1571">
        <f t="shared" si="3"/>
        <v>1</v>
      </c>
      <c r="AB39" s="1571">
        <f t="shared" si="4"/>
        <v>1</v>
      </c>
      <c r="AC39" s="1571">
        <f t="shared" si="5"/>
        <v>1</v>
      </c>
    </row>
    <row r="40" spans="1:29" ht="15">
      <c r="A40" s="590"/>
      <c r="B40" s="523" t="s">
        <v>731</v>
      </c>
      <c r="C40" s="595" t="s">
        <v>3150</v>
      </c>
      <c r="D40" s="536">
        <v>100</v>
      </c>
      <c r="E40" s="870" t="str">
        <f>C40</f>
        <v>平层</v>
      </c>
      <c r="F40" s="571">
        <f>SUMIF(118:118,E40,119:119)-SUMIF(118:118,C40,119:119)+100</f>
        <v>100</v>
      </c>
      <c r="G40" s="570" t="s">
        <v>3150</v>
      </c>
      <c r="H40" s="536">
        <f>SUMIF(118:118,G40,119:119)-SUMIF(118:118,C40,119:119)+100</f>
        <v>100</v>
      </c>
      <c r="I40" s="3204" t="s">
        <v>3148</v>
      </c>
      <c r="J40" s="536">
        <f>SUMIF(118:118,I40,119:119)-SUMIF(118:118,C40,119:119)+100</f>
        <v>105</v>
      </c>
      <c r="K40" s="860">
        <v>5</v>
      </c>
      <c r="L40" s="2136"/>
      <c r="M40" s="2128"/>
      <c r="N40" s="2128"/>
      <c r="O40" s="2135"/>
      <c r="P40" s="3409"/>
      <c r="Q40" s="1567" t="str">
        <f t="shared" si="11"/>
        <v>房型</v>
      </c>
      <c r="R40" s="1568" t="s">
        <v>11</v>
      </c>
      <c r="S40" s="1569">
        <f t="shared" si="12"/>
        <v>100</v>
      </c>
      <c r="T40" s="1568" t="s">
        <v>11</v>
      </c>
      <c r="U40" s="1569">
        <f t="shared" si="13"/>
        <v>100</v>
      </c>
      <c r="V40" s="1568" t="s">
        <v>11</v>
      </c>
      <c r="W40" s="1569">
        <f t="shared" si="14"/>
        <v>105</v>
      </c>
      <c r="X40" s="1562"/>
      <c r="Y40" s="3409"/>
      <c r="Z40" s="1570" t="str">
        <f t="shared" si="15"/>
        <v>房型</v>
      </c>
      <c r="AA40" s="1571">
        <f t="shared" si="3"/>
        <v>1</v>
      </c>
      <c r="AB40" s="1571">
        <f t="shared" si="4"/>
        <v>1</v>
      </c>
      <c r="AC40" s="1571">
        <f t="shared" si="5"/>
        <v>0.95238095238095233</v>
      </c>
    </row>
    <row r="41" spans="1:29" s="1334" customFormat="1" ht="28.5">
      <c r="A41" s="599"/>
      <c r="B41" s="523" t="s">
        <v>732</v>
      </c>
      <c r="C41" s="875"/>
      <c r="D41" s="253">
        <v>100</v>
      </c>
      <c r="E41" s="530"/>
      <c r="F41" s="859">
        <f>SUMIF(120:120,E41,121:121)-SUMIF(120:120,C41,121:121)+100</f>
        <v>100</v>
      </c>
      <c r="G41" s="529"/>
      <c r="H41" s="253">
        <f>SUMIF(120:120,G41,121:121)-SUMIF(120:120,C41,121:121)+100</f>
        <v>100</v>
      </c>
      <c r="I41" s="582"/>
      <c r="J41" s="536">
        <f>SUMIF(120:120,I41,121:121)-SUMIF(120:120,C41,121:121)+100</f>
        <v>100</v>
      </c>
      <c r="K41" s="861"/>
      <c r="L41" s="2134"/>
      <c r="M41" s="2165"/>
      <c r="N41" s="2165"/>
      <c r="O41" s="2137"/>
      <c r="P41" s="3409"/>
      <c r="Q41" s="1600" t="str">
        <f t="shared" si="11"/>
        <v>单套/主力户型建筑面积</v>
      </c>
      <c r="R41" s="1572" t="s">
        <v>11</v>
      </c>
      <c r="S41" s="1573">
        <f t="shared" si="12"/>
        <v>100</v>
      </c>
      <c r="T41" s="1572" t="s">
        <v>11</v>
      </c>
      <c r="U41" s="1573">
        <f t="shared" si="13"/>
        <v>100</v>
      </c>
      <c r="V41" s="1572" t="s">
        <v>11</v>
      </c>
      <c r="W41" s="1573">
        <f t="shared" si="14"/>
        <v>100</v>
      </c>
      <c r="X41" s="1574"/>
      <c r="Y41" s="3409"/>
      <c r="Z41" s="1575" t="str">
        <f t="shared" si="15"/>
        <v>单套/主力户型建筑面积</v>
      </c>
      <c r="AA41" s="1571">
        <f t="shared" si="3"/>
        <v>1</v>
      </c>
      <c r="AB41" s="1571">
        <f t="shared" si="4"/>
        <v>1</v>
      </c>
      <c r="AC41" s="1571">
        <f t="shared" si="5"/>
        <v>1</v>
      </c>
    </row>
    <row r="42" spans="1:29" ht="15">
      <c r="A42" s="590"/>
      <c r="B42" s="523" t="s">
        <v>733</v>
      </c>
      <c r="C42" s="595" t="s">
        <v>3141</v>
      </c>
      <c r="D42" s="536">
        <v>100</v>
      </c>
      <c r="E42" s="870" t="s">
        <v>3152</v>
      </c>
      <c r="F42" s="571">
        <f>SUMIF(122:122,E42,123:123)-SUMIF(122:122,C42,123:123)+100</f>
        <v>85</v>
      </c>
      <c r="G42" s="570" t="s">
        <v>3141</v>
      </c>
      <c r="H42" s="536">
        <f>SUMIF(122:122,G42,123:123)-SUMIF(122:122,C42,123:123)+100</f>
        <v>100</v>
      </c>
      <c r="I42" s="3204" t="s">
        <v>3152</v>
      </c>
      <c r="J42" s="536">
        <f>SUMIF(122:122,I42,123:123)-SUMIF(122:122,C42,123:123)+100</f>
        <v>85</v>
      </c>
      <c r="K42" s="860">
        <v>15</v>
      </c>
      <c r="L42" s="2136"/>
      <c r="M42" s="2128"/>
      <c r="N42" s="2128"/>
      <c r="O42" s="2135"/>
      <c r="P42" s="3409"/>
      <c r="Q42" s="1567" t="str">
        <f t="shared" si="11"/>
        <v>内部装修</v>
      </c>
      <c r="R42" s="1568" t="s">
        <v>11</v>
      </c>
      <c r="S42" s="1569">
        <f t="shared" si="12"/>
        <v>85</v>
      </c>
      <c r="T42" s="1568" t="s">
        <v>11</v>
      </c>
      <c r="U42" s="1569">
        <f t="shared" si="13"/>
        <v>100</v>
      </c>
      <c r="V42" s="1568" t="s">
        <v>11</v>
      </c>
      <c r="W42" s="1569">
        <f t="shared" si="14"/>
        <v>85</v>
      </c>
      <c r="X42" s="1562"/>
      <c r="Y42" s="3409"/>
      <c r="Z42" s="1570" t="str">
        <f t="shared" si="15"/>
        <v>内部装修</v>
      </c>
      <c r="AA42" s="1571">
        <f t="shared" si="3"/>
        <v>1.1764705882352942</v>
      </c>
      <c r="AB42" s="1571">
        <f t="shared" si="4"/>
        <v>1</v>
      </c>
      <c r="AC42" s="1571">
        <f t="shared" si="5"/>
        <v>1.1764705882352942</v>
      </c>
    </row>
    <row r="43" spans="1:29" ht="27.75" thickBot="1">
      <c r="A43" s="590"/>
      <c r="B43" s="523" t="s">
        <v>734</v>
      </c>
      <c r="C43" s="595" t="s">
        <v>3109</v>
      </c>
      <c r="D43" s="536">
        <v>100</v>
      </c>
      <c r="E43" s="870" t="str">
        <f>C43</f>
        <v>好</v>
      </c>
      <c r="F43" s="571">
        <f>SUMIF(124:124,E43,125:125)-SUMIF(124:124,C43,125:125)+100</f>
        <v>100</v>
      </c>
      <c r="G43" s="570" t="s">
        <v>3109</v>
      </c>
      <c r="H43" s="536">
        <f>SUMIF(124:124,G43,125:125)-SUMIF(124:124,C43,125:125)+100</f>
        <v>100</v>
      </c>
      <c r="I43" s="3204" t="s">
        <v>3109</v>
      </c>
      <c r="J43" s="536">
        <f>SUMIF(124:124,I43,125:125)-SUMIF(124:124,C43,125:125)+100</f>
        <v>100</v>
      </c>
      <c r="K43" s="860"/>
      <c r="L43" s="2136"/>
      <c r="M43" s="2128"/>
      <c r="N43" s="2128"/>
      <c r="O43" s="2135"/>
      <c r="P43" s="3409"/>
      <c r="Q43" s="1567" t="str">
        <f t="shared" si="11"/>
        <v>内部装修维护情况</v>
      </c>
      <c r="R43" s="1568" t="s">
        <v>11</v>
      </c>
      <c r="S43" s="1569">
        <f t="shared" si="12"/>
        <v>100</v>
      </c>
      <c r="T43" s="1568" t="s">
        <v>11</v>
      </c>
      <c r="U43" s="1569">
        <f t="shared" si="13"/>
        <v>100</v>
      </c>
      <c r="V43" s="1568" t="s">
        <v>11</v>
      </c>
      <c r="W43" s="1569">
        <f t="shared" si="14"/>
        <v>100</v>
      </c>
      <c r="X43" s="1562"/>
      <c r="Y43" s="3409"/>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875"/>
      <c r="F44" s="859">
        <f>SUMIF(126:126,E44,127:127)-SUMIF(126:126,C44,127:127)+100</f>
        <v>100</v>
      </c>
      <c r="G44" s="875"/>
      <c r="H44" s="253">
        <f>SUMIF(126:126,G44,127:127)-SUMIF(126:126,C44,127:127)+100</f>
        <v>100</v>
      </c>
      <c r="I44" s="875"/>
      <c r="J44" s="253">
        <f>SUMIF(126:126,I44,127:127)-SUMIF(126:126,C44,127:127)+100</f>
        <v>100</v>
      </c>
      <c r="K44" s="861"/>
      <c r="L44" s="2129"/>
      <c r="M44" s="2130"/>
      <c r="N44" s="2130"/>
      <c r="O44" s="2131"/>
      <c r="P44" s="3409"/>
      <c r="Q44" s="1146">
        <f t="shared" si="11"/>
        <v>0</v>
      </c>
      <c r="R44" s="1563" t="s">
        <v>11</v>
      </c>
      <c r="S44" s="1564">
        <f t="shared" si="12"/>
        <v>100</v>
      </c>
      <c r="T44" s="1563" t="s">
        <v>11</v>
      </c>
      <c r="U44" s="1564">
        <f t="shared" si="13"/>
        <v>100</v>
      </c>
      <c r="V44" s="1563" t="s">
        <v>11</v>
      </c>
      <c r="W44" s="1564">
        <f t="shared" si="14"/>
        <v>100</v>
      </c>
      <c r="X44" s="1565"/>
      <c r="Y44" s="3409"/>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6"/>
      <c r="M45" s="2128"/>
      <c r="N45" s="2128"/>
      <c r="O45" s="2135"/>
      <c r="P45" s="3409"/>
      <c r="Q45" s="1567">
        <f t="shared" si="11"/>
        <v>0</v>
      </c>
      <c r="R45" s="1568" t="s">
        <v>11</v>
      </c>
      <c r="S45" s="1569">
        <f t="shared" si="12"/>
        <v>100</v>
      </c>
      <c r="T45" s="1568" t="s">
        <v>11</v>
      </c>
      <c r="U45" s="1569">
        <f t="shared" si="13"/>
        <v>100</v>
      </c>
      <c r="V45" s="1568" t="s">
        <v>11</v>
      </c>
      <c r="W45" s="1569">
        <f t="shared" si="14"/>
        <v>100</v>
      </c>
      <c r="X45" s="1562"/>
      <c r="Y45" s="3409"/>
      <c r="Z45" s="1570">
        <f t="shared" si="15"/>
        <v>0</v>
      </c>
      <c r="AA45" s="1571">
        <f t="shared" si="3"/>
        <v>1</v>
      </c>
      <c r="AB45" s="1571">
        <f t="shared" si="4"/>
        <v>1</v>
      </c>
      <c r="AC45" s="1571">
        <f t="shared" si="5"/>
        <v>1</v>
      </c>
    </row>
    <row r="46" spans="1:29" ht="15.75" hidden="1"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6"/>
      <c r="M46" s="2128"/>
      <c r="N46" s="2128"/>
      <c r="O46" s="2135"/>
      <c r="P46" s="3486"/>
      <c r="Q46" s="1567">
        <f t="shared" si="11"/>
        <v>0</v>
      </c>
      <c r="R46" s="1568" t="s">
        <v>10</v>
      </c>
      <c r="S46" s="1569">
        <f t="shared" si="12"/>
        <v>100</v>
      </c>
      <c r="T46" s="1568" t="s">
        <v>10</v>
      </c>
      <c r="U46" s="1569">
        <f t="shared" si="13"/>
        <v>100</v>
      </c>
      <c r="V46" s="1568" t="s">
        <v>10</v>
      </c>
      <c r="W46" s="1569">
        <f t="shared" si="14"/>
        <v>100</v>
      </c>
      <c r="X46" s="1562"/>
      <c r="Y46" s="3486"/>
      <c r="Z46" s="1570">
        <f t="shared" si="15"/>
        <v>0</v>
      </c>
      <c r="AA46" s="1571">
        <f t="shared" si="3"/>
        <v>1</v>
      </c>
      <c r="AB46" s="1571">
        <f t="shared" si="4"/>
        <v>1</v>
      </c>
      <c r="AC46" s="1571">
        <f t="shared" si="5"/>
        <v>1</v>
      </c>
    </row>
    <row r="47" spans="1:29" ht="15">
      <c r="A47" s="603" t="s">
        <v>735</v>
      </c>
      <c r="B47" s="882"/>
      <c r="C47" s="2645" t="s">
        <v>9</v>
      </c>
      <c r="D47" s="2646"/>
      <c r="E47" s="2647">
        <v>11500</v>
      </c>
      <c r="F47" s="2648"/>
      <c r="G47" s="2649">
        <v>11700</v>
      </c>
      <c r="H47" s="2650"/>
      <c r="I47" s="2647">
        <v>12500</v>
      </c>
      <c r="J47" s="2650"/>
      <c r="K47" s="3206"/>
      <c r="L47" s="2138"/>
      <c r="M47" s="2139"/>
      <c r="N47" s="2128"/>
      <c r="O47" s="2139"/>
      <c r="P47" s="3404" t="str">
        <f>A47</f>
        <v>成交单价（元/平方米）</v>
      </c>
      <c r="Q47" s="3404"/>
      <c r="R47" s="3485">
        <f>E47</f>
        <v>11500</v>
      </c>
      <c r="S47" s="3485"/>
      <c r="T47" s="3485">
        <f>G47</f>
        <v>11700</v>
      </c>
      <c r="U47" s="3485"/>
      <c r="V47" s="3485">
        <f>I47</f>
        <v>12500</v>
      </c>
      <c r="W47" s="3485"/>
      <c r="X47" s="1554"/>
      <c r="Y47" s="1576"/>
      <c r="Z47" s="1554"/>
      <c r="AA47" s="1554"/>
      <c r="AB47" s="1554"/>
      <c r="AC47" s="1554"/>
    </row>
    <row r="48" spans="1:29" ht="15.75" thickBot="1">
      <c r="A48" s="611" t="s">
        <v>2758</v>
      </c>
      <c r="B48" s="883"/>
      <c r="C48" s="2651">
        <f>R49</f>
        <v>12565</v>
      </c>
      <c r="D48" s="2652"/>
      <c r="E48" s="2653">
        <f>R48</f>
        <v>13529</v>
      </c>
      <c r="F48" s="2653"/>
      <c r="G48" s="2651">
        <f>T48</f>
        <v>11648</v>
      </c>
      <c r="H48" s="2652"/>
      <c r="I48" s="2653">
        <f>V48</f>
        <v>12518</v>
      </c>
      <c r="J48" s="2652"/>
      <c r="K48" s="1601"/>
      <c r="L48" s="2138"/>
      <c r="M48" s="2139"/>
      <c r="N48" s="2139"/>
      <c r="O48" s="2139"/>
      <c r="P48" s="3404" t="str">
        <f>A48</f>
        <v>比较价格（元/平方米）</v>
      </c>
      <c r="Q48" s="3404"/>
      <c r="R48" s="3485">
        <f>IF(F1="售价",ROUND(PRODUCT(R47,AA7:AA46),0),ROUND(PRODUCT(R47,AA7:AA46),1))</f>
        <v>13529</v>
      </c>
      <c r="S48" s="3485"/>
      <c r="T48" s="3485">
        <f>IF(F1="售价",ROUND(PRODUCT(T47,AB7:AB46),0),ROUND(PRODUCT(T47,AB7:AB46),1))</f>
        <v>11648</v>
      </c>
      <c r="U48" s="3485"/>
      <c r="V48" s="3485">
        <f>IF(F1="售价",ROUND(PRODUCT(V47,AC7:AC46),0),ROUND(PRODUCT(V47,AC7:AC46),1))</f>
        <v>12518</v>
      </c>
      <c r="W48" s="3485"/>
      <c r="X48" s="1554"/>
      <c r="Y48" s="1554"/>
      <c r="Z48" s="1554"/>
      <c r="AA48" s="1554"/>
      <c r="AB48" s="1554"/>
      <c r="AC48" s="1554"/>
    </row>
    <row r="49" spans="1:29" ht="15.75" thickBot="1">
      <c r="A49" s="617" t="s">
        <v>3026</v>
      </c>
      <c r="B49" s="618"/>
      <c r="C49" s="2654">
        <f>R49</f>
        <v>12565</v>
      </c>
      <c r="D49" s="2654"/>
      <c r="E49" s="2654"/>
      <c r="F49" s="2654"/>
      <c r="G49" s="2654"/>
      <c r="H49" s="2654"/>
      <c r="I49" s="2654"/>
      <c r="J49" s="2654"/>
      <c r="K49" s="1602"/>
      <c r="L49" s="2138"/>
      <c r="M49" s="2139"/>
      <c r="N49" s="2139"/>
      <c r="O49" s="2139"/>
      <c r="P49" s="3425" t="str">
        <f>A49</f>
        <v>比较价格（楼面单价，元/平方米）</v>
      </c>
      <c r="Q49" s="3426"/>
      <c r="R49" s="3484">
        <f>IF(F1="售价",ROUND(AVERAGE(R48:V48),0),ROUND(AVERAGE(R48:V48),1))</f>
        <v>12565</v>
      </c>
      <c r="S49" s="3484"/>
      <c r="T49" s="3484"/>
      <c r="U49" s="3484"/>
      <c r="V49" s="3484"/>
      <c r="W49" s="3484"/>
      <c r="X49" s="1554"/>
      <c r="Y49" s="1554"/>
      <c r="Z49" s="1554"/>
      <c r="AA49" s="1554"/>
      <c r="AB49" s="1554"/>
      <c r="AC49" s="1554"/>
    </row>
    <row r="50" spans="1:29">
      <c r="A50" s="2139"/>
      <c r="B50" s="2139"/>
      <c r="C50" s="2139"/>
      <c r="D50" s="2139"/>
      <c r="E50" s="3198" t="s">
        <v>3154</v>
      </c>
      <c r="F50" s="2139"/>
      <c r="G50" s="2142"/>
      <c r="H50" s="2139"/>
      <c r="I50" s="3198" t="s">
        <v>3160</v>
      </c>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3198" t="s">
        <v>3161</v>
      </c>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0.17643478260869561</v>
      </c>
      <c r="F52" s="623" t="str">
        <f>IF(OR(E52&gt;=0.3,E52&lt;=-0.3),"超过30%","")</f>
        <v/>
      </c>
      <c r="G52" s="622">
        <f>IF(G47&lt;G48,G48/G47-1,G47/G48-1)</f>
        <v>4.4642857142858094E-3</v>
      </c>
      <c r="H52" s="623" t="str">
        <f>IF(OR(G52&gt;=0.3,G52&lt;=-0.3),"超过30%","")</f>
        <v/>
      </c>
      <c r="I52" s="622">
        <f>IF(I47&lt;I48,I48/I47-1,I47/I48-1)</f>
        <v>1.4400000000001079E-3</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0.1614869505494505</v>
      </c>
      <c r="F53" s="623" t="str">
        <f>IF(OR(E53&gt;=0.2,E53&lt;=-0.2),"超过20%","")</f>
        <v/>
      </c>
      <c r="G53" s="622">
        <f>IF(G48&lt;I48,I48/G48-1,G48/I48-1)</f>
        <v>7.4690934065934078E-2</v>
      </c>
      <c r="H53" s="623" t="str">
        <f>IF(OR(G53&gt;=0.2,G53&lt;=-0.2),"超过20%","")</f>
        <v/>
      </c>
      <c r="I53" s="622">
        <f>IF(I48&lt;E48,E48/I48-1,I48/E48-1)</f>
        <v>8.076370027160884E-2</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1.7391304347825987E-2</v>
      </c>
      <c r="F54" s="623" t="str">
        <f>IF(OR(E54&gt;=0.3,E54&lt;=-0.3),"超过30%","")</f>
        <v/>
      </c>
      <c r="G54" s="622">
        <f>IF(G47&lt;I47,I47/G47-1,G47/I47-1)</f>
        <v>6.8376068376068355E-2</v>
      </c>
      <c r="H54" s="623" t="str">
        <f>IF(OR(G54&gt;=0.3,G54&lt;=-0.3),"超过30%","")</f>
        <v/>
      </c>
      <c r="I54" s="622">
        <f>IF(I47&lt;E47,E47/I47-1,I47/E47-1)</f>
        <v>8.6956521739130377E-2</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2"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6">
        <v>97</v>
      </c>
      <c r="N59" s="646">
        <v>97</v>
      </c>
      <c r="O59" s="646">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576</v>
      </c>
      <c r="B63" s="661" t="s">
        <v>533</v>
      </c>
      <c r="C63" s="700" t="str">
        <f>C9</f>
        <v>居住</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v>
      </c>
      <c r="H67" s="678" t="str">
        <f t="shared" si="18"/>
        <v>（含）-</v>
      </c>
      <c r="I67" s="678" t="str">
        <f t="shared" si="18"/>
        <v>（含）-</v>
      </c>
      <c r="J67" s="678" t="str">
        <f t="shared" si="18"/>
        <v>（含）-</v>
      </c>
      <c r="K67" s="678" t="str">
        <f t="shared" si="18"/>
        <v>（含）-</v>
      </c>
      <c r="L67" s="678" t="str">
        <f t="shared" si="18"/>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95</v>
      </c>
      <c r="E69" s="675">
        <f t="shared" si="19"/>
        <v>90</v>
      </c>
      <c r="F69" s="675">
        <f t="shared" si="19"/>
        <v>85</v>
      </c>
      <c r="G69" s="675">
        <f t="shared" si="19"/>
        <v>80</v>
      </c>
      <c r="H69" s="675">
        <f t="shared" si="19"/>
        <v>75</v>
      </c>
      <c r="I69" s="675">
        <f t="shared" si="19"/>
        <v>70</v>
      </c>
      <c r="J69" s="675">
        <f t="shared" si="19"/>
        <v>65</v>
      </c>
      <c r="K69" s="675">
        <f t="shared" si="19"/>
        <v>60</v>
      </c>
      <c r="L69" s="675">
        <f t="shared" si="19"/>
        <v>55</v>
      </c>
      <c r="M69" s="676">
        <f t="shared" si="19"/>
        <v>50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95</v>
      </c>
      <c r="E77" s="675">
        <f>D77-$K15</f>
        <v>90</v>
      </c>
      <c r="F77" s="675">
        <f>E77-$K15</f>
        <v>85</v>
      </c>
      <c r="G77" s="675">
        <f>F77-$K15</f>
        <v>80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98</v>
      </c>
      <c r="E79" s="675">
        <f>D79-$K17</f>
        <v>96</v>
      </c>
      <c r="F79" s="675">
        <f>E79-$K17</f>
        <v>94</v>
      </c>
      <c r="G79" s="675">
        <f>F79-$K17</f>
        <v>92</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97</v>
      </c>
      <c r="E85" s="675">
        <f>D85-$K23</f>
        <v>94</v>
      </c>
      <c r="F85" s="675">
        <f>E85-$K23</f>
        <v>91</v>
      </c>
      <c r="G85" s="675">
        <f>F85-$K23</f>
        <v>88</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1890" t="s">
        <v>2256</v>
      </c>
      <c r="C86" s="684"/>
      <c r="D86" s="684"/>
      <c r="E86" s="684"/>
      <c r="F86" s="684"/>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
        <v>745</v>
      </c>
      <c r="C88" s="684"/>
      <c r="D88" s="684"/>
      <c r="E88" s="684"/>
      <c r="F88" s="887"/>
      <c r="G88" s="684"/>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thickTop="1">
      <c r="A92" s="665"/>
      <c r="B92" s="669">
        <f>B28</f>
        <v>0</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0</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8"/>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550</v>
      </c>
      <c r="B100" s="661" t="s">
        <v>746</v>
      </c>
      <c r="C100" s="3189" t="s">
        <v>3133</v>
      </c>
      <c r="D100" s="3189" t="s">
        <v>3132</v>
      </c>
      <c r="E100" s="3189" t="s">
        <v>3130</v>
      </c>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100(含)-100</v>
      </c>
      <c r="D102" s="704" t="str">
        <f t="shared" ref="D102:L102" si="23">D103&amp;"(含)"&amp;"-"&amp;E103</f>
        <v>100(含)-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v>100</v>
      </c>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100</v>
      </c>
      <c r="E104" s="667"/>
      <c r="F104" s="667"/>
      <c r="G104" s="667"/>
      <c r="H104" s="667"/>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3134</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749</v>
      </c>
      <c r="C107" s="3193" t="s">
        <v>3135</v>
      </c>
      <c r="D107" s="3193" t="s">
        <v>3136</v>
      </c>
      <c r="E107" s="3193" t="s">
        <v>3137</v>
      </c>
      <c r="F107" s="3193" t="s">
        <v>3138</v>
      </c>
      <c r="G107" s="3193" t="s">
        <v>3139</v>
      </c>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750</v>
      </c>
      <c r="C109" s="3192" t="s">
        <v>3140</v>
      </c>
      <c r="D109" s="3192" t="s">
        <v>3142</v>
      </c>
      <c r="E109" s="3192" t="s">
        <v>3143</v>
      </c>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4"/>
      <c r="B112" s="677"/>
      <c r="C112" s="889">
        <v>0.5</v>
      </c>
      <c r="D112" s="889">
        <v>0.6</v>
      </c>
      <c r="E112" s="889">
        <v>0.7</v>
      </c>
      <c r="F112" s="889">
        <v>0.8</v>
      </c>
      <c r="G112" s="889">
        <v>0.9</v>
      </c>
      <c r="H112" s="889">
        <v>1.0001</v>
      </c>
      <c r="I112" s="889"/>
      <c r="J112" s="890"/>
      <c r="K112" s="890"/>
      <c r="L112" s="891"/>
      <c r="M112" s="892"/>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752</v>
      </c>
      <c r="C114" s="3192" t="s">
        <v>3146</v>
      </c>
      <c r="D114" s="3192" t="s">
        <v>3145</v>
      </c>
      <c r="E114" s="3193" t="s">
        <v>3147</v>
      </c>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2554</v>
      </c>
      <c r="C116" s="3196" t="s">
        <v>2557</v>
      </c>
      <c r="D116" s="3196" t="s">
        <v>2558</v>
      </c>
      <c r="E116" s="3196" t="s">
        <v>2559</v>
      </c>
      <c r="F116" s="3196" t="s">
        <v>2560</v>
      </c>
      <c r="G116" s="3196" t="s">
        <v>2561</v>
      </c>
      <c r="H116" s="3197"/>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753</v>
      </c>
      <c r="C118" s="3193" t="s">
        <v>3149</v>
      </c>
      <c r="D118" s="3193" t="s">
        <v>3151</v>
      </c>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75">
        <v>100</v>
      </c>
      <c r="D119" s="675">
        <f t="shared" ref="D119:M119" si="28">C119-$K40</f>
        <v>95</v>
      </c>
      <c r="E119" s="675">
        <f t="shared" si="28"/>
        <v>90</v>
      </c>
      <c r="F119" s="675">
        <f t="shared" si="28"/>
        <v>85</v>
      </c>
      <c r="G119" s="675">
        <f t="shared" si="28"/>
        <v>80</v>
      </c>
      <c r="H119" s="675">
        <f t="shared" si="28"/>
        <v>75</v>
      </c>
      <c r="I119" s="675">
        <f t="shared" si="28"/>
        <v>70</v>
      </c>
      <c r="J119" s="675">
        <f t="shared" si="28"/>
        <v>65</v>
      </c>
      <c r="K119" s="675">
        <f t="shared" si="28"/>
        <v>60</v>
      </c>
      <c r="L119" s="675">
        <f t="shared" si="28"/>
        <v>55</v>
      </c>
      <c r="M119" s="675">
        <f t="shared" si="28"/>
        <v>50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4"/>
      <c r="B120" s="669" t="s">
        <v>732</v>
      </c>
      <c r="C120" s="684"/>
      <c r="D120" s="684"/>
      <c r="E120" s="684"/>
      <c r="F120" s="684"/>
      <c r="G120" s="684"/>
      <c r="H120" s="684"/>
      <c r="I120" s="684"/>
      <c r="J120" s="684"/>
      <c r="K120" s="684"/>
      <c r="L120" s="885"/>
      <c r="M120" s="886"/>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688"/>
      <c r="D121" s="667"/>
      <c r="E121" s="667"/>
      <c r="F121" s="667"/>
      <c r="G121" s="667"/>
      <c r="H121" s="667"/>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3140</v>
      </c>
      <c r="D122" s="3192" t="s">
        <v>3142</v>
      </c>
      <c r="E122" s="3192" t="s">
        <v>3153</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85</v>
      </c>
      <c r="E123" s="675">
        <f t="shared" si="29"/>
        <v>70</v>
      </c>
      <c r="F123" s="675">
        <f t="shared" si="29"/>
        <v>55</v>
      </c>
      <c r="G123" s="675">
        <f t="shared" si="29"/>
        <v>40</v>
      </c>
      <c r="H123" s="675">
        <f t="shared" si="29"/>
        <v>25</v>
      </c>
      <c r="I123" s="675">
        <f t="shared" si="29"/>
        <v>10</v>
      </c>
      <c r="J123" s="675">
        <f t="shared" si="29"/>
        <v>-5</v>
      </c>
      <c r="K123" s="675">
        <f t="shared" si="29"/>
        <v>-20</v>
      </c>
      <c r="L123" s="675">
        <f t="shared" si="29"/>
        <v>-35</v>
      </c>
      <c r="M123" s="675">
        <f t="shared" si="29"/>
        <v>-50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2257</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2258</v>
      </c>
      <c r="C137" s="1913"/>
      <c r="D137" s="1913"/>
      <c r="E137" s="1913"/>
      <c r="F137" s="1913"/>
      <c r="G137" s="1914"/>
      <c r="H137" s="1915"/>
      <c r="I137" s="1916" t="s">
        <v>2259</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2260</v>
      </c>
      <c r="D138" s="1919" t="s">
        <v>2261</v>
      </c>
      <c r="E138" s="1920" t="s">
        <v>2262</v>
      </c>
      <c r="F138" s="1921" t="s">
        <v>2263</v>
      </c>
      <c r="G138" s="1919" t="s">
        <v>2264</v>
      </c>
      <c r="H138" s="1922" t="s">
        <v>2265</v>
      </c>
      <c r="I138" s="1923"/>
      <c r="J138" s="1919" t="s">
        <v>2266</v>
      </c>
      <c r="K138" s="1922" t="s">
        <v>2267</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2268</v>
      </c>
      <c r="E139" s="1893">
        <v>100</v>
      </c>
      <c r="F139" s="1894">
        <v>102.5</v>
      </c>
      <c r="G139" s="1924" t="s">
        <v>2269</v>
      </c>
      <c r="H139" s="1895">
        <v>105</v>
      </c>
      <c r="I139" s="1925" t="s">
        <v>2270</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2271</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2272</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2273</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2274</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2275</v>
      </c>
      <c r="E144" s="1899">
        <v>102</v>
      </c>
      <c r="F144" s="1905">
        <v>100</v>
      </c>
      <c r="G144" s="1928" t="s">
        <v>2275</v>
      </c>
      <c r="H144" s="1901">
        <v>105</v>
      </c>
      <c r="I144" s="1927" t="s">
        <v>2274</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2276</v>
      </c>
      <c r="C145" s="1906">
        <f>ROUND(MAX(C139:C144)/MIN(C139:C144)-1,3)</f>
        <v>7.2999999999999995E-2</v>
      </c>
      <c r="D145" s="1930"/>
      <c r="E145" s="1930"/>
      <c r="F145" s="1931" t="s">
        <v>2277</v>
      </c>
      <c r="G145" s="1932"/>
      <c r="H145" s="1933"/>
      <c r="I145" s="1934" t="s">
        <v>2274</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2286</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2287</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zoomScaleSheetLayoutView="70" workbookViewId="0">
      <selection activeCell="M50" sqref="M50"/>
    </sheetView>
  </sheetViews>
  <sheetFormatPr defaultRowHeight="14.25"/>
  <cols>
    <col min="1" max="1" width="10.5" style="1332" customWidth="1"/>
    <col min="2" max="2" width="15.75" style="1332" customWidth="1"/>
    <col min="3" max="3" width="14.375" style="1332" customWidth="1"/>
    <col min="4" max="4" width="12.25" style="1332" customWidth="1"/>
    <col min="5" max="5" width="19.2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756</v>
      </c>
      <c r="C1" s="500" t="s">
        <v>719</v>
      </c>
      <c r="D1" s="2364" t="s">
        <v>2979</v>
      </c>
      <c r="E1" s="502"/>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846">
        <f>ROUND(B3*D3/10000,0)</f>
        <v>26712</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518</v>
      </c>
      <c r="B3" s="506">
        <f>C49</f>
        <v>22045</v>
      </c>
      <c r="C3" s="848" t="s">
        <v>721</v>
      </c>
      <c r="D3" s="847">
        <f>SUMIF('数据-汇总表'!$C19:$C33,D1,'数据-汇总表'!$E19:$E33)</f>
        <v>12117</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4"/>
    </row>
    <row r="4" spans="1:29" ht="15">
      <c r="A4" s="508" t="s">
        <v>520</v>
      </c>
      <c r="B4" s="509"/>
      <c r="C4" s="3410" t="s">
        <v>521</v>
      </c>
      <c r="D4" s="3411"/>
      <c r="E4" s="3434" t="s">
        <v>522</v>
      </c>
      <c r="F4" s="3435"/>
      <c r="G4" s="3410" t="s">
        <v>523</v>
      </c>
      <c r="H4" s="3411"/>
      <c r="I4" s="3410" t="s">
        <v>524</v>
      </c>
      <c r="J4" s="3411"/>
      <c r="K4" s="510" t="s">
        <v>525</v>
      </c>
      <c r="L4" s="2127"/>
      <c r="M4" s="2128"/>
      <c r="N4" s="2128"/>
      <c r="O4" s="2128"/>
      <c r="P4" s="3412" t="s">
        <v>526</v>
      </c>
      <c r="Q4" s="3413"/>
      <c r="R4" s="3398" t="s">
        <v>522</v>
      </c>
      <c r="S4" s="3399"/>
      <c r="T4" s="3398" t="s">
        <v>523</v>
      </c>
      <c r="U4" s="3399"/>
      <c r="V4" s="3418" t="s">
        <v>524</v>
      </c>
      <c r="W4" s="3418"/>
      <c r="X4" s="1562"/>
      <c r="Y4" s="3398" t="s">
        <v>526</v>
      </c>
      <c r="Z4" s="3399"/>
      <c r="AA4" s="3393" t="s">
        <v>522</v>
      </c>
      <c r="AB4" s="3418" t="s">
        <v>523</v>
      </c>
      <c r="AC4" s="3393" t="s">
        <v>524</v>
      </c>
    </row>
    <row r="5" spans="1:29" ht="15">
      <c r="A5" s="511"/>
      <c r="B5" s="512"/>
      <c r="C5" s="3421" t="str">
        <f>'不动产比较法-住宅'!C5:D5</f>
        <v>P(2018)009号</v>
      </c>
      <c r="D5" s="3422"/>
      <c r="E5" s="3480" t="s">
        <v>3217</v>
      </c>
      <c r="F5" s="3437"/>
      <c r="G5" s="3481" t="s">
        <v>3220</v>
      </c>
      <c r="H5" s="3422"/>
      <c r="I5" s="3481" t="s">
        <v>3218</v>
      </c>
      <c r="J5" s="3422"/>
      <c r="K5" s="510"/>
      <c r="L5" s="2127"/>
      <c r="M5" s="2128"/>
      <c r="N5" s="2128"/>
      <c r="O5" s="2128"/>
      <c r="P5" s="3414"/>
      <c r="Q5" s="3415"/>
      <c r="R5" s="3400"/>
      <c r="S5" s="3401"/>
      <c r="T5" s="3400"/>
      <c r="U5" s="3401"/>
      <c r="V5" s="3418"/>
      <c r="W5" s="3418"/>
      <c r="X5" s="1562"/>
      <c r="Y5" s="3400"/>
      <c r="Z5" s="3401"/>
      <c r="AA5" s="3394"/>
      <c r="AB5" s="3418"/>
      <c r="AC5" s="3394"/>
    </row>
    <row r="6" spans="1:29" ht="15.75" thickBot="1">
      <c r="A6" s="513"/>
      <c r="B6" s="514"/>
      <c r="C6" s="3419" t="str">
        <f>'不动产比较法-住宅'!C6:D6</f>
        <v>江夏区纸坊街齐心村</v>
      </c>
      <c r="D6" s="3420"/>
      <c r="E6" s="3482" t="s">
        <v>3204</v>
      </c>
      <c r="F6" s="3439"/>
      <c r="G6" s="3483" t="s">
        <v>3206</v>
      </c>
      <c r="H6" s="3420"/>
      <c r="I6" s="3483" t="s">
        <v>3208</v>
      </c>
      <c r="J6" s="3420"/>
      <c r="K6" s="510" t="s">
        <v>527</v>
      </c>
      <c r="L6" s="2127"/>
      <c r="M6" s="2128"/>
      <c r="N6" s="2128"/>
      <c r="O6" s="2128"/>
      <c r="P6" s="3416"/>
      <c r="Q6" s="3417"/>
      <c r="R6" s="3400"/>
      <c r="S6" s="3401"/>
      <c r="T6" s="3402"/>
      <c r="U6" s="3403"/>
      <c r="V6" s="3418"/>
      <c r="W6" s="3418"/>
      <c r="X6" s="1562"/>
      <c r="Y6" s="3402"/>
      <c r="Z6" s="3403"/>
      <c r="AA6" s="3395"/>
      <c r="AB6" s="3418"/>
      <c r="AC6" s="3395"/>
    </row>
    <row r="7" spans="1:29" s="1215" customFormat="1" ht="15.75" thickBot="1">
      <c r="A7" s="2930"/>
      <c r="B7" s="2937" t="s">
        <v>528</v>
      </c>
      <c r="C7" s="515">
        <f>'数据-取费表'!B2</f>
        <v>43182</v>
      </c>
      <c r="D7" s="516">
        <v>100</v>
      </c>
      <c r="E7" s="517">
        <v>43101</v>
      </c>
      <c r="F7" s="518">
        <f>SUMIF(58:58,YEAR(E7)&amp;"-"&amp;MONTH(E7),59:59)</f>
        <v>100</v>
      </c>
      <c r="G7" s="517">
        <v>43009</v>
      </c>
      <c r="H7" s="516">
        <f>SUMIF(58:58,YEAR(G7)&amp;"-"&amp;MONTH(G7),59:59)</f>
        <v>99</v>
      </c>
      <c r="I7" s="517">
        <v>43070</v>
      </c>
      <c r="J7" s="516">
        <f>SUMIF(58:58,YEAR(I7)&amp;"-"&amp;MONTH(I7),59:59)</f>
        <v>99</v>
      </c>
      <c r="K7" s="520"/>
      <c r="L7" s="2129"/>
      <c r="M7" s="2130"/>
      <c r="N7" s="2130"/>
      <c r="O7" s="2130"/>
      <c r="P7" s="3396" t="s">
        <v>529</v>
      </c>
      <c r="Q7" s="3405"/>
      <c r="R7" s="1563" t="s">
        <v>8</v>
      </c>
      <c r="S7" s="1564">
        <f t="shared" ref="S7:S15" si="0">F7</f>
        <v>100</v>
      </c>
      <c r="T7" s="1563" t="s">
        <v>8</v>
      </c>
      <c r="U7" s="1564">
        <f t="shared" ref="U7:U15" si="1">H7</f>
        <v>99</v>
      </c>
      <c r="V7" s="1563" t="s">
        <v>8</v>
      </c>
      <c r="W7" s="1564">
        <f t="shared" ref="W7:W15" si="2">J7</f>
        <v>99</v>
      </c>
      <c r="X7" s="1565"/>
      <c r="Y7" s="3396" t="s">
        <v>529</v>
      </c>
      <c r="Z7" s="3397"/>
      <c r="AA7" s="1566">
        <f>D7/F7</f>
        <v>1</v>
      </c>
      <c r="AB7" s="1566">
        <f>D7/H7</f>
        <v>1.0101010101010102</v>
      </c>
      <c r="AC7" s="1566">
        <f>D7/J7</f>
        <v>1.0101010101010102</v>
      </c>
    </row>
    <row r="8" spans="1:29" s="1215" customFormat="1" ht="15.75" thickBot="1">
      <c r="A8" s="2931"/>
      <c r="B8" s="2938" t="s">
        <v>530</v>
      </c>
      <c r="C8" s="521" t="s">
        <v>575</v>
      </c>
      <c r="D8" s="516">
        <v>100</v>
      </c>
      <c r="E8" s="521" t="s">
        <v>3101</v>
      </c>
      <c r="F8" s="518">
        <f>SUMIF(61:61,E8,62:62)-SUMIF(61:61,C8,62:62)+100</f>
        <v>100</v>
      </c>
      <c r="G8" s="521" t="s">
        <v>3101</v>
      </c>
      <c r="H8" s="516">
        <f>SUMIF(61:61,G8,62:62)-SUMIF(61:61,C8,62:62)+100</f>
        <v>100</v>
      </c>
      <c r="I8" s="521" t="s">
        <v>3101</v>
      </c>
      <c r="J8" s="516">
        <f>SUMIF(61:61,I8,62:62)-SUMIF(61:61,C8,62:62)+100</f>
        <v>100</v>
      </c>
      <c r="K8" s="520"/>
      <c r="L8" s="2129"/>
      <c r="M8" s="2130"/>
      <c r="N8" s="2130"/>
      <c r="O8" s="2130"/>
      <c r="P8" s="3396" t="s">
        <v>532</v>
      </c>
      <c r="Q8" s="3397"/>
      <c r="R8" s="1563" t="s">
        <v>8</v>
      </c>
      <c r="S8" s="1564">
        <f t="shared" si="0"/>
        <v>100</v>
      </c>
      <c r="T8" s="1563" t="s">
        <v>8</v>
      </c>
      <c r="U8" s="1564">
        <f t="shared" si="1"/>
        <v>100</v>
      </c>
      <c r="V8" s="1563" t="s">
        <v>8</v>
      </c>
      <c r="W8" s="1564">
        <f t="shared" si="2"/>
        <v>100</v>
      </c>
      <c r="X8" s="1565"/>
      <c r="Y8" s="3396" t="s">
        <v>532</v>
      </c>
      <c r="Z8" s="3397"/>
      <c r="AA8" s="1566">
        <f t="shared" ref="AA8:AA46" si="3">D8/F8</f>
        <v>1</v>
      </c>
      <c r="AB8" s="1566">
        <f t="shared" ref="AB8:AB46" si="4">D8/H8</f>
        <v>1</v>
      </c>
      <c r="AC8" s="1566">
        <f t="shared" ref="AC8:AC46" si="5">D8/J8</f>
        <v>1</v>
      </c>
    </row>
    <row r="9" spans="1:29" s="1215" customFormat="1" ht="15">
      <c r="A9" s="2932"/>
      <c r="B9" s="2939" t="s">
        <v>2754</v>
      </c>
      <c r="C9" s="3207" t="s">
        <v>3163</v>
      </c>
      <c r="D9" s="252">
        <v>100</v>
      </c>
      <c r="E9" s="856" t="s">
        <v>2979</v>
      </c>
      <c r="F9" s="252">
        <f>SUMIF(63:63,E9,64:64)-SUMIF(63:63,C9,64:64)+100</f>
        <v>100</v>
      </c>
      <c r="G9" s="854" t="s">
        <v>2979</v>
      </c>
      <c r="H9" s="252">
        <f>SUMIF(63:63,G9,64:64)-SUMIF(63:63,C9,64:64)+100</f>
        <v>100</v>
      </c>
      <c r="I9" s="854" t="s">
        <v>2979</v>
      </c>
      <c r="J9" s="252">
        <f>SUMIF(63:63,I9,64:64)-SUMIF(63:63,C9,64:64)+100</f>
        <v>100</v>
      </c>
      <c r="K9" s="520"/>
      <c r="L9" s="2129"/>
      <c r="M9" s="2130"/>
      <c r="N9" s="2130"/>
      <c r="O9" s="2131"/>
      <c r="P9" s="3404" t="s">
        <v>534</v>
      </c>
      <c r="Q9" s="1146" t="str">
        <f t="shared" ref="Q9:Q15" si="6">B9</f>
        <v>用途</v>
      </c>
      <c r="R9" s="1563" t="s">
        <v>8</v>
      </c>
      <c r="S9" s="1564">
        <f t="shared" si="0"/>
        <v>100</v>
      </c>
      <c r="T9" s="1563" t="s">
        <v>8</v>
      </c>
      <c r="U9" s="1564">
        <f t="shared" si="1"/>
        <v>100</v>
      </c>
      <c r="V9" s="1563" t="s">
        <v>8</v>
      </c>
      <c r="W9" s="1564">
        <f t="shared" si="2"/>
        <v>100</v>
      </c>
      <c r="X9" s="1565"/>
      <c r="Y9" s="3361" t="s">
        <v>535</v>
      </c>
      <c r="Z9" s="1145" t="str">
        <f t="shared" ref="Z9:Z15" si="7">Q9</f>
        <v>用途</v>
      </c>
      <c r="AA9" s="1566">
        <f t="shared" si="3"/>
        <v>1</v>
      </c>
      <c r="AB9" s="1566">
        <f t="shared" si="4"/>
        <v>1</v>
      </c>
      <c r="AC9" s="1566">
        <f t="shared" si="5"/>
        <v>1</v>
      </c>
    </row>
    <row r="10" spans="1:29" s="1333" customFormat="1" ht="27">
      <c r="A10" s="2933"/>
      <c r="B10" s="2938" t="s">
        <v>2755</v>
      </c>
      <c r="C10" s="857" t="s">
        <v>3164</v>
      </c>
      <c r="D10" s="253">
        <v>100</v>
      </c>
      <c r="E10" s="857" t="s">
        <v>3164</v>
      </c>
      <c r="F10" s="253">
        <f>SUMIF(65:65,E10,66:66)-SUMIF(65:65,C10,66:66)+100</f>
        <v>100</v>
      </c>
      <c r="G10" s="858" t="s">
        <v>3164</v>
      </c>
      <c r="H10" s="253">
        <f>SUMIF(65:65,G10,66:66)-SUMIF(65:65,C10,66:66)+100</f>
        <v>100</v>
      </c>
      <c r="I10" s="857" t="s">
        <v>3164</v>
      </c>
      <c r="J10" s="253">
        <f>SUMIF(65:65,I10,66:66)-SUMIF(65:65,C10,66:66)+100</f>
        <v>100</v>
      </c>
      <c r="K10" s="580">
        <v>2</v>
      </c>
      <c r="L10" s="2132"/>
      <c r="M10" s="2172"/>
      <c r="N10" s="2172"/>
      <c r="O10" s="2133"/>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75" thickBot="1">
      <c r="A11" s="2934"/>
      <c r="B11" s="2938" t="s">
        <v>2756</v>
      </c>
      <c r="C11" s="529">
        <f>'不动产比较法-住宅'!C11</f>
        <v>3.5</v>
      </c>
      <c r="D11" s="253">
        <v>100</v>
      </c>
      <c r="E11" s="529">
        <v>2.4</v>
      </c>
      <c r="F11" s="253">
        <f>LOOKUP(E11,68:68,69:69)-LOOKUP(C11,68:68,69:69)+100</f>
        <v>100.5</v>
      </c>
      <c r="G11" s="530">
        <v>3.4</v>
      </c>
      <c r="H11" s="253">
        <f>LOOKUP(G11,68:68,69:69)-LOOKUP(C11,68:68,69:69)+100</f>
        <v>100</v>
      </c>
      <c r="I11" s="529">
        <v>2.5</v>
      </c>
      <c r="J11" s="253">
        <f>LOOKUP(I11,68:68,69:69)-LOOKUP(C11,68:68,69:69)+100</f>
        <v>100.5</v>
      </c>
      <c r="K11" s="580">
        <v>0.5</v>
      </c>
      <c r="L11" s="2134"/>
      <c r="M11" s="2128"/>
      <c r="N11" s="2128"/>
      <c r="O11" s="2135"/>
      <c r="P11" s="3404"/>
      <c r="Q11" s="1146" t="str">
        <f t="shared" si="6"/>
        <v>容积率</v>
      </c>
      <c r="R11" s="1563" t="s">
        <v>8</v>
      </c>
      <c r="S11" s="1564">
        <f t="shared" si="0"/>
        <v>100.5</v>
      </c>
      <c r="T11" s="1563" t="s">
        <v>8</v>
      </c>
      <c r="U11" s="1564">
        <f t="shared" si="1"/>
        <v>100</v>
      </c>
      <c r="V11" s="1563" t="s">
        <v>8</v>
      </c>
      <c r="W11" s="1564">
        <f t="shared" si="2"/>
        <v>100.5</v>
      </c>
      <c r="X11" s="1565"/>
      <c r="Y11" s="3361"/>
      <c r="Z11" s="1145" t="str">
        <f t="shared" si="7"/>
        <v>容积率</v>
      </c>
      <c r="AA11" s="1566">
        <f t="shared" si="3"/>
        <v>0.99502487562189057</v>
      </c>
      <c r="AB11" s="1566">
        <f t="shared" si="4"/>
        <v>1</v>
      </c>
      <c r="AC11" s="1566">
        <f t="shared" si="5"/>
        <v>0.99502487562189057</v>
      </c>
    </row>
    <row r="12" spans="1:29" s="1215" customFormat="1" ht="15" hidden="1">
      <c r="A12" s="2935"/>
      <c r="B12" s="2941"/>
      <c r="C12" s="524"/>
      <c r="D12" s="534">
        <v>100</v>
      </c>
      <c r="E12" s="535"/>
      <c r="F12" s="253">
        <f>SUMIF(70:70,E12,71:71)-SUMIF(70:70,C12,71:71)+100</f>
        <v>100</v>
      </c>
      <c r="G12" s="907"/>
      <c r="H12" s="253">
        <f>SUMIF(70:70,G12,71:71)-SUMIF(70:70,C12,71:71)+100</f>
        <v>100</v>
      </c>
      <c r="I12" s="535"/>
      <c r="J12" s="253">
        <f>SUMIF(70:70,I12,71:71)-SUMIF(70:70,C12,71:71)+100</f>
        <v>100</v>
      </c>
      <c r="K12" s="577"/>
      <c r="L12" s="2129"/>
      <c r="M12" s="2130"/>
      <c r="N12" s="2130"/>
      <c r="O12" s="2131"/>
      <c r="P12" s="3404"/>
      <c r="Q12" s="1146">
        <f t="shared" si="6"/>
        <v>0</v>
      </c>
      <c r="R12" s="1563" t="s">
        <v>8</v>
      </c>
      <c r="S12" s="1564">
        <f t="shared" si="0"/>
        <v>100</v>
      </c>
      <c r="T12" s="1563" t="s">
        <v>8</v>
      </c>
      <c r="U12" s="1564">
        <f t="shared" si="1"/>
        <v>100</v>
      </c>
      <c r="V12" s="1563" t="s">
        <v>8</v>
      </c>
      <c r="W12" s="1564">
        <f t="shared" si="2"/>
        <v>100</v>
      </c>
      <c r="X12" s="1565"/>
      <c r="Y12" s="3361"/>
      <c r="Z12" s="1145">
        <f t="shared" si="7"/>
        <v>0</v>
      </c>
      <c r="AA12" s="1566">
        <f>D12/F12</f>
        <v>1</v>
      </c>
      <c r="AB12" s="1566">
        <f>D12/H12</f>
        <v>1</v>
      </c>
      <c r="AC12" s="1566">
        <f>D12/J12</f>
        <v>1</v>
      </c>
    </row>
    <row r="13" spans="1:29" ht="15" hidden="1">
      <c r="A13" s="2935"/>
      <c r="B13" s="2941"/>
      <c r="C13" s="535"/>
      <c r="D13" s="536">
        <v>100</v>
      </c>
      <c r="E13" s="535"/>
      <c r="F13" s="253">
        <f>SUMIF(72:72,E13,73:73)-SUMIF(72:72,C13,73:73)+100</f>
        <v>100</v>
      </c>
      <c r="G13" s="907"/>
      <c r="H13" s="536">
        <f>SUMIF(72:72,G13,73:73)-SUMIF(72:72,C13,73:73)+100</f>
        <v>100</v>
      </c>
      <c r="I13" s="535"/>
      <c r="J13" s="536">
        <f>SUMIF(72:72,I13,73:73)-SUMIF(72:72,C13,73:73)+100</f>
        <v>100</v>
      </c>
      <c r="K13" s="577"/>
      <c r="L13" s="2136"/>
      <c r="M13" s="2128"/>
      <c r="N13" s="2128"/>
      <c r="O13" s="2135"/>
      <c r="P13" s="3404"/>
      <c r="Q13" s="1146">
        <f t="shared" si="6"/>
        <v>0</v>
      </c>
      <c r="R13" s="1563" t="s">
        <v>8</v>
      </c>
      <c r="S13" s="1564">
        <f t="shared" si="0"/>
        <v>100</v>
      </c>
      <c r="T13" s="1563" t="s">
        <v>8</v>
      </c>
      <c r="U13" s="1564">
        <f t="shared" si="1"/>
        <v>100</v>
      </c>
      <c r="V13" s="1563" t="s">
        <v>8</v>
      </c>
      <c r="W13" s="1564">
        <f t="shared" si="2"/>
        <v>100</v>
      </c>
      <c r="X13" s="1565"/>
      <c r="Y13" s="3361"/>
      <c r="Z13" s="1145">
        <f t="shared" si="7"/>
        <v>0</v>
      </c>
      <c r="AA13" s="1566">
        <f t="shared" si="3"/>
        <v>1</v>
      </c>
      <c r="AB13" s="1566">
        <f t="shared" si="4"/>
        <v>1</v>
      </c>
      <c r="AC13" s="1566">
        <f t="shared" si="5"/>
        <v>1</v>
      </c>
    </row>
    <row r="14" spans="1:29" ht="15.75" hidden="1" thickBot="1">
      <c r="A14" s="2936"/>
      <c r="B14" s="2942"/>
      <c r="C14" s="541"/>
      <c r="D14" s="542">
        <v>100</v>
      </c>
      <c r="E14" s="541"/>
      <c r="F14" s="542">
        <f>SUMIF(74:74,E14,75:75)-SUMIF(74:74,C14,75:75)+100</f>
        <v>100</v>
      </c>
      <c r="G14" s="907"/>
      <c r="H14" s="542">
        <f>SUMIF(74:74,G14,75:75)-SUMIF(74:74,C14,75:75)+100</f>
        <v>100</v>
      </c>
      <c r="I14" s="535"/>
      <c r="J14" s="542">
        <f>SUMIF(74:74,I14,75:75)-SUMIF(74:74,C14,75:75)+100</f>
        <v>100</v>
      </c>
      <c r="K14" s="577"/>
      <c r="L14" s="2136"/>
      <c r="M14" s="2128"/>
      <c r="N14" s="2128"/>
      <c r="O14" s="2135"/>
      <c r="P14" s="3404"/>
      <c r="Q14" s="1146">
        <f t="shared" si="6"/>
        <v>0</v>
      </c>
      <c r="R14" s="1563" t="s">
        <v>8</v>
      </c>
      <c r="S14" s="1564">
        <f t="shared" si="0"/>
        <v>100</v>
      </c>
      <c r="T14" s="1563" t="s">
        <v>8</v>
      </c>
      <c r="U14" s="1564">
        <f t="shared" si="1"/>
        <v>100</v>
      </c>
      <c r="V14" s="1563" t="s">
        <v>8</v>
      </c>
      <c r="W14" s="1564">
        <f t="shared" si="2"/>
        <v>100</v>
      </c>
      <c r="X14" s="1565"/>
      <c r="Y14" s="3361"/>
      <c r="Z14" s="1145">
        <f t="shared" si="7"/>
        <v>0</v>
      </c>
      <c r="AA14" s="1566">
        <f t="shared" si="3"/>
        <v>1</v>
      </c>
      <c r="AB14" s="1566">
        <f t="shared" si="4"/>
        <v>1</v>
      </c>
      <c r="AC14" s="1566">
        <f t="shared" si="5"/>
        <v>1</v>
      </c>
    </row>
    <row r="15" spans="1:29" ht="15">
      <c r="A15" s="2928" t="s">
        <v>2752</v>
      </c>
      <c r="B15" s="166" t="s">
        <v>540</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3">
        <v>5</v>
      </c>
      <c r="L15" s="2136"/>
      <c r="M15" s="2128"/>
      <c r="N15" s="2128"/>
      <c r="O15" s="2135"/>
      <c r="P15" s="3406" t="s">
        <v>539</v>
      </c>
      <c r="Q15" s="1567" t="str">
        <f t="shared" si="6"/>
        <v>商业繁华度</v>
      </c>
      <c r="R15" s="1568" t="s">
        <v>8</v>
      </c>
      <c r="S15" s="1569">
        <f t="shared" si="0"/>
        <v>100</v>
      </c>
      <c r="T15" s="1568" t="s">
        <v>8</v>
      </c>
      <c r="U15" s="1569">
        <f t="shared" si="1"/>
        <v>100</v>
      </c>
      <c r="V15" s="1568" t="s">
        <v>8</v>
      </c>
      <c r="W15" s="1569">
        <f t="shared" si="2"/>
        <v>100</v>
      </c>
      <c r="X15" s="1562"/>
      <c r="Y15" s="3406" t="s">
        <v>539</v>
      </c>
      <c r="Z15" s="1570" t="str">
        <f t="shared" si="7"/>
        <v>商业繁华度</v>
      </c>
      <c r="AA15" s="1571">
        <f t="shared" si="3"/>
        <v>1</v>
      </c>
      <c r="AB15" s="1571">
        <f t="shared" si="4"/>
        <v>1</v>
      </c>
      <c r="AC15" s="1571">
        <f t="shared" si="5"/>
        <v>1</v>
      </c>
    </row>
    <row r="16" spans="1:29" ht="15">
      <c r="A16" s="528"/>
      <c r="B16" s="865"/>
      <c r="C16" s="3217" t="s">
        <v>3107</v>
      </c>
      <c r="D16" s="551"/>
      <c r="E16" s="3217" t="s">
        <v>3107</v>
      </c>
      <c r="F16" s="553"/>
      <c r="G16" s="3217" t="s">
        <v>3107</v>
      </c>
      <c r="H16" s="555"/>
      <c r="I16" s="3217" t="s">
        <v>3107</v>
      </c>
      <c r="J16" s="551"/>
      <c r="K16" s="894"/>
      <c r="L16" s="2136"/>
      <c r="M16" s="2128"/>
      <c r="N16" s="2128"/>
      <c r="O16" s="2135"/>
      <c r="P16" s="3407"/>
      <c r="Q16" s="1567"/>
      <c r="R16" s="1568"/>
      <c r="S16" s="1569"/>
      <c r="T16" s="1568"/>
      <c r="U16" s="1569"/>
      <c r="V16" s="1568"/>
      <c r="W16" s="1569"/>
      <c r="X16" s="1562"/>
      <c r="Y16" s="3407"/>
      <c r="Z16" s="1570"/>
      <c r="AA16" s="1571">
        <v>1</v>
      </c>
      <c r="AB16" s="1571">
        <v>1</v>
      </c>
      <c r="AC16" s="1571">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3">
        <v>3</v>
      </c>
      <c r="L17" s="2136"/>
      <c r="M17" s="2128"/>
      <c r="N17" s="2128"/>
      <c r="O17" s="2135"/>
      <c r="P17" s="3407"/>
      <c r="Q17" s="1567" t="str">
        <f>B17</f>
        <v>交通便捷度</v>
      </c>
      <c r="R17" s="1568" t="s">
        <v>8</v>
      </c>
      <c r="S17" s="1569">
        <f>F17</f>
        <v>100</v>
      </c>
      <c r="T17" s="1568" t="s">
        <v>8</v>
      </c>
      <c r="U17" s="1569">
        <f>H17</f>
        <v>100</v>
      </c>
      <c r="V17" s="1568" t="s">
        <v>8</v>
      </c>
      <c r="W17" s="1569">
        <f>J17</f>
        <v>100</v>
      </c>
      <c r="X17" s="1562"/>
      <c r="Y17" s="3407"/>
      <c r="Z17" s="1570" t="str">
        <f>Q17</f>
        <v>交通便捷度</v>
      </c>
      <c r="AA17" s="1571">
        <f t="shared" si="3"/>
        <v>1</v>
      </c>
      <c r="AB17" s="1571">
        <f t="shared" si="4"/>
        <v>1</v>
      </c>
      <c r="AC17" s="1571">
        <f t="shared" si="5"/>
        <v>1</v>
      </c>
    </row>
    <row r="18" spans="1:29" ht="15">
      <c r="A18" s="528"/>
      <c r="B18" s="591"/>
      <c r="C18" s="869" t="str">
        <f>'不动产比较法-住宅'!C18</f>
        <v>较好</v>
      </c>
      <c r="D18" s="555"/>
      <c r="E18" s="564" t="s">
        <v>3106</v>
      </c>
      <c r="F18" s="559"/>
      <c r="G18" s="565" t="s">
        <v>3106</v>
      </c>
      <c r="H18" s="551"/>
      <c r="I18" s="564" t="s">
        <v>3106</v>
      </c>
      <c r="J18" s="551"/>
      <c r="K18" s="894"/>
      <c r="L18" s="2136"/>
      <c r="M18" s="2128"/>
      <c r="N18" s="2128"/>
      <c r="O18" s="2135"/>
      <c r="P18" s="3407"/>
      <c r="Q18" s="1567"/>
      <c r="R18" s="1568"/>
      <c r="S18" s="1569"/>
      <c r="T18" s="1568"/>
      <c r="U18" s="1569"/>
      <c r="V18" s="1568"/>
      <c r="W18" s="1569"/>
      <c r="X18" s="1562"/>
      <c r="Y18" s="3407"/>
      <c r="Z18" s="1570"/>
      <c r="AA18" s="1571">
        <v>1</v>
      </c>
      <c r="AB18" s="1571">
        <v>1</v>
      </c>
      <c r="AC18" s="1571">
        <v>1</v>
      </c>
    </row>
    <row r="19" spans="1:29" ht="15">
      <c r="A19" s="528"/>
      <c r="B19" s="2618" t="s">
        <v>2544</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3">
        <v>2</v>
      </c>
      <c r="L19" s="2136"/>
      <c r="M19" s="2128"/>
      <c r="N19" s="2128"/>
      <c r="O19" s="2135"/>
      <c r="P19" s="3407"/>
      <c r="Q19" s="1567" t="str">
        <f>B19</f>
        <v>公共配套设施</v>
      </c>
      <c r="R19" s="1568" t="s">
        <v>8</v>
      </c>
      <c r="S19" s="1569">
        <f>F19</f>
        <v>100</v>
      </c>
      <c r="T19" s="1568" t="s">
        <v>8</v>
      </c>
      <c r="U19" s="1569">
        <f>H19</f>
        <v>100</v>
      </c>
      <c r="V19" s="1568" t="s">
        <v>8</v>
      </c>
      <c r="W19" s="1569">
        <f>J19</f>
        <v>100</v>
      </c>
      <c r="X19" s="1562"/>
      <c r="Y19" s="3407"/>
      <c r="Z19" s="1570" t="str">
        <f>Q19</f>
        <v>公共配套设施</v>
      </c>
      <c r="AA19" s="1571">
        <f t="shared" si="3"/>
        <v>1</v>
      </c>
      <c r="AB19" s="1571">
        <f t="shared" si="4"/>
        <v>1</v>
      </c>
      <c r="AC19" s="1571">
        <f t="shared" si="5"/>
        <v>1</v>
      </c>
    </row>
    <row r="20" spans="1:29" ht="15">
      <c r="A20" s="528"/>
      <c r="B20" s="591"/>
      <c r="C20" s="572" t="str">
        <f>'不动产比较法-住宅'!C20</f>
        <v>较好</v>
      </c>
      <c r="D20" s="551"/>
      <c r="E20" s="552" t="s">
        <v>3106</v>
      </c>
      <c r="F20" s="553"/>
      <c r="G20" s="554" t="s">
        <v>3106</v>
      </c>
      <c r="H20" s="551"/>
      <c r="I20" s="552" t="s">
        <v>3106</v>
      </c>
      <c r="J20" s="551"/>
      <c r="K20" s="894"/>
      <c r="L20" s="2136"/>
      <c r="M20" s="2128"/>
      <c r="N20" s="2128"/>
      <c r="O20" s="2135"/>
      <c r="P20" s="3407"/>
      <c r="Q20" s="1567"/>
      <c r="R20" s="1568"/>
      <c r="S20" s="1569"/>
      <c r="T20" s="1568"/>
      <c r="U20" s="1569"/>
      <c r="V20" s="1568"/>
      <c r="W20" s="1569"/>
      <c r="X20" s="1562"/>
      <c r="Y20" s="3407"/>
      <c r="Z20" s="1570"/>
      <c r="AA20" s="1571">
        <v>1</v>
      </c>
      <c r="AB20" s="1571">
        <v>1</v>
      </c>
      <c r="AC20" s="1571">
        <v>1</v>
      </c>
    </row>
    <row r="21" spans="1:29" ht="15">
      <c r="A21" s="528"/>
      <c r="B21" s="2611" t="s">
        <v>2556</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3">
        <v>2</v>
      </c>
      <c r="L21" s="2136"/>
      <c r="M21" s="2128"/>
      <c r="N21" s="2128"/>
      <c r="O21" s="2135"/>
      <c r="P21" s="3407"/>
      <c r="Q21" s="2597" t="str">
        <f>B21</f>
        <v>基础设施水平</v>
      </c>
      <c r="R21" s="1568" t="s">
        <v>8</v>
      </c>
      <c r="S21" s="1569">
        <f>F21</f>
        <v>100</v>
      </c>
      <c r="T21" s="1568" t="s">
        <v>8</v>
      </c>
      <c r="U21" s="1569">
        <f>H21</f>
        <v>100</v>
      </c>
      <c r="V21" s="1568" t="s">
        <v>8</v>
      </c>
      <c r="W21" s="1569">
        <f>J21</f>
        <v>100</v>
      </c>
      <c r="X21" s="2599"/>
      <c r="Y21" s="3407"/>
      <c r="Z21" s="2598" t="str">
        <f>Q21</f>
        <v>基础设施水平</v>
      </c>
      <c r="AA21" s="1571">
        <f t="shared" ref="AA21" si="8">D21/F21</f>
        <v>1</v>
      </c>
      <c r="AB21" s="1571">
        <f t="shared" ref="AB21" si="9">D21/H21</f>
        <v>1</v>
      </c>
      <c r="AC21" s="1571">
        <f t="shared" ref="AC21" si="10">D21/J21</f>
        <v>1</v>
      </c>
    </row>
    <row r="22" spans="1:29" ht="15">
      <c r="A22" s="528"/>
      <c r="B22" s="917"/>
      <c r="C22" s="869" t="str">
        <f>'不动产比较法-住宅'!C22</f>
        <v>六通</v>
      </c>
      <c r="D22" s="551"/>
      <c r="E22" s="572" t="s">
        <v>3110</v>
      </c>
      <c r="F22" s="553"/>
      <c r="G22" s="572" t="s">
        <v>3110</v>
      </c>
      <c r="H22" s="551"/>
      <c r="I22" s="572" t="s">
        <v>3110</v>
      </c>
      <c r="J22" s="551"/>
      <c r="K22" s="2620"/>
      <c r="L22" s="2136"/>
      <c r="M22" s="2128"/>
      <c r="N22" s="2128"/>
      <c r="O22" s="2135"/>
      <c r="P22" s="3407"/>
      <c r="Q22" s="2597"/>
      <c r="R22" s="1568"/>
      <c r="S22" s="1569"/>
      <c r="T22" s="1568"/>
      <c r="U22" s="1569"/>
      <c r="V22" s="1568"/>
      <c r="W22" s="1569"/>
      <c r="X22" s="2599"/>
      <c r="Y22" s="3407"/>
      <c r="Z22" s="2598"/>
      <c r="AA22" s="1571">
        <v>1</v>
      </c>
      <c r="AB22" s="1571">
        <v>1</v>
      </c>
      <c r="AC22" s="1571">
        <v>1</v>
      </c>
    </row>
    <row r="23" spans="1:29" ht="15">
      <c r="A23" s="528"/>
      <c r="B23" s="867" t="s">
        <v>297</v>
      </c>
      <c r="C23" s="895">
        <f>估价对象房地状况!C9</f>
        <v>0</v>
      </c>
      <c r="D23" s="555">
        <v>100</v>
      </c>
      <c r="E23" s="558"/>
      <c r="F23" s="559">
        <f>SUMIF(84:84,E24,85:85)-SUMIF(84:84,C24,85:85)+100</f>
        <v>105</v>
      </c>
      <c r="G23" s="560"/>
      <c r="H23" s="555">
        <f>SUMIF(84:84,G24,85:85)-SUMIF(84:84,C24,85:85)+100</f>
        <v>100</v>
      </c>
      <c r="I23" s="558"/>
      <c r="J23" s="555">
        <f>SUMIF(84:84,I24,85:85)-SUMIF(84:84,C24,85:85)+100</f>
        <v>100</v>
      </c>
      <c r="K23" s="893">
        <v>5</v>
      </c>
      <c r="L23" s="2136"/>
      <c r="M23" s="2128"/>
      <c r="N23" s="2128"/>
      <c r="O23" s="2135"/>
      <c r="P23" s="3407"/>
      <c r="Q23" s="1567" t="str">
        <f>B23</f>
        <v>自然及人文环境</v>
      </c>
      <c r="R23" s="1568" t="s">
        <v>8</v>
      </c>
      <c r="S23" s="1569">
        <f>F23</f>
        <v>105</v>
      </c>
      <c r="T23" s="1568" t="s">
        <v>8</v>
      </c>
      <c r="U23" s="1569">
        <f>H23</f>
        <v>100</v>
      </c>
      <c r="V23" s="1568" t="s">
        <v>8</v>
      </c>
      <c r="W23" s="1569">
        <f>J23</f>
        <v>100</v>
      </c>
      <c r="X23" s="1562"/>
      <c r="Y23" s="3407"/>
      <c r="Z23" s="1570" t="str">
        <f>Q23</f>
        <v>自然及人文环境</v>
      </c>
      <c r="AA23" s="1571">
        <f t="shared" si="3"/>
        <v>0.95238095238095233</v>
      </c>
      <c r="AB23" s="1571">
        <f t="shared" si="4"/>
        <v>1</v>
      </c>
      <c r="AC23" s="1571">
        <f t="shared" si="5"/>
        <v>1</v>
      </c>
    </row>
    <row r="24" spans="1:29" ht="15">
      <c r="A24" s="528"/>
      <c r="B24" s="591"/>
      <c r="C24" s="572" t="str">
        <f>'不动产比较法-住宅'!C24</f>
        <v>一般</v>
      </c>
      <c r="D24" s="551"/>
      <c r="E24" s="552" t="s">
        <v>3106</v>
      </c>
      <c r="F24" s="553"/>
      <c r="G24" s="554" t="s">
        <v>3107</v>
      </c>
      <c r="H24" s="551"/>
      <c r="I24" s="552" t="s">
        <v>3107</v>
      </c>
      <c r="J24" s="551"/>
      <c r="K24" s="894"/>
      <c r="L24" s="2136"/>
      <c r="M24" s="2128"/>
      <c r="N24" s="2128"/>
      <c r="O24" s="2135"/>
      <c r="P24" s="3407"/>
      <c r="Q24" s="1567"/>
      <c r="R24" s="1568"/>
      <c r="S24" s="1569"/>
      <c r="T24" s="1568"/>
      <c r="U24" s="1569"/>
      <c r="V24" s="1568"/>
      <c r="W24" s="1569"/>
      <c r="X24" s="1562"/>
      <c r="Y24" s="3407"/>
      <c r="Z24" s="1570"/>
      <c r="AA24" s="1571">
        <v>1</v>
      </c>
      <c r="AB24" s="1571">
        <v>1</v>
      </c>
      <c r="AC24" s="1571">
        <v>1</v>
      </c>
    </row>
    <row r="25" spans="1:29" ht="15" hidden="1">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6"/>
      <c r="M25" s="2128"/>
      <c r="N25" s="2128"/>
      <c r="O25" s="2135"/>
      <c r="P25" s="3407"/>
      <c r="Q25" s="1567" t="str">
        <f t="shared" ref="Q25:Q46" si="11">B25</f>
        <v>临街状况</v>
      </c>
      <c r="R25" s="1568" t="s">
        <v>8</v>
      </c>
      <c r="S25" s="1569">
        <f>F25</f>
        <v>100</v>
      </c>
      <c r="T25" s="1568" t="s">
        <v>8</v>
      </c>
      <c r="U25" s="1569">
        <f>H25</f>
        <v>100</v>
      </c>
      <c r="V25" s="1568" t="s">
        <v>8</v>
      </c>
      <c r="W25" s="1569">
        <f>J25</f>
        <v>100</v>
      </c>
      <c r="X25" s="1562"/>
      <c r="Y25" s="3407"/>
      <c r="Z25" s="1570" t="str">
        <f>Q25</f>
        <v>临街状况</v>
      </c>
      <c r="AA25" s="1571">
        <f t="shared" si="3"/>
        <v>1</v>
      </c>
      <c r="AB25" s="1571">
        <f t="shared" si="4"/>
        <v>1</v>
      </c>
      <c r="AC25" s="1571">
        <f t="shared" si="5"/>
        <v>1</v>
      </c>
    </row>
    <row r="26" spans="1:29" ht="15">
      <c r="A26" s="528"/>
      <c r="B26" s="873" t="s">
        <v>757</v>
      </c>
      <c r="C26" s="3209" t="s">
        <v>3169</v>
      </c>
      <c r="D26" s="536">
        <v>100</v>
      </c>
      <c r="E26" s="3209" t="s">
        <v>3169</v>
      </c>
      <c r="F26" s="571">
        <f>SUMIF(88:88,E26,89:89)-SUMIF(88:88,C26,89:89)+100</f>
        <v>100</v>
      </c>
      <c r="G26" s="3209" t="s">
        <v>3169</v>
      </c>
      <c r="H26" s="536">
        <f>SUMIF(88:88,G26,89:89)-SUMIF(88:88,C26,89:89)+100</f>
        <v>100</v>
      </c>
      <c r="I26" s="3209" t="s">
        <v>3169</v>
      </c>
      <c r="J26" s="536">
        <f>SUMIF(88:88,I26,89:89)-SUMIF(88:88,C26,89:89)+100</f>
        <v>100</v>
      </c>
      <c r="K26" s="577"/>
      <c r="L26" s="2136"/>
      <c r="M26" s="2128"/>
      <c r="N26" s="2128"/>
      <c r="O26" s="2135"/>
      <c r="P26" s="3407"/>
      <c r="Q26" s="1567" t="str">
        <f t="shared" si="11"/>
        <v>平面位置/可视性</v>
      </c>
      <c r="R26" s="1568" t="s">
        <v>8</v>
      </c>
      <c r="S26" s="1569">
        <f>F26</f>
        <v>100</v>
      </c>
      <c r="T26" s="1568" t="s">
        <v>8</v>
      </c>
      <c r="U26" s="1569">
        <f>H26</f>
        <v>100</v>
      </c>
      <c r="V26" s="1568" t="s">
        <v>8</v>
      </c>
      <c r="W26" s="1569">
        <f>J26</f>
        <v>100</v>
      </c>
      <c r="X26" s="1562"/>
      <c r="Y26" s="3407"/>
      <c r="Z26" s="1570" t="str">
        <f>Q26</f>
        <v>平面位置/可视性</v>
      </c>
      <c r="AA26" s="1571">
        <f t="shared" si="3"/>
        <v>1</v>
      </c>
      <c r="AB26" s="1571">
        <f t="shared" si="4"/>
        <v>1</v>
      </c>
      <c r="AC26" s="1571">
        <f t="shared" si="5"/>
        <v>1</v>
      </c>
    </row>
    <row r="27" spans="1:29" s="1215" customFormat="1" ht="15">
      <c r="A27" s="532"/>
      <c r="B27" s="867" t="s">
        <v>758</v>
      </c>
      <c r="C27" s="896" t="s">
        <v>3176</v>
      </c>
      <c r="D27" s="871">
        <v>100</v>
      </c>
      <c r="E27" s="896" t="s">
        <v>3176</v>
      </c>
      <c r="F27" s="872">
        <f>SUMIF(90:90,E27,91:91)-SUMIF(90:90,C27,91:91)+100</f>
        <v>100</v>
      </c>
      <c r="G27" s="896" t="s">
        <v>3174</v>
      </c>
      <c r="H27" s="871">
        <f>SUMIF(90:90,G27,91:91)-SUMIF(90:90,C27,91:91)+100</f>
        <v>105</v>
      </c>
      <c r="I27" s="896" t="s">
        <v>3176</v>
      </c>
      <c r="J27" s="871">
        <f>SUMIF(90:90,I27,91:91)-SUMIF(90:90,C27,91:91)+100</f>
        <v>100</v>
      </c>
      <c r="K27" s="580">
        <v>5</v>
      </c>
      <c r="L27" s="2129"/>
      <c r="M27" s="2130"/>
      <c r="N27" s="2130"/>
      <c r="O27" s="2131"/>
      <c r="P27" s="3407"/>
      <c r="Q27" s="1146" t="str">
        <f t="shared" si="11"/>
        <v>人流量</v>
      </c>
      <c r="R27" s="1563" t="s">
        <v>8</v>
      </c>
      <c r="S27" s="1564">
        <f>F27</f>
        <v>100</v>
      </c>
      <c r="T27" s="1563" t="s">
        <v>8</v>
      </c>
      <c r="U27" s="1564">
        <f>H27</f>
        <v>105</v>
      </c>
      <c r="V27" s="1563" t="s">
        <v>8</v>
      </c>
      <c r="W27" s="1564">
        <f>J27</f>
        <v>100</v>
      </c>
      <c r="X27" s="1565"/>
      <c r="Y27" s="3407"/>
      <c r="Z27" s="1145" t="str">
        <f>Q27</f>
        <v>人流量</v>
      </c>
      <c r="AA27" s="1571">
        <f>D27/F27</f>
        <v>1</v>
      </c>
      <c r="AB27" s="1571">
        <f>D27/H27</f>
        <v>0.95238095238095233</v>
      </c>
      <c r="AC27" s="1571">
        <f>D27/J27</f>
        <v>1</v>
      </c>
    </row>
    <row r="28" spans="1:29" ht="15.75" thickBot="1">
      <c r="A28" s="528"/>
      <c r="B28" s="523" t="s">
        <v>760</v>
      </c>
      <c r="C28" s="579" t="s">
        <v>3205</v>
      </c>
      <c r="D28" s="536">
        <v>100</v>
      </c>
      <c r="E28" s="579" t="s">
        <v>3205</v>
      </c>
      <c r="F28" s="571">
        <f>SUMIF(92:92,E28,93:93)-SUMIF(92:92,C28,93:93)+100</f>
        <v>100</v>
      </c>
      <c r="G28" s="579" t="s">
        <v>3205</v>
      </c>
      <c r="H28" s="536">
        <f>SUMIF(92:92,G28,93:93)-SUMIF(92:92,C28,93:93)+100</f>
        <v>100</v>
      </c>
      <c r="I28" s="579" t="s">
        <v>3205</v>
      </c>
      <c r="J28" s="536">
        <f>SUMIF(92:92,I28,93:93)-SUMIF(92:92,C28,93:93)+100</f>
        <v>100</v>
      </c>
      <c r="K28" s="577"/>
      <c r="L28" s="2136"/>
      <c r="M28" s="2128"/>
      <c r="N28" s="2128"/>
      <c r="O28" s="2135"/>
      <c r="P28" s="3407"/>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07"/>
      <c r="Z28" s="1570" t="str">
        <f t="shared" ref="Z28:Z46" si="15">Q28</f>
        <v>楼层</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577"/>
      <c r="L29" s="2136"/>
      <c r="M29" s="2128"/>
      <c r="N29" s="2128"/>
      <c r="O29" s="2135"/>
      <c r="P29" s="3407"/>
      <c r="Q29" s="1567">
        <f t="shared" si="11"/>
        <v>0</v>
      </c>
      <c r="R29" s="1568" t="s">
        <v>8</v>
      </c>
      <c r="S29" s="1569">
        <f t="shared" si="12"/>
        <v>100</v>
      </c>
      <c r="T29" s="1568" t="s">
        <v>8</v>
      </c>
      <c r="U29" s="1569">
        <f t="shared" si="13"/>
        <v>100</v>
      </c>
      <c r="V29" s="1568" t="s">
        <v>8</v>
      </c>
      <c r="W29" s="1569">
        <f t="shared" si="14"/>
        <v>100</v>
      </c>
      <c r="X29" s="1562"/>
      <c r="Y29" s="3407"/>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577"/>
      <c r="L30" s="2136"/>
      <c r="M30" s="2128"/>
      <c r="N30" s="2128"/>
      <c r="O30" s="2135"/>
      <c r="P30" s="3407"/>
      <c r="Q30" s="1567">
        <f t="shared" si="11"/>
        <v>0</v>
      </c>
      <c r="R30" s="1568" t="s">
        <v>8</v>
      </c>
      <c r="S30" s="1569">
        <f t="shared" si="12"/>
        <v>100</v>
      </c>
      <c r="T30" s="1568" t="s">
        <v>8</v>
      </c>
      <c r="U30" s="1569">
        <f t="shared" si="13"/>
        <v>100</v>
      </c>
      <c r="V30" s="1568" t="s">
        <v>8</v>
      </c>
      <c r="W30" s="1569">
        <f t="shared" si="14"/>
        <v>100</v>
      </c>
      <c r="X30" s="1562"/>
      <c r="Y30" s="3407"/>
      <c r="Z30" s="1570">
        <f t="shared" si="15"/>
        <v>0</v>
      </c>
      <c r="AA30" s="1571">
        <f t="shared" si="3"/>
        <v>1</v>
      </c>
      <c r="AB30" s="1571">
        <f t="shared" si="4"/>
        <v>1</v>
      </c>
      <c r="AC30" s="1571">
        <f t="shared" si="5"/>
        <v>1</v>
      </c>
    </row>
    <row r="31" spans="1:29" ht="15.75" hidden="1" thickBot="1">
      <c r="A31" s="539"/>
      <c r="B31" s="873"/>
      <c r="C31" s="541"/>
      <c r="D31" s="542">
        <v>100</v>
      </c>
      <c r="E31" s="535"/>
      <c r="F31" s="862">
        <f>SUMIF(98:98,E31,99:99)-SUMIF(98:98,C31,99:99)+100</f>
        <v>100</v>
      </c>
      <c r="G31" s="535"/>
      <c r="H31" s="542">
        <f>SUMIF(98:98,G31,99:99)-SUMIF(98:98,C31,99:99)+100</f>
        <v>100</v>
      </c>
      <c r="I31" s="535"/>
      <c r="J31" s="542">
        <f>SUMIF(98:98,I31,99:99)-SUMIF(98:98,C31,99:99)+100</f>
        <v>100</v>
      </c>
      <c r="K31" s="577"/>
      <c r="L31" s="2136"/>
      <c r="M31" s="2128"/>
      <c r="N31" s="2128"/>
      <c r="O31" s="2135"/>
      <c r="P31" s="3407"/>
      <c r="Q31" s="1567">
        <f t="shared" si="11"/>
        <v>0</v>
      </c>
      <c r="R31" s="1568" t="s">
        <v>8</v>
      </c>
      <c r="S31" s="1569">
        <f t="shared" si="12"/>
        <v>100</v>
      </c>
      <c r="T31" s="1568" t="s">
        <v>8</v>
      </c>
      <c r="U31" s="1569">
        <f t="shared" si="13"/>
        <v>100</v>
      </c>
      <c r="V31" s="1568" t="s">
        <v>8</v>
      </c>
      <c r="W31" s="1569">
        <f t="shared" si="14"/>
        <v>100</v>
      </c>
      <c r="X31" s="1562"/>
      <c r="Y31" s="3407"/>
      <c r="Z31" s="1570">
        <f t="shared" si="15"/>
        <v>0</v>
      </c>
      <c r="AA31" s="1571">
        <f t="shared" si="3"/>
        <v>1</v>
      </c>
      <c r="AB31" s="1571">
        <f t="shared" si="4"/>
        <v>1</v>
      </c>
      <c r="AC31" s="1571">
        <f t="shared" si="5"/>
        <v>1</v>
      </c>
    </row>
    <row r="32" spans="1:29" ht="15">
      <c r="A32" s="2925" t="s">
        <v>2753</v>
      </c>
      <c r="B32" s="172" t="s">
        <v>761</v>
      </c>
      <c r="C32" s="874" t="s">
        <v>3188</v>
      </c>
      <c r="D32" s="593">
        <v>100</v>
      </c>
      <c r="E32" s="874" t="s">
        <v>3188</v>
      </c>
      <c r="F32" s="571">
        <f>SUMIF(100:100,E32,101:101)-SUMIF(100:100,C32,101:101)+100</f>
        <v>100</v>
      </c>
      <c r="G32" s="874" t="s">
        <v>3188</v>
      </c>
      <c r="H32" s="536">
        <f>SUMIF(100:100,G32,101:101)-SUMIF(100:100,C32,101:101)+100</f>
        <v>100</v>
      </c>
      <c r="I32" s="874" t="s">
        <v>3188</v>
      </c>
      <c r="J32" s="593">
        <f>SUMIF(100:100,I32,101:101)-SUMIF(100:100,C32,101:101)+100</f>
        <v>100</v>
      </c>
      <c r="K32" s="580">
        <v>2</v>
      </c>
      <c r="L32" s="2136"/>
      <c r="M32" s="2128"/>
      <c r="N32" s="2128"/>
      <c r="O32" s="2135"/>
      <c r="P32" s="3408" t="s">
        <v>549</v>
      </c>
      <c r="Q32" s="1567" t="str">
        <f t="shared" si="11"/>
        <v>商业类型</v>
      </c>
      <c r="R32" s="1568" t="s">
        <v>8</v>
      </c>
      <c r="S32" s="1569">
        <f t="shared" si="12"/>
        <v>100</v>
      </c>
      <c r="T32" s="1568" t="s">
        <v>8</v>
      </c>
      <c r="U32" s="1569">
        <f t="shared" si="13"/>
        <v>100</v>
      </c>
      <c r="V32" s="1568" t="s">
        <v>8</v>
      </c>
      <c r="W32" s="1569">
        <f t="shared" si="14"/>
        <v>100</v>
      </c>
      <c r="X32" s="1562"/>
      <c r="Y32" s="3409" t="s">
        <v>549</v>
      </c>
      <c r="Z32" s="1570" t="str">
        <f t="shared" si="15"/>
        <v>商业类型</v>
      </c>
      <c r="AA32" s="1571">
        <f t="shared" si="3"/>
        <v>1</v>
      </c>
      <c r="AB32" s="1571">
        <f t="shared" si="4"/>
        <v>1</v>
      </c>
      <c r="AC32" s="1571">
        <f t="shared" si="5"/>
        <v>1</v>
      </c>
    </row>
    <row r="33" spans="1:29" s="1334" customFormat="1" ht="15" hidden="1">
      <c r="A33" s="599"/>
      <c r="B33" s="523" t="s">
        <v>725</v>
      </c>
      <c r="C33" s="875">
        <v>100</v>
      </c>
      <c r="D33" s="253">
        <v>100</v>
      </c>
      <c r="E33" s="530">
        <v>100</v>
      </c>
      <c r="F33" s="859">
        <f>LOOKUP(E33,103:103,104:104)-LOOKUP(C33,103:103,104:104)+100</f>
        <v>100</v>
      </c>
      <c r="G33" s="529">
        <v>100</v>
      </c>
      <c r="H33" s="253">
        <f>LOOKUP(G33,103:103,104:104)-LOOKUP(C33,103:103,104:104)+100</f>
        <v>100</v>
      </c>
      <c r="I33" s="529">
        <v>100</v>
      </c>
      <c r="J33" s="253">
        <f>LOOKUP(I33,103:103,104:104)-LOOKUP(C33,103:103,104:104)+100</f>
        <v>100</v>
      </c>
      <c r="K33" s="577"/>
      <c r="L33" s="2134"/>
      <c r="M33" s="2165"/>
      <c r="N33" s="2165"/>
      <c r="O33" s="2137"/>
      <c r="P33" s="3409"/>
      <c r="Q33" s="1600" t="str">
        <f t="shared" si="11"/>
        <v>项目建筑规模</v>
      </c>
      <c r="R33" s="1572" t="s">
        <v>8</v>
      </c>
      <c r="S33" s="1573">
        <f t="shared" si="12"/>
        <v>100</v>
      </c>
      <c r="T33" s="1572" t="s">
        <v>8</v>
      </c>
      <c r="U33" s="1573">
        <f t="shared" si="13"/>
        <v>100</v>
      </c>
      <c r="V33" s="1572" t="s">
        <v>8</v>
      </c>
      <c r="W33" s="1573">
        <f t="shared" si="14"/>
        <v>100</v>
      </c>
      <c r="X33" s="1574"/>
      <c r="Y33" s="3409"/>
      <c r="Z33" s="1575" t="str">
        <f t="shared" si="15"/>
        <v>项目建筑规模</v>
      </c>
      <c r="AA33" s="1571">
        <f t="shared" si="3"/>
        <v>1</v>
      </c>
      <c r="AB33" s="1571">
        <f t="shared" si="4"/>
        <v>1</v>
      </c>
      <c r="AC33" s="1571">
        <f t="shared" si="5"/>
        <v>1</v>
      </c>
    </row>
    <row r="34" spans="1:29" ht="15">
      <c r="A34" s="590"/>
      <c r="B34" s="523" t="s">
        <v>726</v>
      </c>
      <c r="C34" s="876" t="s">
        <v>3024</v>
      </c>
      <c r="D34" s="536">
        <v>100</v>
      </c>
      <c r="E34" s="877" t="s">
        <v>3024</v>
      </c>
      <c r="F34" s="571">
        <f>SUMIF(105:105,E34,106:106)-SUMIF(105:105,C34,106:106)+100</f>
        <v>100</v>
      </c>
      <c r="G34" s="876" t="s">
        <v>3024</v>
      </c>
      <c r="H34" s="536">
        <f>SUMIF(105:105,G34,106:106)-SUMIF(105:105,C34,106:106)+100</f>
        <v>100</v>
      </c>
      <c r="I34" s="876" t="s">
        <v>3024</v>
      </c>
      <c r="J34" s="536">
        <f>SUMIF(105:105,I34,106:106)-SUMIF(105:105,C34,106:106)+100</f>
        <v>100</v>
      </c>
      <c r="K34" s="580">
        <v>2</v>
      </c>
      <c r="L34" s="2136"/>
      <c r="M34" s="2128"/>
      <c r="N34" s="2128"/>
      <c r="O34" s="2135"/>
      <c r="P34" s="3409"/>
      <c r="Q34" s="1567" t="str">
        <f t="shared" si="11"/>
        <v>建筑结构</v>
      </c>
      <c r="R34" s="1568" t="s">
        <v>8</v>
      </c>
      <c r="S34" s="1569">
        <f t="shared" si="12"/>
        <v>100</v>
      </c>
      <c r="T34" s="1568" t="s">
        <v>8</v>
      </c>
      <c r="U34" s="1569">
        <f t="shared" si="13"/>
        <v>100</v>
      </c>
      <c r="V34" s="1568" t="s">
        <v>8</v>
      </c>
      <c r="W34" s="1569">
        <f t="shared" si="14"/>
        <v>100</v>
      </c>
      <c r="X34" s="1562"/>
      <c r="Y34" s="3409"/>
      <c r="Z34" s="1570" t="str">
        <f t="shared" si="15"/>
        <v>建筑结构</v>
      </c>
      <c r="AA34" s="1571">
        <f t="shared" si="3"/>
        <v>1</v>
      </c>
      <c r="AB34" s="1571">
        <f t="shared" si="4"/>
        <v>1</v>
      </c>
      <c r="AC34" s="1571">
        <f t="shared" si="5"/>
        <v>1</v>
      </c>
    </row>
    <row r="35" spans="1:29" ht="15">
      <c r="A35" s="590"/>
      <c r="B35" s="523" t="s">
        <v>762</v>
      </c>
      <c r="C35" s="595" t="s">
        <v>3141</v>
      </c>
      <c r="D35" s="536">
        <v>100</v>
      </c>
      <c r="E35" s="595" t="s">
        <v>3141</v>
      </c>
      <c r="F35" s="571">
        <f>SUMIF(107:107,E35,108:108)-SUMIF(107:107,C35,108:108)+100</f>
        <v>100</v>
      </c>
      <c r="G35" s="595" t="s">
        <v>3141</v>
      </c>
      <c r="H35" s="536">
        <f>SUMIF(107:107,G35,108:108)-SUMIF(107:107,C35,108:108)+100</f>
        <v>100</v>
      </c>
      <c r="I35" s="595" t="s">
        <v>3141</v>
      </c>
      <c r="J35" s="536">
        <f>SUMIF(107:107,I35,108:108)-SUMIF(107:107,C35,108:108)+100</f>
        <v>100</v>
      </c>
      <c r="K35" s="580">
        <v>5</v>
      </c>
      <c r="L35" s="2136"/>
      <c r="M35" s="2128"/>
      <c r="N35" s="2128"/>
      <c r="O35" s="2135"/>
      <c r="P35" s="3409"/>
      <c r="Q35" s="1567" t="str">
        <f t="shared" si="11"/>
        <v>公共部分装修</v>
      </c>
      <c r="R35" s="1568" t="s">
        <v>8</v>
      </c>
      <c r="S35" s="1569">
        <f t="shared" si="12"/>
        <v>100</v>
      </c>
      <c r="T35" s="1568" t="s">
        <v>8</v>
      </c>
      <c r="U35" s="1569">
        <f t="shared" si="13"/>
        <v>100</v>
      </c>
      <c r="V35" s="1568" t="s">
        <v>8</v>
      </c>
      <c r="W35" s="1569">
        <f t="shared" si="14"/>
        <v>100</v>
      </c>
      <c r="X35" s="1562"/>
      <c r="Y35" s="3409"/>
      <c r="Z35" s="1570" t="str">
        <f t="shared" si="15"/>
        <v>公共部分装修</v>
      </c>
      <c r="AA35" s="1571">
        <f t="shared" si="3"/>
        <v>1</v>
      </c>
      <c r="AB35" s="1571">
        <f t="shared" si="4"/>
        <v>1</v>
      </c>
      <c r="AC35" s="1571">
        <f t="shared" si="5"/>
        <v>1</v>
      </c>
    </row>
    <row r="36" spans="1:29" ht="15">
      <c r="A36" s="590"/>
      <c r="B36" s="523" t="s">
        <v>763</v>
      </c>
      <c r="C36" s="878">
        <v>1</v>
      </c>
      <c r="D36" s="536">
        <v>100</v>
      </c>
      <c r="E36" s="878">
        <v>1</v>
      </c>
      <c r="F36" s="571">
        <f>LOOKUP(E36,110:110,111:111)-LOOKUP(C36,110:110,111:111)+100</f>
        <v>100</v>
      </c>
      <c r="G36" s="878">
        <v>1</v>
      </c>
      <c r="H36" s="571">
        <f>LOOKUP(G36,110:110,111:111)-LOOKUP(C36,110:110,111:111)+100</f>
        <v>100</v>
      </c>
      <c r="I36" s="878">
        <v>1</v>
      </c>
      <c r="J36" s="536">
        <f>LOOKUP(I36,110:110,111:111)-LOOKUP(C36,110:110,111:111)+100</f>
        <v>100</v>
      </c>
      <c r="K36" s="580">
        <v>2</v>
      </c>
      <c r="L36" s="2136"/>
      <c r="M36" s="2128"/>
      <c r="N36" s="2128"/>
      <c r="O36" s="2135"/>
      <c r="P36" s="3409"/>
      <c r="Q36" s="1567" t="str">
        <f t="shared" si="11"/>
        <v>成新度</v>
      </c>
      <c r="R36" s="1568" t="s">
        <v>8</v>
      </c>
      <c r="S36" s="1569">
        <f t="shared" si="12"/>
        <v>100</v>
      </c>
      <c r="T36" s="1568" t="s">
        <v>8</v>
      </c>
      <c r="U36" s="1569">
        <f t="shared" si="13"/>
        <v>100</v>
      </c>
      <c r="V36" s="1568" t="s">
        <v>8</v>
      </c>
      <c r="W36" s="1569">
        <f t="shared" si="14"/>
        <v>100</v>
      </c>
      <c r="X36" s="1562"/>
      <c r="Y36" s="3409"/>
      <c r="Z36" s="1570" t="str">
        <f t="shared" si="15"/>
        <v>成新度</v>
      </c>
      <c r="AA36" s="1571">
        <f t="shared" si="3"/>
        <v>1</v>
      </c>
      <c r="AB36" s="1571">
        <f t="shared" si="4"/>
        <v>1</v>
      </c>
      <c r="AC36" s="1571">
        <f t="shared" si="5"/>
        <v>1</v>
      </c>
    </row>
    <row r="37" spans="1:29" s="1215" customFormat="1" ht="15" hidden="1">
      <c r="A37" s="596"/>
      <c r="B37" s="1889" t="s">
        <v>2563</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29"/>
      <c r="M37" s="2130"/>
      <c r="N37" s="2130"/>
      <c r="O37" s="2131"/>
      <c r="P37" s="3409"/>
      <c r="Q37" s="1146" t="str">
        <f t="shared" si="11"/>
        <v>市政基础设施</v>
      </c>
      <c r="R37" s="1563" t="s">
        <v>8</v>
      </c>
      <c r="S37" s="1564">
        <f t="shared" si="12"/>
        <v>100</v>
      </c>
      <c r="T37" s="1563" t="s">
        <v>8</v>
      </c>
      <c r="U37" s="1564">
        <f t="shared" si="13"/>
        <v>100</v>
      </c>
      <c r="V37" s="1563" t="s">
        <v>8</v>
      </c>
      <c r="W37" s="1564">
        <f t="shared" si="14"/>
        <v>100</v>
      </c>
      <c r="X37" s="1565"/>
      <c r="Y37" s="3409"/>
      <c r="Z37" s="1145" t="str">
        <f t="shared" si="15"/>
        <v>市政基础设施</v>
      </c>
      <c r="AA37" s="1566">
        <f t="shared" si="3"/>
        <v>1</v>
      </c>
      <c r="AB37" s="1566">
        <f t="shared" si="4"/>
        <v>1</v>
      </c>
      <c r="AC37" s="1566">
        <f t="shared" si="5"/>
        <v>1</v>
      </c>
    </row>
    <row r="38" spans="1:29" ht="15" hidden="1">
      <c r="A38" s="590"/>
      <c r="B38" s="523"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6"/>
      <c r="M38" s="2128"/>
      <c r="N38" s="2128"/>
      <c r="O38" s="2135"/>
      <c r="P38" s="3409" t="s">
        <v>765</v>
      </c>
      <c r="Q38" s="1567" t="str">
        <f t="shared" si="11"/>
        <v>业态</v>
      </c>
      <c r="R38" s="1568" t="s">
        <v>8</v>
      </c>
      <c r="S38" s="1569">
        <f t="shared" si="12"/>
        <v>100</v>
      </c>
      <c r="T38" s="1568" t="s">
        <v>8</v>
      </c>
      <c r="U38" s="1569">
        <f t="shared" si="13"/>
        <v>100</v>
      </c>
      <c r="V38" s="1568" t="s">
        <v>8</v>
      </c>
      <c r="W38" s="1569">
        <f t="shared" si="14"/>
        <v>100</v>
      </c>
      <c r="X38" s="1562"/>
      <c r="Y38" s="3409" t="s">
        <v>765</v>
      </c>
      <c r="Z38" s="1570" t="str">
        <f t="shared" si="15"/>
        <v>业态</v>
      </c>
      <c r="AA38" s="1571">
        <f t="shared" si="3"/>
        <v>1</v>
      </c>
      <c r="AB38" s="1571">
        <f t="shared" si="4"/>
        <v>1</v>
      </c>
      <c r="AC38" s="1571">
        <f t="shared" si="5"/>
        <v>1</v>
      </c>
    </row>
    <row r="39" spans="1:29" ht="15">
      <c r="A39" s="590"/>
      <c r="B39" s="523" t="s">
        <v>766</v>
      </c>
      <c r="C39" s="595" t="s">
        <v>3201</v>
      </c>
      <c r="D39" s="536">
        <v>100</v>
      </c>
      <c r="E39" s="595" t="s">
        <v>3201</v>
      </c>
      <c r="F39" s="571">
        <f>SUMIF(116:116,E39,117:117)-SUMIF(116:116,C39,117:117)+100</f>
        <v>100</v>
      </c>
      <c r="G39" s="595" t="s">
        <v>3201</v>
      </c>
      <c r="H39" s="536">
        <f>SUMIF(116:116,G39,117:117)-SUMIF(116:116,C39,117:117)+100</f>
        <v>100</v>
      </c>
      <c r="I39" s="595" t="s">
        <v>3201</v>
      </c>
      <c r="J39" s="536">
        <f>SUMIF(116:116,I39,117:117)-SUMIF(116:116,C39,117:117)+100</f>
        <v>100</v>
      </c>
      <c r="K39" s="580">
        <v>10</v>
      </c>
      <c r="L39" s="2136"/>
      <c r="M39" s="2128"/>
      <c r="N39" s="2128"/>
      <c r="O39" s="2135"/>
      <c r="P39" s="3409"/>
      <c r="Q39" s="1567" t="str">
        <f t="shared" si="11"/>
        <v>层高</v>
      </c>
      <c r="R39" s="1568" t="s">
        <v>8</v>
      </c>
      <c r="S39" s="1569">
        <f t="shared" si="12"/>
        <v>100</v>
      </c>
      <c r="T39" s="1568" t="s">
        <v>8</v>
      </c>
      <c r="U39" s="1569">
        <f t="shared" si="13"/>
        <v>100</v>
      </c>
      <c r="V39" s="1568" t="s">
        <v>8</v>
      </c>
      <c r="W39" s="1569">
        <f t="shared" si="14"/>
        <v>100</v>
      </c>
      <c r="X39" s="1562"/>
      <c r="Y39" s="3409"/>
      <c r="Z39" s="1570" t="str">
        <f t="shared" si="15"/>
        <v>层高</v>
      </c>
      <c r="AA39" s="1571">
        <f t="shared" si="3"/>
        <v>1</v>
      </c>
      <c r="AB39" s="1571">
        <f t="shared" si="4"/>
        <v>1</v>
      </c>
      <c r="AC39" s="1571">
        <f t="shared" si="5"/>
        <v>1</v>
      </c>
    </row>
    <row r="40" spans="1:29" ht="15" hidden="1">
      <c r="A40" s="590"/>
      <c r="B40" s="523" t="s">
        <v>767</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6"/>
      <c r="M40" s="2128"/>
      <c r="N40" s="2128"/>
      <c r="O40" s="2135"/>
      <c r="P40" s="3409"/>
      <c r="Q40" s="1567" t="str">
        <f t="shared" si="11"/>
        <v>单套建筑面积</v>
      </c>
      <c r="R40" s="1568" t="s">
        <v>8</v>
      </c>
      <c r="S40" s="1569">
        <f t="shared" si="12"/>
        <v>100</v>
      </c>
      <c r="T40" s="1568" t="s">
        <v>8</v>
      </c>
      <c r="U40" s="1569">
        <f t="shared" si="13"/>
        <v>100</v>
      </c>
      <c r="V40" s="1568" t="s">
        <v>8</v>
      </c>
      <c r="W40" s="1569">
        <f t="shared" si="14"/>
        <v>100</v>
      </c>
      <c r="X40" s="1562"/>
      <c r="Y40" s="3409"/>
      <c r="Z40" s="1570" t="str">
        <f t="shared" si="15"/>
        <v>单套建筑面积</v>
      </c>
      <c r="AA40" s="1571">
        <f t="shared" si="3"/>
        <v>1</v>
      </c>
      <c r="AB40" s="1571">
        <f t="shared" si="4"/>
        <v>1</v>
      </c>
      <c r="AC40" s="1571">
        <f t="shared" si="5"/>
        <v>1</v>
      </c>
    </row>
    <row r="41" spans="1:29" s="1334" customFormat="1" ht="15" hidden="1">
      <c r="A41" s="599"/>
      <c r="B41" s="899"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4"/>
      <c r="M41" s="2165"/>
      <c r="N41" s="2165"/>
      <c r="O41" s="2137"/>
      <c r="P41" s="3409"/>
      <c r="Q41" s="1600" t="str">
        <f t="shared" si="11"/>
        <v>进深比</v>
      </c>
      <c r="R41" s="1572" t="s">
        <v>8</v>
      </c>
      <c r="S41" s="1573">
        <f t="shared" si="12"/>
        <v>100</v>
      </c>
      <c r="T41" s="1572" t="s">
        <v>8</v>
      </c>
      <c r="U41" s="1573">
        <f t="shared" si="13"/>
        <v>100</v>
      </c>
      <c r="V41" s="1572" t="s">
        <v>8</v>
      </c>
      <c r="W41" s="1573">
        <f t="shared" si="14"/>
        <v>100</v>
      </c>
      <c r="X41" s="1574"/>
      <c r="Y41" s="3409"/>
      <c r="Z41" s="1575" t="str">
        <f t="shared" si="15"/>
        <v>进深比</v>
      </c>
      <c r="AA41" s="1571">
        <f t="shared" si="3"/>
        <v>1</v>
      </c>
      <c r="AB41" s="1571">
        <f t="shared" si="4"/>
        <v>1</v>
      </c>
      <c r="AC41" s="1571">
        <f t="shared" si="5"/>
        <v>1</v>
      </c>
    </row>
    <row r="42" spans="1:29" ht="15">
      <c r="A42" s="590"/>
      <c r="B42" s="523" t="s">
        <v>769</v>
      </c>
      <c r="C42" s="595" t="s">
        <v>3152</v>
      </c>
      <c r="D42" s="536">
        <v>100</v>
      </c>
      <c r="E42" s="595" t="s">
        <v>3152</v>
      </c>
      <c r="F42" s="571">
        <f>SUMIF(122:122,E42,123:123)-SUMIF(122:122,C42,123:123)+100</f>
        <v>100</v>
      </c>
      <c r="G42" s="595" t="s">
        <v>3152</v>
      </c>
      <c r="H42" s="536">
        <f>SUMIF(122:122,G42,123:123)-SUMIF(122:122,C42,123:123)+100</f>
        <v>100</v>
      </c>
      <c r="I42" s="595" t="s">
        <v>3152</v>
      </c>
      <c r="J42" s="536">
        <f>SUMIF(122:122,I42,123:123)-SUMIF(122:122,C42,123:123)+100</f>
        <v>100</v>
      </c>
      <c r="K42" s="580">
        <v>2</v>
      </c>
      <c r="L42" s="2136"/>
      <c r="M42" s="2128"/>
      <c r="N42" s="2128"/>
      <c r="O42" s="2135"/>
      <c r="P42" s="3409"/>
      <c r="Q42" s="1567" t="str">
        <f t="shared" si="11"/>
        <v>内部装修</v>
      </c>
      <c r="R42" s="1568" t="s">
        <v>8</v>
      </c>
      <c r="S42" s="1569">
        <f t="shared" si="12"/>
        <v>100</v>
      </c>
      <c r="T42" s="1568" t="s">
        <v>8</v>
      </c>
      <c r="U42" s="1569">
        <f t="shared" si="13"/>
        <v>100</v>
      </c>
      <c r="V42" s="1568" t="s">
        <v>8</v>
      </c>
      <c r="W42" s="1569">
        <f t="shared" si="14"/>
        <v>100</v>
      </c>
      <c r="X42" s="1562"/>
      <c r="Y42" s="3409"/>
      <c r="Z42" s="1570" t="str">
        <f t="shared" si="15"/>
        <v>内部装修</v>
      </c>
      <c r="AA42" s="1571">
        <f t="shared" si="3"/>
        <v>1</v>
      </c>
      <c r="AB42" s="1571">
        <f t="shared" si="4"/>
        <v>1</v>
      </c>
      <c r="AC42" s="1571">
        <f t="shared" si="5"/>
        <v>1</v>
      </c>
    </row>
    <row r="43" spans="1:29" ht="27.75" thickBot="1">
      <c r="A43" s="590"/>
      <c r="B43" s="523" t="s">
        <v>734</v>
      </c>
      <c r="C43" s="595" t="s">
        <v>3109</v>
      </c>
      <c r="D43" s="536">
        <v>100</v>
      </c>
      <c r="E43" s="595" t="s">
        <v>3109</v>
      </c>
      <c r="F43" s="571">
        <f>SUMIF(124:124,E43,125:125)-SUMIF(124:124,C43,125:125)+100</f>
        <v>100</v>
      </c>
      <c r="G43" s="595" t="s">
        <v>3109</v>
      </c>
      <c r="H43" s="536">
        <f>SUMIF(124:124,G43,125:125)-SUMIF(124:124,C43,125:125)+100</f>
        <v>100</v>
      </c>
      <c r="I43" s="595" t="s">
        <v>3109</v>
      </c>
      <c r="J43" s="536">
        <f>SUMIF(124:124,I43,125:125)-SUMIF(124:124,C43,125:125)+100</f>
        <v>100</v>
      </c>
      <c r="K43" s="580">
        <v>2</v>
      </c>
      <c r="L43" s="2136"/>
      <c r="M43" s="2128"/>
      <c r="N43" s="2128"/>
      <c r="O43" s="2135"/>
      <c r="P43" s="3409"/>
      <c r="Q43" s="1567" t="str">
        <f t="shared" si="11"/>
        <v>内部装修维护情况</v>
      </c>
      <c r="R43" s="1568" t="s">
        <v>8</v>
      </c>
      <c r="S43" s="1569">
        <f t="shared" si="12"/>
        <v>100</v>
      </c>
      <c r="T43" s="1568" t="s">
        <v>8</v>
      </c>
      <c r="U43" s="1569">
        <f t="shared" si="13"/>
        <v>100</v>
      </c>
      <c r="V43" s="1568" t="s">
        <v>8</v>
      </c>
      <c r="W43" s="1569">
        <f t="shared" si="14"/>
        <v>100</v>
      </c>
      <c r="X43" s="1562"/>
      <c r="Y43" s="3409"/>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535"/>
      <c r="F44" s="859">
        <f>SUMIF(126:126,E44,127:127)-SUMIF(126:126,C44,127:127)+100</f>
        <v>100</v>
      </c>
      <c r="G44" s="535"/>
      <c r="H44" s="253">
        <f>SUMIF(126:126,G44,127:127)-SUMIF(126:126,C44,127:127)+100</f>
        <v>100</v>
      </c>
      <c r="I44" s="535"/>
      <c r="J44" s="253">
        <f>SUMIF(126:126,I44,127:127)-SUMIF(126:126,C44,127:127)+100</f>
        <v>100</v>
      </c>
      <c r="K44" s="577"/>
      <c r="L44" s="2129"/>
      <c r="M44" s="2130"/>
      <c r="N44" s="2130"/>
      <c r="O44" s="2131"/>
      <c r="P44" s="3409"/>
      <c r="Q44" s="1146">
        <f t="shared" si="11"/>
        <v>0</v>
      </c>
      <c r="R44" s="1563" t="s">
        <v>8</v>
      </c>
      <c r="S44" s="1564">
        <f t="shared" si="12"/>
        <v>100</v>
      </c>
      <c r="T44" s="1563" t="s">
        <v>8</v>
      </c>
      <c r="U44" s="1564">
        <f t="shared" si="13"/>
        <v>100</v>
      </c>
      <c r="V44" s="1563" t="s">
        <v>8</v>
      </c>
      <c r="W44" s="1564">
        <f t="shared" si="14"/>
        <v>100</v>
      </c>
      <c r="X44" s="1565"/>
      <c r="Y44" s="3409"/>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6"/>
      <c r="M45" s="2128"/>
      <c r="N45" s="2128"/>
      <c r="O45" s="2135"/>
      <c r="P45" s="3409"/>
      <c r="Q45" s="1567">
        <f t="shared" si="11"/>
        <v>0</v>
      </c>
      <c r="R45" s="1568" t="s">
        <v>8</v>
      </c>
      <c r="S45" s="1569">
        <f t="shared" si="12"/>
        <v>100</v>
      </c>
      <c r="T45" s="1568" t="s">
        <v>8</v>
      </c>
      <c r="U45" s="1569">
        <f t="shared" si="13"/>
        <v>100</v>
      </c>
      <c r="V45" s="1568" t="s">
        <v>8</v>
      </c>
      <c r="W45" s="1569">
        <f t="shared" si="14"/>
        <v>100</v>
      </c>
      <c r="X45" s="1562"/>
      <c r="Y45" s="3409"/>
      <c r="Z45" s="1570">
        <f t="shared" si="15"/>
        <v>0</v>
      </c>
      <c r="AA45" s="1571">
        <f t="shared" si="3"/>
        <v>1</v>
      </c>
      <c r="AB45" s="1571">
        <f t="shared" si="4"/>
        <v>1</v>
      </c>
      <c r="AC45" s="1571">
        <f t="shared" si="5"/>
        <v>1</v>
      </c>
    </row>
    <row r="46" spans="1:29" ht="15.75" hidden="1" thickBot="1">
      <c r="A46" s="881"/>
      <c r="B46" s="540"/>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6"/>
      <c r="M46" s="2128"/>
      <c r="N46" s="2128"/>
      <c r="O46" s="2135"/>
      <c r="P46" s="3486"/>
      <c r="Q46" s="1567">
        <f t="shared" si="11"/>
        <v>0</v>
      </c>
      <c r="R46" s="1568" t="s">
        <v>8</v>
      </c>
      <c r="S46" s="1569">
        <f t="shared" si="12"/>
        <v>100</v>
      </c>
      <c r="T46" s="1568" t="s">
        <v>8</v>
      </c>
      <c r="U46" s="1569">
        <f t="shared" si="13"/>
        <v>100</v>
      </c>
      <c r="V46" s="1568" t="s">
        <v>8</v>
      </c>
      <c r="W46" s="1569">
        <f t="shared" si="14"/>
        <v>100</v>
      </c>
      <c r="X46" s="1562"/>
      <c r="Y46" s="3486"/>
      <c r="Z46" s="1570">
        <f t="shared" si="15"/>
        <v>0</v>
      </c>
      <c r="AA46" s="1571">
        <f t="shared" si="3"/>
        <v>1</v>
      </c>
      <c r="AB46" s="1571">
        <f t="shared" si="4"/>
        <v>1</v>
      </c>
      <c r="AC46" s="1571">
        <f t="shared" si="5"/>
        <v>1</v>
      </c>
    </row>
    <row r="47" spans="1:29" ht="15">
      <c r="A47" s="603" t="s">
        <v>735</v>
      </c>
      <c r="B47" s="882"/>
      <c r="C47" s="2645" t="s">
        <v>1</v>
      </c>
      <c r="D47" s="2646"/>
      <c r="E47" s="2647">
        <v>25000</v>
      </c>
      <c r="F47" s="2648"/>
      <c r="G47" s="2649">
        <v>23225</v>
      </c>
      <c r="H47" s="2650"/>
      <c r="I47" s="2647">
        <v>20000</v>
      </c>
      <c r="J47" s="2650"/>
      <c r="K47" s="1605"/>
      <c r="L47" s="2138"/>
      <c r="M47" s="2139"/>
      <c r="N47" s="2128"/>
      <c r="O47" s="2139"/>
      <c r="P47" s="3404" t="str">
        <f>A47</f>
        <v>成交单价（元/平方米）</v>
      </c>
      <c r="Q47" s="3404"/>
      <c r="R47" s="3485">
        <f>E47</f>
        <v>25000</v>
      </c>
      <c r="S47" s="3485"/>
      <c r="T47" s="3485">
        <f>G47</f>
        <v>23225</v>
      </c>
      <c r="U47" s="3485"/>
      <c r="V47" s="3485">
        <f>I47</f>
        <v>20000</v>
      </c>
      <c r="W47" s="3485"/>
      <c r="X47" s="1554"/>
      <c r="Y47" s="1576"/>
      <c r="Z47" s="1554"/>
      <c r="AA47" s="1554"/>
      <c r="AB47" s="1554"/>
      <c r="AC47" s="1554"/>
    </row>
    <row r="48" spans="1:29" ht="15.75" thickBot="1">
      <c r="A48" s="611" t="s">
        <v>2758</v>
      </c>
      <c r="B48" s="883"/>
      <c r="C48" s="2651">
        <f>R49</f>
        <v>22045</v>
      </c>
      <c r="D48" s="2652"/>
      <c r="E48" s="2653">
        <f>R48</f>
        <v>23691</v>
      </c>
      <c r="F48" s="2653"/>
      <c r="G48" s="2651">
        <f>T48</f>
        <v>22342</v>
      </c>
      <c r="H48" s="2652"/>
      <c r="I48" s="2653">
        <f>V48</f>
        <v>20102</v>
      </c>
      <c r="J48" s="2652"/>
      <c r="K48" s="1606"/>
      <c r="L48" s="2138"/>
      <c r="M48" s="2139"/>
      <c r="N48" s="2128"/>
      <c r="O48" s="2139"/>
      <c r="P48" s="3404" t="str">
        <f>A48</f>
        <v>比较价格（元/平方米）</v>
      </c>
      <c r="Q48" s="3404"/>
      <c r="R48" s="3485">
        <f>IF(F1="售价",ROUND(PRODUCT(R47,AA7:AA46),0),ROUND(PRODUCT(R47,AA7:AA46),1))</f>
        <v>23691</v>
      </c>
      <c r="S48" s="3485"/>
      <c r="T48" s="3485">
        <f>IF(F1="售价",ROUND(PRODUCT(T47,AB7:AB46),0),ROUND(PRODUCT(T47,AB7:AB46),1))</f>
        <v>22342</v>
      </c>
      <c r="U48" s="3485"/>
      <c r="V48" s="3485">
        <f>IF(F1="售价",ROUND(PRODUCT(V47,AC7:AC46),0),ROUND(PRODUCT(V47,AC7:AC46),1))</f>
        <v>20102</v>
      </c>
      <c r="W48" s="3485"/>
      <c r="X48" s="1554"/>
      <c r="Y48" s="1554"/>
      <c r="Z48" s="1554"/>
      <c r="AA48" s="1554"/>
      <c r="AB48" s="1554"/>
      <c r="AC48" s="1554"/>
    </row>
    <row r="49" spans="1:29" ht="15.75" thickBot="1">
      <c r="A49" s="617" t="s">
        <v>3209</v>
      </c>
      <c r="B49" s="618"/>
      <c r="C49" s="2654">
        <f>R49</f>
        <v>22045</v>
      </c>
      <c r="D49" s="2654"/>
      <c r="E49" s="2654"/>
      <c r="F49" s="2654"/>
      <c r="G49" s="2654"/>
      <c r="H49" s="2654"/>
      <c r="I49" s="2654"/>
      <c r="J49" s="2654"/>
      <c r="K49" s="1607"/>
      <c r="L49" s="2138"/>
      <c r="M49" s="2139"/>
      <c r="N49" s="2128"/>
      <c r="O49" s="2139"/>
      <c r="P49" s="3425" t="str">
        <f>A49</f>
        <v>比较价格（楼面单价，元/平方米）</v>
      </c>
      <c r="Q49" s="3426"/>
      <c r="R49" s="3484">
        <f>IF(F1="售价",ROUND(AVERAGE(R48:V48),0),ROUND(AVERAGE(R48:V48),1))</f>
        <v>22045</v>
      </c>
      <c r="S49" s="3484"/>
      <c r="T49" s="3484"/>
      <c r="U49" s="3484"/>
      <c r="V49" s="3484"/>
      <c r="W49" s="3484"/>
      <c r="X49" s="1554"/>
      <c r="Y49" s="1554"/>
      <c r="Z49" s="1554"/>
      <c r="AA49" s="1554"/>
      <c r="AB49" s="1554"/>
      <c r="AC49" s="1554"/>
    </row>
    <row r="50" spans="1:29">
      <c r="A50" s="2139"/>
      <c r="B50" s="2139"/>
      <c r="C50" s="2139"/>
      <c r="D50" s="2139"/>
      <c r="E50" s="2139"/>
      <c r="F50" s="2139"/>
      <c r="G50" s="3521" t="s">
        <v>3207</v>
      </c>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v>2.4</v>
      </c>
      <c r="R51" s="2139">
        <v>600</v>
      </c>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5.5253049681313504E-2</v>
      </c>
      <c r="F52" s="623" t="str">
        <f>IF(OR(E52&gt;=0.3,E52&lt;=-0.3),"超过30%","")</f>
        <v/>
      </c>
      <c r="G52" s="622">
        <f>IF(G47&lt;G48,G48/G47-1,G47/G48-1)</f>
        <v>3.9521976546414761E-2</v>
      </c>
      <c r="H52" s="623" t="str">
        <f>IF(OR(G52&gt;=0.3,G52&lt;=-0.3),"超过30%","")</f>
        <v/>
      </c>
      <c r="I52" s="622">
        <f>IF(I47&lt;I48,I48/I47-1,I47/I48-1)</f>
        <v>5.1000000000001044E-3</v>
      </c>
      <c r="J52" s="623" t="str">
        <f>IF(OR(I52&gt;=0.3,I52&lt;=-0.3),"超过30%","")</f>
        <v/>
      </c>
      <c r="K52" s="2143"/>
      <c r="L52" s="2144"/>
      <c r="M52" s="2139"/>
      <c r="N52" s="2139"/>
      <c r="O52" s="2139"/>
      <c r="P52" s="2139"/>
      <c r="Q52" s="2139">
        <v>1.9</v>
      </c>
      <c r="R52" s="2139">
        <v>110</v>
      </c>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6.0379554202846686E-2</v>
      </c>
      <c r="F53" s="623" t="str">
        <f>IF(OR(E53&gt;=0.2,E53&lt;=-0.2),"超过20%","")</f>
        <v/>
      </c>
      <c r="G53" s="622">
        <f>IF(G48&lt;I48,I48/G48-1,G48/I48-1)</f>
        <v>0.11143169833847377</v>
      </c>
      <c r="H53" s="623" t="str">
        <f>IF(OR(G53&gt;=0.2,G53&lt;=-0.2),"超过20%","")</f>
        <v/>
      </c>
      <c r="I53" s="622">
        <f>IF(I48&lt;E48,E48/I48-1,I48/E48-1)</f>
        <v>0.17853944881106365</v>
      </c>
      <c r="J53" s="623" t="str">
        <f>IF(OR(I53&gt;=0.2,I53&lt;=-0.2),"超过20%","")</f>
        <v/>
      </c>
      <c r="K53" s="2143"/>
      <c r="L53" s="2144"/>
      <c r="M53" s="2139"/>
      <c r="N53" s="2139"/>
      <c r="O53" s="2139"/>
      <c r="P53" s="2139"/>
      <c r="Q53" s="2139">
        <f>Q51*R51+Q52*R52</f>
        <v>1649</v>
      </c>
      <c r="R53" s="2139">
        <f>R52+R51</f>
        <v>710</v>
      </c>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7.6426264800861121E-2</v>
      </c>
      <c r="F54" s="623" t="str">
        <f>IF(OR(E54&gt;=0.3,E54&lt;=-0.3),"超过30%","")</f>
        <v/>
      </c>
      <c r="G54" s="622">
        <f>IF(G47&lt;I47,I47/G47-1,G47/I47-1)</f>
        <v>0.16124999999999989</v>
      </c>
      <c r="H54" s="623" t="str">
        <f>IF(OR(G54&gt;=0.3,G54&lt;=-0.3),"超过30%","")</f>
        <v/>
      </c>
      <c r="I54" s="622">
        <f>IF(I47&lt;E47,E47/I47-1,I47/E47-1)</f>
        <v>0.25</v>
      </c>
      <c r="J54" s="623" t="str">
        <f>IF(OR(I54&gt;=0.3,I54&lt;=-0.3),"超过30%","")</f>
        <v/>
      </c>
      <c r="K54" s="2146"/>
      <c r="L54" s="2147"/>
      <c r="M54" s="2140"/>
      <c r="N54" s="2140"/>
      <c r="O54" s="2140"/>
      <c r="P54" s="2140"/>
      <c r="Q54" s="2140">
        <f>Q53/R53</f>
        <v>2.3225352112676054</v>
      </c>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0"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7">
        <v>97</v>
      </c>
      <c r="N59" s="646">
        <v>97</v>
      </c>
      <c r="O59" s="648">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0"/>
    </row>
    <row r="63" spans="1:29">
      <c r="A63" s="660" t="s">
        <v>576</v>
      </c>
      <c r="B63" s="661" t="s">
        <v>533</v>
      </c>
      <c r="C63" s="700" t="str">
        <f>C9</f>
        <v>商业</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98</v>
      </c>
      <c r="H66" s="675">
        <f>G66-$K10</f>
        <v>96</v>
      </c>
      <c r="I66" s="675">
        <f>H66-$K10</f>
        <v>94</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7">D68&amp;"（含）"&amp;"-"&amp;E68</f>
        <v>2（含）-3</v>
      </c>
      <c r="E67" s="678" t="str">
        <f t="shared" si="17"/>
        <v>3（含）-4</v>
      </c>
      <c r="F67" s="678" t="str">
        <f t="shared" si="17"/>
        <v>4（含）-5</v>
      </c>
      <c r="G67" s="678" t="str">
        <f t="shared" si="17"/>
        <v>5（含）-6</v>
      </c>
      <c r="H67" s="678" t="str">
        <f t="shared" si="17"/>
        <v>6（含）-</v>
      </c>
      <c r="I67" s="678" t="str">
        <f t="shared" si="17"/>
        <v>（含）-</v>
      </c>
      <c r="J67" s="678" t="str">
        <f t="shared" si="17"/>
        <v>（含）-</v>
      </c>
      <c r="K67" s="678" t="str">
        <f t="shared" si="17"/>
        <v>（含）-</v>
      </c>
      <c r="L67" s="678" t="str">
        <f t="shared" si="17"/>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v>6</v>
      </c>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99.5</v>
      </c>
      <c r="E69" s="675">
        <f t="shared" si="18"/>
        <v>99</v>
      </c>
      <c r="F69" s="675">
        <f t="shared" si="18"/>
        <v>98.5</v>
      </c>
      <c r="G69" s="675">
        <f t="shared" si="18"/>
        <v>98</v>
      </c>
      <c r="H69" s="675">
        <f t="shared" si="18"/>
        <v>97.5</v>
      </c>
      <c r="I69" s="675">
        <f t="shared" si="18"/>
        <v>97</v>
      </c>
      <c r="J69" s="675">
        <f t="shared" si="18"/>
        <v>96.5</v>
      </c>
      <c r="K69" s="675">
        <f t="shared" si="18"/>
        <v>96</v>
      </c>
      <c r="L69" s="675">
        <f t="shared" si="18"/>
        <v>95.5</v>
      </c>
      <c r="M69" s="676">
        <f t="shared" si="18"/>
        <v>95</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95</v>
      </c>
      <c r="E77" s="675">
        <f>D77-$K15</f>
        <v>90</v>
      </c>
      <c r="F77" s="675">
        <f>E77-$K15</f>
        <v>85</v>
      </c>
      <c r="G77" s="675">
        <f>F77-$K15</f>
        <v>80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97</v>
      </c>
      <c r="E79" s="675">
        <f>D79-$K17</f>
        <v>94</v>
      </c>
      <c r="F79" s="675">
        <f>E79-$K17</f>
        <v>91</v>
      </c>
      <c r="G79" s="675">
        <f>F79-$K17</f>
        <v>88</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98</v>
      </c>
      <c r="E81" s="675">
        <f>D81-$K19</f>
        <v>96</v>
      </c>
      <c r="F81" s="675">
        <f>E81-$K19</f>
        <v>94</v>
      </c>
      <c r="G81" s="675">
        <f>F81-$K19</f>
        <v>92</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95</v>
      </c>
      <c r="E85" s="675">
        <f>D85-$K23</f>
        <v>90</v>
      </c>
      <c r="F85" s="675">
        <f>E85-$K23</f>
        <v>85</v>
      </c>
      <c r="G85" s="675">
        <f>F85-$K23</f>
        <v>80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669" t="s">
        <v>770</v>
      </c>
      <c r="C86" s="3192" t="s">
        <v>3165</v>
      </c>
      <c r="D86" s="3192" t="s">
        <v>3166</v>
      </c>
      <c r="E86" s="3192" t="s">
        <v>3167</v>
      </c>
      <c r="F86" s="3192" t="s">
        <v>3168</v>
      </c>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tr">
        <f>B26</f>
        <v>平面位置/可视性</v>
      </c>
      <c r="C88" s="3192" t="s">
        <v>3169</v>
      </c>
      <c r="D88" s="3192" t="s">
        <v>3170</v>
      </c>
      <c r="E88" s="3192" t="s">
        <v>3171</v>
      </c>
      <c r="F88" s="3208" t="s">
        <v>3172</v>
      </c>
      <c r="G88" s="3192" t="s">
        <v>3173</v>
      </c>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688">
        <v>100</v>
      </c>
      <c r="D89" s="667">
        <v>95</v>
      </c>
      <c r="E89" s="667">
        <v>90</v>
      </c>
      <c r="F89" s="667">
        <v>85</v>
      </c>
      <c r="G89" s="667">
        <v>80</v>
      </c>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人流量</v>
      </c>
      <c r="C90" s="3192" t="s">
        <v>3175</v>
      </c>
      <c r="D90" s="3192" t="s">
        <v>3177</v>
      </c>
      <c r="E90" s="3192" t="s">
        <v>3171</v>
      </c>
      <c r="F90" s="3192" t="s">
        <v>3178</v>
      </c>
      <c r="G90" s="3192" t="s">
        <v>3179</v>
      </c>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708">
        <v>100</v>
      </c>
      <c r="D91" s="675">
        <f>C91-$K27</f>
        <v>95</v>
      </c>
      <c r="E91" s="675">
        <f t="shared" ref="E91:M91" si="20">D91-$K27</f>
        <v>90</v>
      </c>
      <c r="F91" s="675">
        <f t="shared" si="20"/>
        <v>85</v>
      </c>
      <c r="G91" s="675">
        <f t="shared" si="20"/>
        <v>80</v>
      </c>
      <c r="H91" s="675">
        <f t="shared" si="20"/>
        <v>75</v>
      </c>
      <c r="I91" s="675">
        <f t="shared" si="20"/>
        <v>70</v>
      </c>
      <c r="J91" s="675">
        <f t="shared" si="20"/>
        <v>65</v>
      </c>
      <c r="K91" s="675">
        <f t="shared" si="20"/>
        <v>60</v>
      </c>
      <c r="L91" s="675">
        <f t="shared" si="20"/>
        <v>55</v>
      </c>
      <c r="M91" s="675">
        <f t="shared" si="20"/>
        <v>50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t="s">
        <v>3180</v>
      </c>
      <c r="D92" s="684" t="s">
        <v>3181</v>
      </c>
      <c r="E92" s="684" t="s">
        <v>3182</v>
      </c>
      <c r="F92" s="684" t="s">
        <v>3183</v>
      </c>
      <c r="G92" s="684"/>
      <c r="H92" s="684"/>
      <c r="I92" s="684"/>
      <c r="J92" s="684"/>
      <c r="K92" s="684"/>
      <c r="L92" s="885"/>
      <c r="M92" s="886"/>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v>100</v>
      </c>
      <c r="D93" s="667">
        <v>90</v>
      </c>
      <c r="E93" s="667">
        <f>ROUND((C93+D93)/2,0)</f>
        <v>95</v>
      </c>
      <c r="F93" s="667">
        <v>60</v>
      </c>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0</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8"/>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550</v>
      </c>
      <c r="B100" s="661" t="s">
        <v>771</v>
      </c>
      <c r="C100" s="3189" t="s">
        <v>3184</v>
      </c>
      <c r="D100" s="3189" t="s">
        <v>3185</v>
      </c>
      <c r="E100" s="3189" t="s">
        <v>3186</v>
      </c>
      <c r="F100" s="3189" t="s">
        <v>3187</v>
      </c>
      <c r="G100" s="3189" t="s">
        <v>3189</v>
      </c>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98</v>
      </c>
      <c r="E101" s="675">
        <f t="shared" si="21"/>
        <v>96</v>
      </c>
      <c r="F101" s="675">
        <f t="shared" si="21"/>
        <v>94</v>
      </c>
      <c r="G101" s="675">
        <f t="shared" si="21"/>
        <v>92</v>
      </c>
      <c r="H101" s="675">
        <f t="shared" si="21"/>
        <v>90</v>
      </c>
      <c r="I101" s="675">
        <f t="shared" si="21"/>
        <v>88</v>
      </c>
      <c r="J101" s="675">
        <f t="shared" si="21"/>
        <v>86</v>
      </c>
      <c r="K101" s="675">
        <f t="shared" si="21"/>
        <v>84</v>
      </c>
      <c r="L101" s="675">
        <f t="shared" si="21"/>
        <v>82</v>
      </c>
      <c r="M101" s="676">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c r="E104" s="667"/>
      <c r="F104" s="667"/>
      <c r="G104" s="667"/>
      <c r="H104" s="667"/>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3190</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98</v>
      </c>
      <c r="E106" s="675">
        <f t="shared" si="23"/>
        <v>96</v>
      </c>
      <c r="F106" s="675">
        <f t="shared" si="23"/>
        <v>94</v>
      </c>
      <c r="G106" s="675">
        <f t="shared" si="23"/>
        <v>92</v>
      </c>
      <c r="H106" s="675">
        <f t="shared" si="23"/>
        <v>90</v>
      </c>
      <c r="I106" s="675">
        <f t="shared" si="23"/>
        <v>88</v>
      </c>
      <c r="J106" s="675">
        <f t="shared" si="23"/>
        <v>86</v>
      </c>
      <c r="K106" s="675">
        <f t="shared" si="23"/>
        <v>84</v>
      </c>
      <c r="L106" s="675">
        <f t="shared" si="23"/>
        <v>82</v>
      </c>
      <c r="M106" s="676">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750</v>
      </c>
      <c r="C107" s="3192" t="s">
        <v>3191</v>
      </c>
      <c r="D107" s="3192" t="s">
        <v>3193</v>
      </c>
      <c r="E107" s="3192" t="s">
        <v>3192</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95</v>
      </c>
      <c r="E108" s="675">
        <f t="shared" si="24"/>
        <v>90</v>
      </c>
      <c r="F108" s="675">
        <f t="shared" si="24"/>
        <v>85</v>
      </c>
      <c r="G108" s="675">
        <f t="shared" si="24"/>
        <v>80</v>
      </c>
      <c r="H108" s="675">
        <f t="shared" si="24"/>
        <v>75</v>
      </c>
      <c r="I108" s="675">
        <f t="shared" si="24"/>
        <v>70</v>
      </c>
      <c r="J108" s="675">
        <f t="shared" si="24"/>
        <v>65</v>
      </c>
      <c r="K108" s="675">
        <f t="shared" si="24"/>
        <v>60</v>
      </c>
      <c r="L108" s="675">
        <f t="shared" si="24"/>
        <v>55</v>
      </c>
      <c r="M108" s="676">
        <f t="shared" si="24"/>
        <v>50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89">
        <v>0.5</v>
      </c>
      <c r="D110" s="889">
        <v>0.6</v>
      </c>
      <c r="E110" s="889">
        <v>0.7</v>
      </c>
      <c r="F110" s="889">
        <v>0.8</v>
      </c>
      <c r="G110" s="889">
        <v>0.9</v>
      </c>
      <c r="H110" s="889">
        <v>1.0001</v>
      </c>
      <c r="I110" s="900"/>
      <c r="J110" s="900"/>
      <c r="K110" s="901"/>
      <c r="L110" s="902"/>
      <c r="M110" s="903"/>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102</v>
      </c>
      <c r="E111" s="675">
        <f t="shared" ref="E111:M111" si="25">D111+$K36</f>
        <v>104</v>
      </c>
      <c r="F111" s="675">
        <f t="shared" si="25"/>
        <v>106</v>
      </c>
      <c r="G111" s="675">
        <f t="shared" si="25"/>
        <v>108</v>
      </c>
      <c r="H111" s="675">
        <f t="shared" si="25"/>
        <v>110</v>
      </c>
      <c r="I111" s="675">
        <f t="shared" si="25"/>
        <v>112</v>
      </c>
      <c r="J111" s="675">
        <f t="shared" si="25"/>
        <v>114</v>
      </c>
      <c r="K111" s="675">
        <f t="shared" si="25"/>
        <v>116</v>
      </c>
      <c r="L111" s="675">
        <f t="shared" si="25"/>
        <v>118</v>
      </c>
      <c r="M111" s="675">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4"/>
      <c r="B112" s="1890" t="s">
        <v>2554</v>
      </c>
      <c r="C112" s="3192" t="s">
        <v>3194</v>
      </c>
      <c r="D112" s="3192" t="s">
        <v>3195</v>
      </c>
      <c r="E112" s="3192" t="s">
        <v>3196</v>
      </c>
      <c r="F112" s="3192" t="s">
        <v>3197</v>
      </c>
      <c r="G112" s="3192" t="s">
        <v>3198</v>
      </c>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772</v>
      </c>
      <c r="C114" s="3192" t="s">
        <v>3199</v>
      </c>
      <c r="D114" s="3192" t="s">
        <v>3200</v>
      </c>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773</v>
      </c>
      <c r="C116" s="3192" t="s">
        <v>3202</v>
      </c>
      <c r="D116" s="3192" t="s">
        <v>3203</v>
      </c>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90</v>
      </c>
      <c r="E117" s="675">
        <f>D117-$K39</f>
        <v>80</v>
      </c>
      <c r="F117" s="675">
        <f>E117-$K39</f>
        <v>70</v>
      </c>
      <c r="G117" s="675">
        <f>F117-$K39</f>
        <v>60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774</v>
      </c>
      <c r="C118" s="904"/>
      <c r="D118" s="904"/>
      <c r="E118" s="904"/>
      <c r="F118" s="904"/>
      <c r="G118" s="904"/>
      <c r="H118" s="685"/>
      <c r="I118" s="685"/>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4"/>
      <c r="B120" s="669" t="s">
        <v>775</v>
      </c>
      <c r="C120" s="3192" t="s">
        <v>3169</v>
      </c>
      <c r="D120" s="3192" t="s">
        <v>3170</v>
      </c>
      <c r="E120" s="3192" t="s">
        <v>3171</v>
      </c>
      <c r="F120" s="3208" t="s">
        <v>3172</v>
      </c>
      <c r="G120" s="3192" t="s">
        <v>3173</v>
      </c>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3191</v>
      </c>
      <c r="D122" s="3192" t="s">
        <v>3192</v>
      </c>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6">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1" sqref="H3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1725</v>
      </c>
      <c r="B1" s="734"/>
      <c r="C1" s="769" t="s">
        <v>35</v>
      </c>
      <c r="D1" s="3150" t="s">
        <v>3023</v>
      </c>
      <c r="E1" s="2405" t="s">
        <v>2371</v>
      </c>
      <c r="F1" s="2406">
        <f ca="1">J53</f>
        <v>37.450000000000003</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1726</v>
      </c>
      <c r="B2" s="771">
        <f ca="1">C40+J29+L46</f>
        <v>40695</v>
      </c>
      <c r="C2" s="2051"/>
      <c r="D2" s="2049"/>
      <c r="E2" s="2050"/>
      <c r="F2" s="2050"/>
      <c r="G2" s="1585"/>
      <c r="H2" s="2051"/>
      <c r="I2" s="2051"/>
      <c r="J2" s="2051"/>
      <c r="K2" s="2052"/>
      <c r="L2" s="2051"/>
      <c r="M2" s="2051"/>
    </row>
    <row r="3" spans="1:33" ht="18" customHeight="1" thickBot="1">
      <c r="A3" s="829" t="s">
        <v>1727</v>
      </c>
      <c r="B3" s="830">
        <f ca="1">IF(ISERROR(B2*10000/F43),0,ROUND(B2*10000/F43,0))</f>
        <v>3036</v>
      </c>
      <c r="C3" s="2051"/>
      <c r="D3" s="2049"/>
      <c r="E3" s="2050"/>
      <c r="F3" s="2050"/>
      <c r="G3" s="1585"/>
      <c r="H3" s="772" t="s">
        <v>694</v>
      </c>
      <c r="I3" s="1358"/>
      <c r="J3" s="1358"/>
      <c r="K3" s="1586"/>
      <c r="L3" s="1358"/>
      <c r="M3" s="1358"/>
    </row>
    <row r="4" spans="1:33" ht="18" customHeight="1">
      <c r="A4" s="773" t="s">
        <v>1728</v>
      </c>
      <c r="B4" s="774" t="s">
        <v>1729</v>
      </c>
      <c r="C4" s="774" t="s">
        <v>1730</v>
      </c>
      <c r="D4" s="774" t="s">
        <v>632</v>
      </c>
      <c r="E4" s="775" t="s">
        <v>1731</v>
      </c>
      <c r="F4" s="776"/>
      <c r="G4" s="1587"/>
      <c r="H4" s="773" t="s">
        <v>1732</v>
      </c>
      <c r="I4" s="774" t="s">
        <v>1733</v>
      </c>
      <c r="J4" s="774" t="s">
        <v>1734</v>
      </c>
      <c r="K4" s="774" t="s">
        <v>1735</v>
      </c>
      <c r="L4" s="775" t="s">
        <v>1736</v>
      </c>
      <c r="M4" s="776"/>
    </row>
    <row r="5" spans="1:33" ht="18" customHeight="1">
      <c r="A5" s="777">
        <v>1</v>
      </c>
      <c r="B5" s="778" t="s">
        <v>2455</v>
      </c>
      <c r="C5" s="55">
        <f ca="1">C6+C10+C12</f>
        <v>2465</v>
      </c>
      <c r="D5" s="2514" t="s">
        <v>2458</v>
      </c>
      <c r="E5" s="2508"/>
      <c r="F5" s="2509"/>
      <c r="G5" s="1587"/>
      <c r="H5" s="777">
        <v>1</v>
      </c>
      <c r="I5" s="778" t="s">
        <v>2455</v>
      </c>
      <c r="J5" s="55">
        <f ca="1">J6+J10+J12</f>
        <v>0</v>
      </c>
      <c r="K5" s="2514" t="s">
        <v>2458</v>
      </c>
      <c r="L5" s="2508"/>
      <c r="M5" s="2509"/>
    </row>
    <row r="6" spans="1:33" ht="18" customHeight="1">
      <c r="A6" s="1825" t="s">
        <v>1824</v>
      </c>
      <c r="B6" s="3464" t="s">
        <v>2460</v>
      </c>
      <c r="C6" s="779">
        <f ca="1">ROUND(F6*F8*F7*(1-F9)/10000,0)</f>
        <v>2465</v>
      </c>
      <c r="D6" s="2515" t="s">
        <v>2459</v>
      </c>
      <c r="E6" s="780" t="s">
        <v>1738</v>
      </c>
      <c r="F6" s="781">
        <f ca="1">INDIRECT("'数据-取费表'!u"&amp;$G$1)</f>
        <v>500</v>
      </c>
      <c r="G6" s="1587"/>
      <c r="H6" s="2522" t="s">
        <v>2466</v>
      </c>
      <c r="I6" s="3464" t="s">
        <v>2460</v>
      </c>
      <c r="J6" s="779">
        <f ca="1">ROUND(M6*M8*M7*(1-M9)/10000,0)</f>
        <v>0</v>
      </c>
      <c r="K6" s="337" t="s">
        <v>1737</v>
      </c>
      <c r="L6" s="780" t="s">
        <v>1738</v>
      </c>
      <c r="M6" s="781">
        <f ca="1">INDIRECT("'数据-取费表'!z"&amp;$G$1)</f>
        <v>0</v>
      </c>
    </row>
    <row r="7" spans="1:33" ht="18" customHeight="1">
      <c r="A7" s="2518"/>
      <c r="B7" s="3465"/>
      <c r="C7" s="784"/>
      <c r="D7" s="785"/>
      <c r="E7" s="780" t="s">
        <v>1739</v>
      </c>
      <c r="F7" s="781">
        <f ca="1">IF(INDIRECT("'数据-取费表'!ah"&amp;$G$1)="",INDIRECT("'数据-取费表'!k"&amp;$G$1),INDIRECT("'数据-取费表'!ah"&amp;$G$1))</f>
        <v>4565</v>
      </c>
      <c r="G7" s="1587"/>
      <c r="H7" s="2507"/>
      <c r="I7" s="3465"/>
      <c r="J7" s="784"/>
      <c r="K7" s="785"/>
      <c r="L7" s="780" t="s">
        <v>1739</v>
      </c>
      <c r="M7" s="781">
        <f ca="1">F7</f>
        <v>4565</v>
      </c>
    </row>
    <row r="8" spans="1:33" ht="18" customHeight="1">
      <c r="A8" s="2511"/>
      <c r="B8" s="3466"/>
      <c r="C8" s="784"/>
      <c r="D8" s="785"/>
      <c r="E8" s="780" t="s">
        <v>1740</v>
      </c>
      <c r="F8" s="781">
        <f ca="1">INDIRECT("'数据-取费表'!ai"&amp;$G$1)</f>
        <v>12</v>
      </c>
      <c r="G8" s="1587"/>
      <c r="H8" s="2507"/>
      <c r="I8" s="3466"/>
      <c r="J8" s="784"/>
      <c r="K8" s="785"/>
      <c r="L8" s="780" t="s">
        <v>1740</v>
      </c>
      <c r="M8" s="781">
        <f ca="1">INDIRECT("'数据-取费表'!ai"&amp;$G$1)</f>
        <v>12</v>
      </c>
    </row>
    <row r="9" spans="1:33" ht="18" customHeight="1">
      <c r="A9" s="782"/>
      <c r="B9" s="3467"/>
      <c r="C9" s="784"/>
      <c r="D9" s="785"/>
      <c r="E9" s="780" t="s">
        <v>1741</v>
      </c>
      <c r="F9" s="790">
        <f ca="1">INDIRECT("'数据-取费表'!w"&amp;$G$1)</f>
        <v>0.1</v>
      </c>
      <c r="G9" s="1587"/>
      <c r="H9" s="2523"/>
      <c r="I9" s="3466"/>
      <c r="J9" s="784"/>
      <c r="K9" s="785"/>
      <c r="L9" s="791" t="s">
        <v>1741</v>
      </c>
      <c r="M9" s="792">
        <f ca="1">INDIRECT("'数据-取费表'!ab"&amp;$G$1)</f>
        <v>0</v>
      </c>
    </row>
    <row r="10" spans="1:33" ht="18" hidden="1" customHeight="1">
      <c r="A10" s="1825" t="s">
        <v>2464</v>
      </c>
      <c r="B10" s="2512" t="s">
        <v>2456</v>
      </c>
      <c r="C10" s="795">
        <f ca="1">ROUND(IF(F10="押一",F6*F8*F7/12*F11,IF(F10="押二",F6*F8*F7/12*2*F11,IF(F10="押三",F6*F8*F7/12*3*F11,C11*F11)))/10000,0)</f>
        <v>0</v>
      </c>
      <c r="D10" s="2519" t="s">
        <v>2463</v>
      </c>
      <c r="E10" s="2516" t="s">
        <v>2461</v>
      </c>
      <c r="F10" s="2639" t="s">
        <v>3210</v>
      </c>
      <c r="G10" s="1587"/>
      <c r="H10" s="2579" t="s">
        <v>2467</v>
      </c>
      <c r="I10" s="2584" t="s">
        <v>2456</v>
      </c>
      <c r="J10" s="779">
        <f ca="1">ROUND(IF(M10="押一",M6*M8*M7/12*M11,IF(M10="押二",M6*M8*M7/12*2*M11,IF(M10="押三",M6*M8*M7/12*3*M11,J11*M11)))/10000,0)</f>
        <v>0</v>
      </c>
      <c r="K10" s="2519" t="s">
        <v>2463</v>
      </c>
      <c r="L10" s="2516" t="s">
        <v>2461</v>
      </c>
      <c r="M10" s="2639"/>
    </row>
    <row r="11" spans="1:33" ht="18" hidden="1" customHeight="1">
      <c r="A11" s="786"/>
      <c r="B11" s="2513" t="s">
        <v>2571</v>
      </c>
      <c r="C11" s="2517"/>
      <c r="D11" s="785"/>
      <c r="E11" s="2516" t="s">
        <v>2462</v>
      </c>
      <c r="F11" s="792">
        <f ca="1">'数据-取费表'!B39</f>
        <v>1.4999999999999999E-2</v>
      </c>
      <c r="G11" s="1587"/>
      <c r="H11" s="2580"/>
      <c r="I11" s="2513" t="s">
        <v>2571</v>
      </c>
      <c r="J11" s="2517"/>
      <c r="K11" s="2581"/>
      <c r="L11" s="2516" t="s">
        <v>2462</v>
      </c>
      <c r="M11" s="2510">
        <f ca="1">'数据-取费表'!B39</f>
        <v>1.4999999999999999E-2</v>
      </c>
    </row>
    <row r="12" spans="1:33" ht="18" hidden="1" customHeight="1" thickBot="1">
      <c r="A12" s="2555" t="s">
        <v>2465</v>
      </c>
      <c r="B12" s="2556" t="s">
        <v>2457</v>
      </c>
      <c r="C12" s="2557"/>
      <c r="D12" s="2558"/>
      <c r="E12" s="2559"/>
      <c r="F12" s="2560"/>
      <c r="G12" s="1587"/>
      <c r="H12" s="2569" t="s">
        <v>2468</v>
      </c>
      <c r="I12" s="2582" t="s">
        <v>2457</v>
      </c>
      <c r="J12" s="2583"/>
      <c r="K12" s="2558"/>
      <c r="L12" s="2559"/>
      <c r="M12" s="2572"/>
    </row>
    <row r="13" spans="1:33" ht="18" customHeight="1">
      <c r="A13" s="1824">
        <v>2</v>
      </c>
      <c r="B13" s="1822" t="s">
        <v>1742</v>
      </c>
      <c r="C13" s="788">
        <f ca="1">ROUND(C29*F13,0)</f>
        <v>33241</v>
      </c>
      <c r="D13" s="1829" t="s">
        <v>2296</v>
      </c>
      <c r="E13" s="1829" t="s">
        <v>1744</v>
      </c>
      <c r="F13" s="2554">
        <f ca="1">INDIRECT("'数据-取费表'!y"&amp;$G$1)</f>
        <v>1</v>
      </c>
      <c r="G13" s="1587"/>
      <c r="H13" s="1824">
        <v>2</v>
      </c>
      <c r="I13" s="1822" t="s">
        <v>1742</v>
      </c>
      <c r="J13" s="1814">
        <f ca="1">ROUND(J14*J15,0)</f>
        <v>33241</v>
      </c>
      <c r="K13" s="1816" t="s">
        <v>1743</v>
      </c>
      <c r="L13" s="2570"/>
      <c r="M13" s="2571"/>
    </row>
    <row r="14" spans="1:33" ht="18" customHeight="1">
      <c r="A14" s="1642" t="s">
        <v>1884</v>
      </c>
      <c r="B14" s="780" t="s">
        <v>644</v>
      </c>
      <c r="C14" s="800">
        <f ca="1">INDIRECT("'数据-取费表'!m"&amp;$G$1)+INDIRECT("'数据-取费表'!t"&amp;$G$1)</f>
        <v>24413</v>
      </c>
      <c r="D14" s="1973" t="s">
        <v>1745</v>
      </c>
      <c r="E14" s="1974"/>
      <c r="F14" s="801"/>
      <c r="G14" s="1587"/>
      <c r="H14" s="1643" t="s">
        <v>1830</v>
      </c>
      <c r="I14" s="2225" t="s">
        <v>2824</v>
      </c>
      <c r="J14" s="53">
        <f ca="1">C29</f>
        <v>33241</v>
      </c>
      <c r="K14" s="26"/>
      <c r="L14" s="797"/>
      <c r="M14" s="798"/>
    </row>
    <row r="15" spans="1:33" s="2058" customFormat="1" ht="18" customHeight="1" thickBot="1">
      <c r="A15" s="1642" t="s">
        <v>1885</v>
      </c>
      <c r="B15" s="780" t="s">
        <v>646</v>
      </c>
      <c r="C15" s="53">
        <f ca="1">ROUND(C14*F15,0)</f>
        <v>732</v>
      </c>
      <c r="D15" s="802" t="s">
        <v>1746</v>
      </c>
      <c r="E15" s="802" t="s">
        <v>1747</v>
      </c>
      <c r="F15" s="803">
        <f>'数据-取费表'!B33</f>
        <v>0.03</v>
      </c>
      <c r="G15" s="1588"/>
      <c r="H15" s="2569" t="s">
        <v>1889</v>
      </c>
      <c r="I15" s="2564" t="s">
        <v>1744</v>
      </c>
      <c r="J15" s="2573">
        <f ca="1">INDIRECT("'数据-取费表'!ad"&amp;$G$1)</f>
        <v>1</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0" t="s">
        <v>649</v>
      </c>
      <c r="C16" s="53">
        <f ca="1">ROUND(INDIRECT("'数据-取费表'!m"&amp;$G$1)*F16,0)</f>
        <v>0</v>
      </c>
      <c r="D16" s="780" t="s">
        <v>1746</v>
      </c>
      <c r="E16" s="780" t="s">
        <v>1747</v>
      </c>
      <c r="F16" s="805">
        <f ca="1">IF(INDIRECT("'数据-取费表'!c"&amp;$G$1)="住宅",'数据-取费表'!B34,0)</f>
        <v>0</v>
      </c>
      <c r="G16" s="1587"/>
      <c r="H16" s="1824" t="s">
        <v>1748</v>
      </c>
      <c r="I16" s="1822" t="s">
        <v>1749</v>
      </c>
      <c r="J16" s="788">
        <f ca="1">ROUND(J17+J22+J23+J24,0)</f>
        <v>3345</v>
      </c>
      <c r="K16" s="1816" t="s">
        <v>1750</v>
      </c>
      <c r="L16" s="2504"/>
      <c r="M16" s="2509"/>
    </row>
    <row r="17" spans="1:33" s="2058" customFormat="1" ht="18" customHeight="1">
      <c r="A17" s="1642" t="s">
        <v>1887</v>
      </c>
      <c r="B17" s="780" t="s">
        <v>652</v>
      </c>
      <c r="C17" s="53">
        <f ca="1">ROUND(F17*(F43+INDIRECT("'数据-取费表'!S"&amp;$G$1))/10000,0)</f>
        <v>2713</v>
      </c>
      <c r="D17" s="780" t="s">
        <v>1751</v>
      </c>
      <c r="E17" s="780" t="s">
        <v>1752</v>
      </c>
      <c r="F17" s="56">
        <f>'数据-取费表'!B35</f>
        <v>200</v>
      </c>
      <c r="G17" s="1588"/>
      <c r="H17" s="1643" t="s">
        <v>1830</v>
      </c>
      <c r="I17" s="780" t="s">
        <v>655</v>
      </c>
      <c r="J17" s="53">
        <f ca="1">ROUND(IF(项目基本情况!B11="自然人",J5*M17,J18+J19+J20),0)</f>
        <v>2796</v>
      </c>
      <c r="K17" s="2503" t="s">
        <v>1753</v>
      </c>
      <c r="L17" s="2502" t="s">
        <v>1754</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0" t="s">
        <v>658</v>
      </c>
      <c r="C18" s="53">
        <f ca="1">ROUND(C14*F18,0)</f>
        <v>366</v>
      </c>
      <c r="D18" s="780" t="s">
        <v>1746</v>
      </c>
      <c r="E18" s="780" t="s">
        <v>1747</v>
      </c>
      <c r="F18" s="805">
        <f>'数据-取费表'!B36</f>
        <v>1.4999999999999999E-2</v>
      </c>
      <c r="G18" s="1588"/>
      <c r="H18" s="1642" t="s">
        <v>1884</v>
      </c>
      <c r="I18" s="780" t="s">
        <v>1755</v>
      </c>
      <c r="J18" s="53">
        <f ca="1">ROUND(J5*M18/1.05,1)</f>
        <v>0</v>
      </c>
      <c r="K18" s="2502" t="s">
        <v>1756</v>
      </c>
      <c r="L18" s="780" t="s">
        <v>1747</v>
      </c>
      <c r="M18" s="805">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0" t="s">
        <v>661</v>
      </c>
      <c r="C19" s="53">
        <f ca="1">SUM(C14:C18)</f>
        <v>28224</v>
      </c>
      <c r="D19" s="259" t="s">
        <v>1757</v>
      </c>
      <c r="E19" s="1976"/>
      <c r="F19" s="56"/>
      <c r="G19" s="1587"/>
      <c r="H19" s="1642" t="s">
        <v>1885</v>
      </c>
      <c r="I19" s="780" t="s">
        <v>1758</v>
      </c>
      <c r="J19" s="53">
        <f ca="1">IF(K19="按租金收入计税",ROUND(J5*M19,1),ROUND(C29*F33*0.7,1))</f>
        <v>2792.2</v>
      </c>
      <c r="K19" s="807" t="s">
        <v>664</v>
      </c>
      <c r="L19" s="780" t="s">
        <v>1747</v>
      </c>
      <c r="M19" s="805">
        <f>IF(K19="按租金收入计税",'数据-取费表'!B51,'数据-取费表'!B50)</f>
        <v>1.2E-2</v>
      </c>
    </row>
    <row r="20" spans="1:33" s="2058" customFormat="1" ht="18" customHeight="1">
      <c r="A20" s="1643" t="s">
        <v>1889</v>
      </c>
      <c r="B20" s="780" t="s">
        <v>665</v>
      </c>
      <c r="C20" s="53">
        <f ca="1">ROUND(C19*F20,0)</f>
        <v>423</v>
      </c>
      <c r="D20" s="808" t="s">
        <v>1759</v>
      </c>
      <c r="E20" s="780" t="s">
        <v>1747</v>
      </c>
      <c r="F20" s="805">
        <f>'数据-取费表'!B37</f>
        <v>1.4999999999999999E-2</v>
      </c>
      <c r="G20" s="1588"/>
      <c r="H20" s="1645" t="s">
        <v>1880</v>
      </c>
      <c r="I20" s="337" t="s">
        <v>1760</v>
      </c>
      <c r="J20" s="54">
        <f ca="1">ROUND(M20*M21/10000,0)</f>
        <v>4</v>
      </c>
      <c r="K20" s="810" t="s">
        <v>1761</v>
      </c>
      <c r="L20" s="780" t="s">
        <v>1762</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0" t="s">
        <v>1763</v>
      </c>
      <c r="C21" s="53" t="s">
        <v>1764</v>
      </c>
      <c r="D21" s="808" t="s">
        <v>2297</v>
      </c>
      <c r="E21" s="780" t="s">
        <v>1765</v>
      </c>
      <c r="F21" s="805">
        <f>'数据-取费表'!B38</f>
        <v>1.4999999999999999E-2</v>
      </c>
      <c r="G21" s="1588"/>
      <c r="H21" s="2524"/>
      <c r="I21" s="789"/>
      <c r="J21" s="69"/>
      <c r="K21" s="812"/>
      <c r="L21" s="780" t="s">
        <v>1766</v>
      </c>
      <c r="M21" s="781">
        <f ca="1">INDIRECT("'数据-取费表'!r"&amp;$G$1)</f>
        <v>27079.71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0" t="s">
        <v>1767</v>
      </c>
      <c r="C22" s="53"/>
      <c r="D22" s="2590" t="str">
        <f>IF(F23&lt;=1,"单利计息。","复利计息。")&amp;"建造成本、管理费用、销售费用产生的利息。"</f>
        <v>复利计息。建造成本、管理费用、销售费用产生的利息。</v>
      </c>
      <c r="E22" s="1976"/>
      <c r="F22" s="56"/>
      <c r="G22" s="1587"/>
      <c r="H22" s="1643" t="s">
        <v>1889</v>
      </c>
      <c r="I22" s="780" t="s">
        <v>1768</v>
      </c>
      <c r="J22" s="53">
        <f ca="1">ROUND(J14*M22,0)</f>
        <v>499</v>
      </c>
      <c r="K22" s="2502" t="s">
        <v>1769</v>
      </c>
      <c r="L22" s="780" t="s">
        <v>1747</v>
      </c>
      <c r="M22" s="813">
        <f ca="1">INDIRECT("'数据-取费表'!Ak"&amp;$G$1)</f>
        <v>1.4999999999999999E-2</v>
      </c>
    </row>
    <row r="23" spans="1:33" s="2058" customFormat="1" ht="18" customHeight="1">
      <c r="A23" s="1642" t="s">
        <v>1831</v>
      </c>
      <c r="B23" s="780" t="s">
        <v>2533</v>
      </c>
      <c r="C23" s="53">
        <f ca="1">ROUND(IF('数据-取费表'!B22&lt;=1,(C19+C20)*F24*F23/2,(C19+C20)*(POWER((1+F24),F23/2)-1)),0)</f>
        <v>1711</v>
      </c>
      <c r="D23" s="2589" t="str">
        <f>IF(F23&lt;=1,"(建造成本+管理费用)×利率×(建设周期÷2)","(建造成本+管理费用)×((1+利率)^(建设周期÷2)-1)")</f>
        <v>(建造成本+管理费用)×((1+利率)^(建设周期÷2)-1)</v>
      </c>
      <c r="E23" s="780" t="s">
        <v>1770</v>
      </c>
      <c r="F23" s="636">
        <f>'数据-取费表'!B20</f>
        <v>2.5</v>
      </c>
      <c r="G23" s="1588"/>
      <c r="H23" s="1643" t="s">
        <v>1890</v>
      </c>
      <c r="I23" s="780" t="s">
        <v>678</v>
      </c>
      <c r="J23" s="53">
        <f ca="1">ROUND(J13*M23,0)</f>
        <v>50</v>
      </c>
      <c r="K23" s="2502" t="s">
        <v>1771</v>
      </c>
      <c r="L23" s="780" t="s">
        <v>1747</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0" t="s">
        <v>1772</v>
      </c>
      <c r="C24" s="53">
        <f ca="1">ROUND(IF('数据-取费表'!B22&lt;=1,F21*F24*F23/2,F21*(POWER((1+F24),F23/2)-1)),4)</f>
        <v>8.9999999999999998E-4</v>
      </c>
      <c r="D24" s="2589" t="str">
        <f>IF(F23&lt;=1,"销售费用×利率×(建设周期÷2)","销售费用×((1+利率)^(建设周期÷2)-1)")</f>
        <v>销售费用×((1+利率)^(建设周期÷2)-1)</v>
      </c>
      <c r="E24" s="780" t="s">
        <v>1773</v>
      </c>
      <c r="F24" s="815">
        <f ca="1">'数据-取费表'!B40</f>
        <v>4.7500000000000001E-2</v>
      </c>
      <c r="G24" s="1588"/>
      <c r="H24" s="2569" t="s">
        <v>1891</v>
      </c>
      <c r="I24" s="2564" t="s">
        <v>665</v>
      </c>
      <c r="J24" s="2562">
        <f ca="1">ROUND(J5*M24,0)</f>
        <v>0</v>
      </c>
      <c r="K24" s="2563" t="s">
        <v>1774</v>
      </c>
      <c r="L24" s="2564" t="s">
        <v>1747</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0" t="s">
        <v>683</v>
      </c>
      <c r="C25" s="53"/>
      <c r="D25" s="259" t="s">
        <v>1775</v>
      </c>
      <c r="E25" s="1976"/>
      <c r="F25" s="56"/>
      <c r="G25" s="1587"/>
      <c r="H25" s="1824" t="s">
        <v>1776</v>
      </c>
      <c r="I25" s="3028" t="s">
        <v>2820</v>
      </c>
      <c r="J25" s="788">
        <f ca="1">J5-J16</f>
        <v>-3345</v>
      </c>
      <c r="K25" s="2566" t="s">
        <v>1777</v>
      </c>
      <c r="L25" s="2567"/>
      <c r="M25" s="2568"/>
    </row>
    <row r="26" spans="1:33" ht="18" customHeight="1">
      <c r="A26" s="1642" t="s">
        <v>1831</v>
      </c>
      <c r="B26" s="780" t="s">
        <v>2435</v>
      </c>
      <c r="C26" s="53">
        <f ca="1">ROUND((C19+C20)*F26,0)</f>
        <v>573</v>
      </c>
      <c r="D26" s="808" t="s">
        <v>1778</v>
      </c>
      <c r="E26" s="791" t="s">
        <v>1779</v>
      </c>
      <c r="F26" s="790">
        <f ca="1">INDIRECT("'数据-取费表'!q"&amp;$G$1)</f>
        <v>0.02</v>
      </c>
      <c r="G26" s="1587"/>
      <c r="H26" s="2520" t="s">
        <v>1780</v>
      </c>
      <c r="I26" s="2226" t="s">
        <v>2825</v>
      </c>
      <c r="J26" s="779">
        <f ca="1">IF(J5&lt;&gt;0,ROUND(J25*(1-((1+M28)/(1+M26))^M27)/(M26-M28),0),0)</f>
        <v>0</v>
      </c>
      <c r="K26" s="810" t="s">
        <v>1781</v>
      </c>
      <c r="L26" s="780" t="s">
        <v>2416</v>
      </c>
      <c r="M26" s="790">
        <f ca="1">INDIRECT("'数据-取费表'!I"&amp;$G$1)</f>
        <v>4.4999999999999998E-2</v>
      </c>
    </row>
    <row r="27" spans="1:33" ht="18" customHeight="1">
      <c r="A27" s="1642" t="s">
        <v>1832</v>
      </c>
      <c r="B27" s="780" t="s">
        <v>685</v>
      </c>
      <c r="C27" s="53">
        <f ca="1">ROUND(F21*F26,4)</f>
        <v>2.9999999999999997E-4</v>
      </c>
      <c r="D27" s="808" t="s">
        <v>1782</v>
      </c>
      <c r="E27" s="802"/>
      <c r="F27" s="803"/>
      <c r="G27" s="1587"/>
      <c r="H27" s="2521"/>
      <c r="I27" s="783"/>
      <c r="J27" s="784"/>
      <c r="K27" s="817" t="s">
        <v>1783</v>
      </c>
      <c r="L27" s="780" t="s">
        <v>1784</v>
      </c>
      <c r="M27" s="818">
        <f ca="1">INDIRECT("'数据-取费表'!ag"&amp;$G$1)</f>
        <v>0</v>
      </c>
    </row>
    <row r="28" spans="1:33" s="2058" customFormat="1" ht="18" customHeight="1">
      <c r="A28" s="1644" t="s">
        <v>1841</v>
      </c>
      <c r="B28" s="780" t="s">
        <v>686</v>
      </c>
      <c r="C28" s="53">
        <f>ROUND(F28/(1+'数据-取费表'!C42),4)</f>
        <v>5.33E-2</v>
      </c>
      <c r="D28" s="808" t="s">
        <v>2298</v>
      </c>
      <c r="E28" s="780" t="s">
        <v>1785</v>
      </c>
      <c r="F28" s="805">
        <f>'数据-取费表'!B41</f>
        <v>5.6000000000000001E-2</v>
      </c>
      <c r="G28" s="1588"/>
      <c r="H28" s="1824"/>
      <c r="I28" s="787"/>
      <c r="J28" s="788"/>
      <c r="K28" s="812"/>
      <c r="L28" s="780" t="s">
        <v>1786</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2299</v>
      </c>
      <c r="C29" s="2562">
        <f ca="1">ROUND((C19+C20+C23+C26)/(1-F21-C24-C27-C28),0)</f>
        <v>33241</v>
      </c>
      <c r="D29" s="2563"/>
      <c r="E29" s="2564"/>
      <c r="F29" s="2565"/>
      <c r="G29" s="1588"/>
      <c r="H29" s="819" t="s">
        <v>1787</v>
      </c>
      <c r="I29" s="820" t="s">
        <v>1788</v>
      </c>
      <c r="J29" s="821">
        <f ca="1">ROUND(J26/(1+F40)^F41,0)</f>
        <v>0</v>
      </c>
      <c r="K29" s="822" t="s">
        <v>1789</v>
      </c>
      <c r="L29" s="823"/>
      <c r="M29" s="824">
        <f ca="1">INDIRECT("'数据-取费表'!k"&amp;$G$1)</f>
        <v>134025.01</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1893</v>
      </c>
      <c r="B30" s="1822" t="s">
        <v>1790</v>
      </c>
      <c r="C30" s="788">
        <f ca="1">ROUND(C31+C36+C37+C38,0)</f>
        <v>1005</v>
      </c>
      <c r="D30" s="1816" t="s">
        <v>1791</v>
      </c>
      <c r="E30" s="2504"/>
      <c r="F30" s="2509"/>
      <c r="G30" s="2056"/>
      <c r="H30" s="2059"/>
      <c r="I30" s="2060"/>
      <c r="J30" s="2061"/>
      <c r="K30" s="2062"/>
      <c r="L30" s="2063"/>
      <c r="M30" s="2064"/>
    </row>
    <row r="31" spans="1:33" ht="18" customHeight="1">
      <c r="A31" s="1643" t="s">
        <v>1830</v>
      </c>
      <c r="B31" s="780" t="s">
        <v>655</v>
      </c>
      <c r="C31" s="53">
        <f ca="1">ROUND(IF(项目基本情况!B11="自然人",C5*F31,C32+C33+C34),1)</f>
        <v>431.4</v>
      </c>
      <c r="D31" s="1973" t="s">
        <v>1792</v>
      </c>
      <c r="E31" s="1971" t="s">
        <v>1793</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0" t="s">
        <v>1794</v>
      </c>
      <c r="C32" s="53">
        <f ca="1">ROUND(C5*F32/1.05,1)</f>
        <v>131.5</v>
      </c>
      <c r="D32" s="1971" t="s">
        <v>1795</v>
      </c>
      <c r="E32" s="780" t="s">
        <v>1796</v>
      </c>
      <c r="F32" s="805">
        <f>'数据-取费表'!B41</f>
        <v>5.6000000000000001E-2</v>
      </c>
      <c r="G32" s="2056"/>
      <c r="H32" s="2065"/>
      <c r="I32" s="2066"/>
      <c r="J32" s="2067"/>
      <c r="K32" s="2068"/>
      <c r="L32" s="2069"/>
      <c r="M32" s="2070"/>
    </row>
    <row r="33" spans="1:18" ht="18" customHeight="1">
      <c r="A33" s="1642" t="s">
        <v>1832</v>
      </c>
      <c r="B33" s="780" t="s">
        <v>1797</v>
      </c>
      <c r="C33" s="53">
        <f ca="1">IF(D33="按租金收入计税",ROUND(C5*F33,1),IF(D33="按房产原值计税",ROUND(C29*F33*0.7,1),INDIRECT("'数据-取费表'!Aj"&amp;$G$1)))</f>
        <v>295.8</v>
      </c>
      <c r="D33" s="3184" t="s">
        <v>3025</v>
      </c>
      <c r="E33" s="780" t="s">
        <v>1796</v>
      </c>
      <c r="F33" s="805">
        <f>IF(D33="按租金收入计税",'数据-取费表'!B51,'数据-取费表'!B50)</f>
        <v>0.12</v>
      </c>
      <c r="G33" s="2056"/>
      <c r="H33" s="2071"/>
      <c r="I33" s="2071"/>
      <c r="J33" s="2071"/>
      <c r="K33" s="2072"/>
      <c r="L33" s="2071"/>
      <c r="M33" s="2071"/>
    </row>
    <row r="34" spans="1:18" ht="18" customHeight="1">
      <c r="A34" s="1645" t="s">
        <v>1833</v>
      </c>
      <c r="B34" s="337" t="s">
        <v>1798</v>
      </c>
      <c r="C34" s="54">
        <f ca="1">ROUND(F34*F35/10000,1)</f>
        <v>4.0999999999999996</v>
      </c>
      <c r="D34" s="810" t="s">
        <v>1799</v>
      </c>
      <c r="E34" s="780" t="s">
        <v>1800</v>
      </c>
      <c r="F34" s="636">
        <f>'数据-取费表'!B52</f>
        <v>1.5</v>
      </c>
      <c r="G34" s="2056"/>
      <c r="H34" s="2059"/>
      <c r="I34" s="831" t="s">
        <v>1813</v>
      </c>
      <c r="J34" s="832"/>
      <c r="K34" s="2074"/>
      <c r="L34" s="2073"/>
      <c r="M34" s="2073"/>
    </row>
    <row r="35" spans="1:18" ht="18" customHeight="1">
      <c r="A35" s="811"/>
      <c r="B35" s="789"/>
      <c r="C35" s="69"/>
      <c r="D35" s="812"/>
      <c r="E35" s="780" t="s">
        <v>1801</v>
      </c>
      <c r="F35" s="781">
        <f ca="1">INDIRECT("'数据-取费表'!r"&amp;$G$1)</f>
        <v>27079.71</v>
      </c>
      <c r="G35" s="2056"/>
      <c r="H35" s="2059"/>
      <c r="I35" s="833" t="s">
        <v>1814</v>
      </c>
      <c r="J35" s="834">
        <f ca="1">ROUND(C13*J36,0)</f>
        <v>2825</v>
      </c>
      <c r="K35" s="2072"/>
      <c r="L35" s="2071"/>
      <c r="M35" s="2071"/>
    </row>
    <row r="36" spans="1:18" ht="18" customHeight="1">
      <c r="A36" s="1643" t="s">
        <v>1889</v>
      </c>
      <c r="B36" s="780" t="s">
        <v>1802</v>
      </c>
      <c r="C36" s="53">
        <f ca="1">ROUND(C29*F36,1)</f>
        <v>498.6</v>
      </c>
      <c r="D36" s="1971" t="s">
        <v>1803</v>
      </c>
      <c r="E36" s="780" t="s">
        <v>1796</v>
      </c>
      <c r="F36" s="813">
        <f ca="1">INDIRECT("'数据-取费表'!Ak"&amp;$G$1)</f>
        <v>1.4999999999999999E-2</v>
      </c>
      <c r="G36" s="2056"/>
      <c r="H36" s="2071"/>
      <c r="I36" s="835" t="s">
        <v>1815</v>
      </c>
      <c r="J36" s="836">
        <f ca="1">INDIRECT("'数据-取费表'!j"&amp;$G$1)</f>
        <v>8.5000000000000006E-2</v>
      </c>
      <c r="K36" s="2076"/>
      <c r="L36" s="2071"/>
      <c r="M36" s="2071"/>
    </row>
    <row r="37" spans="1:18" ht="18" customHeight="1">
      <c r="A37" s="1643" t="s">
        <v>1890</v>
      </c>
      <c r="B37" s="780" t="s">
        <v>678</v>
      </c>
      <c r="C37" s="53">
        <f ca="1">ROUND(C13*F37,1)</f>
        <v>49.9</v>
      </c>
      <c r="D37" s="1971" t="s">
        <v>1804</v>
      </c>
      <c r="E37" s="780" t="s">
        <v>1796</v>
      </c>
      <c r="F37" s="814">
        <f ca="1">INDIRECT("'数据-取费表'!Al"&amp;$G$1)</f>
        <v>1.5E-3</v>
      </c>
      <c r="G37" s="2056"/>
      <c r="H37" s="2071"/>
      <c r="I37" s="837" t="s">
        <v>1816</v>
      </c>
      <c r="J37" s="838"/>
      <c r="K37" s="2076"/>
      <c r="L37" s="2071"/>
      <c r="M37" s="2071"/>
    </row>
    <row r="38" spans="1:18" ht="18" customHeight="1" thickBot="1">
      <c r="A38" s="2569" t="s">
        <v>1891</v>
      </c>
      <c r="B38" s="2564" t="s">
        <v>665</v>
      </c>
      <c r="C38" s="2562">
        <f ca="1">ROUND(C5*F38,1)</f>
        <v>24.7</v>
      </c>
      <c r="D38" s="2563" t="s">
        <v>1805</v>
      </c>
      <c r="E38" s="2564" t="s">
        <v>1796</v>
      </c>
      <c r="F38" s="2560">
        <f ca="1">INDIRECT("'数据-取费表'!Am"&amp;$G$1)</f>
        <v>0.01</v>
      </c>
      <c r="G38" s="2056"/>
      <c r="H38" s="2071"/>
      <c r="I38" s="839" t="s">
        <v>1817</v>
      </c>
      <c r="J38" s="840"/>
      <c r="K38" s="2077"/>
      <c r="L38" s="2071"/>
      <c r="M38" s="2071"/>
    </row>
    <row r="39" spans="1:18" ht="24.6" customHeight="1" thickTop="1">
      <c r="A39" s="1824" t="s">
        <v>1894</v>
      </c>
      <c r="B39" s="3028" t="s">
        <v>2820</v>
      </c>
      <c r="C39" s="788">
        <f ca="1">C5-C30</f>
        <v>1460</v>
      </c>
      <c r="D39" s="2566" t="s">
        <v>1806</v>
      </c>
      <c r="E39" s="2567"/>
      <c r="F39" s="2568"/>
      <c r="G39" s="2056"/>
      <c r="H39" s="2071"/>
      <c r="I39" s="833" t="s">
        <v>1818</v>
      </c>
      <c r="J39" s="841">
        <f ca="1">ROUND(J35/C39,3)</f>
        <v>1.9350000000000001</v>
      </c>
      <c r="K39" s="2077"/>
      <c r="L39" s="2071"/>
      <c r="M39" s="2071"/>
    </row>
    <row r="40" spans="1:18" ht="18" customHeight="1">
      <c r="A40" s="777" t="s">
        <v>1895</v>
      </c>
      <c r="B40" s="2226" t="s">
        <v>2300</v>
      </c>
      <c r="C40" s="779">
        <f ca="1">ROUND(C39*(1-((1+F42)/(1+F40))^F41)/(F40-F42),0)</f>
        <v>40695</v>
      </c>
      <c r="D40" s="810" t="s">
        <v>1807</v>
      </c>
      <c r="E40" s="780" t="s">
        <v>2416</v>
      </c>
      <c r="F40" s="790">
        <f ca="1">INDIRECT("'数据-取费表'!I"&amp;$G$1)</f>
        <v>4.4999999999999998E-2</v>
      </c>
      <c r="G40" s="2056"/>
      <c r="H40" s="2056"/>
      <c r="I40" s="833" t="s">
        <v>1819</v>
      </c>
      <c r="J40" s="841">
        <f ca="1">1-J39</f>
        <v>-0.93500000000000005</v>
      </c>
      <c r="K40" s="2077"/>
      <c r="L40" s="2056"/>
      <c r="M40" s="2056"/>
    </row>
    <row r="41" spans="1:18" ht="18" customHeight="1">
      <c r="A41" s="782"/>
      <c r="B41" s="783"/>
      <c r="C41" s="784"/>
      <c r="D41" s="817" t="s">
        <v>1808</v>
      </c>
      <c r="E41" s="780" t="s">
        <v>2954</v>
      </c>
      <c r="F41" s="818">
        <f ca="1">IF(INDIRECT("'数据-取费表'!af"&amp;$G$1)=0,INDIRECT("'数据-取费表'!ae"&amp;$G$1),INDIRECT("'数据-取费表'!af"&amp;$G$1))</f>
        <v>37.450000000000003</v>
      </c>
      <c r="G41" s="2056"/>
      <c r="H41" s="1982"/>
      <c r="I41" s="839" t="s">
        <v>1820</v>
      </c>
      <c r="J41" s="842"/>
      <c r="K41" s="2076"/>
      <c r="L41" s="1982"/>
      <c r="M41" s="1982"/>
    </row>
    <row r="42" spans="1:18" ht="18" customHeight="1">
      <c r="A42" s="786"/>
      <c r="B42" s="787"/>
      <c r="C42" s="788"/>
      <c r="D42" s="812"/>
      <c r="E42" s="780" t="s">
        <v>1809</v>
      </c>
      <c r="F42" s="790">
        <f ca="1">INDIRECT("'数据-取费表'!v"&amp;$G$1)</f>
        <v>0.03</v>
      </c>
      <c r="G42" s="2056"/>
      <c r="H42" s="1982"/>
      <c r="I42" s="843" t="s">
        <v>1821</v>
      </c>
      <c r="J42" s="841">
        <f ca="1">ROUND(C13/C40,3)</f>
        <v>0.81699999999999995</v>
      </c>
      <c r="K42" s="2076"/>
      <c r="L42" s="1982"/>
      <c r="M42" s="1982"/>
    </row>
    <row r="43" spans="1:18" ht="18" customHeight="1" thickBot="1">
      <c r="A43" s="819" t="s">
        <v>1787</v>
      </c>
      <c r="B43" s="820" t="s">
        <v>1810</v>
      </c>
      <c r="C43" s="821">
        <f ca="1">ROUND(C40*10000/F43,0)</f>
        <v>3036</v>
      </c>
      <c r="D43" s="822" t="s">
        <v>1811</v>
      </c>
      <c r="E43" s="823" t="s">
        <v>1812</v>
      </c>
      <c r="F43" s="824">
        <f ca="1">INDIRECT("'数据-取费表'!k"&amp;$G$1)</f>
        <v>134025.01</v>
      </c>
      <c r="G43" s="2056"/>
      <c r="H43" s="1982"/>
      <c r="I43" s="843" t="s">
        <v>1822</v>
      </c>
      <c r="J43" s="844">
        <f ca="1">1-J42</f>
        <v>0.18300000000000005</v>
      </c>
      <c r="K43" s="2076"/>
      <c r="L43" s="1982"/>
      <c r="M43" s="1982"/>
    </row>
    <row r="44" spans="1:18" s="2053" customFormat="1" ht="18" customHeight="1">
      <c r="A44" s="2079"/>
      <c r="B44" s="2079"/>
      <c r="C44" s="2096">
        <f ca="1">C43*30</f>
        <v>91080</v>
      </c>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2294</v>
      </c>
      <c r="B46" s="2079"/>
      <c r="C46" s="2592">
        <f ca="1">C67-C40</f>
        <v>-50620</v>
      </c>
      <c r="D46" s="2079"/>
      <c r="E46" s="2079"/>
      <c r="F46" s="2079"/>
      <c r="I46" s="2372" t="s">
        <v>2339</v>
      </c>
      <c r="J46" s="2373"/>
      <c r="K46" s="2374"/>
      <c r="L46" s="2375" t="str">
        <f ca="1">IF(M47="住宅",0,IF(L48&gt;J51,L60,J60))</f>
        <v>0</v>
      </c>
      <c r="O46" s="2412" t="s">
        <v>2407</v>
      </c>
      <c r="P46" s="1587"/>
      <c r="Q46" s="1599"/>
      <c r="R46" s="1587"/>
    </row>
    <row r="47" spans="1:18" s="2053" customFormat="1" ht="18" customHeight="1" thickBot="1">
      <c r="A47" s="2366">
        <v>1</v>
      </c>
      <c r="B47" s="2367" t="s">
        <v>634</v>
      </c>
      <c r="C47" s="2592">
        <f ca="1">C48+C52+C54</f>
        <v>0</v>
      </c>
      <c r="D47" s="2079"/>
      <c r="E47" s="2079"/>
      <c r="F47" s="2079"/>
      <c r="I47" s="2376" t="s">
        <v>2340</v>
      </c>
      <c r="J47" s="2381" t="s">
        <v>3024</v>
      </c>
      <c r="K47" s="2382" t="s">
        <v>2346</v>
      </c>
      <c r="L47" s="2383">
        <f ca="1">INDIRECT("'数据-取费表'!d"&amp;$G$1)</f>
        <v>40</v>
      </c>
      <c r="M47" s="1599" t="str">
        <f>IF(ISNUMBER(FIND("住宅",C1)),"住宅","非住宅")</f>
        <v>非住宅</v>
      </c>
      <c r="O47" s="2413" t="s">
        <v>2372</v>
      </c>
      <c r="P47" s="2414" t="s">
        <v>2373</v>
      </c>
      <c r="Q47" s="2415" t="s">
        <v>2374</v>
      </c>
      <c r="R47" s="2414" t="s">
        <v>2375</v>
      </c>
    </row>
    <row r="48" spans="1:18" s="2053" customFormat="1" ht="18" customHeight="1" thickBot="1">
      <c r="A48" s="2660" t="s">
        <v>2535</v>
      </c>
      <c r="B48" s="2661" t="s">
        <v>2536</v>
      </c>
      <c r="C48" s="2368">
        <f ca="1">ROUND(F48*F50*F49*(1-F51)/10000,0)</f>
        <v>0</v>
      </c>
      <c r="D48" s="2369" t="s">
        <v>635</v>
      </c>
      <c r="E48" s="2370" t="s">
        <v>2295</v>
      </c>
      <c r="F48" s="2371"/>
      <c r="G48" s="2084"/>
      <c r="I48" s="2377" t="s">
        <v>2341</v>
      </c>
      <c r="J48" s="2384" t="s">
        <v>2347</v>
      </c>
      <c r="K48" s="2385" t="s">
        <v>2348</v>
      </c>
      <c r="L48" s="2386">
        <f ca="1">INDIRECT("'数据-取费表'!f"&amp;$G$1)</f>
        <v>39.950000000000003</v>
      </c>
      <c r="O48" s="2416" t="s">
        <v>2376</v>
      </c>
      <c r="P48" s="2417" t="s">
        <v>2402</v>
      </c>
      <c r="Q48" s="2418">
        <f ca="1">C40+J29</f>
        <v>40695</v>
      </c>
      <c r="R48" s="2417" t="s">
        <v>2377</v>
      </c>
    </row>
    <row r="49" spans="1:18" s="2053" customFormat="1" ht="18" customHeight="1" thickBot="1">
      <c r="A49" s="782"/>
      <c r="B49" s="783"/>
      <c r="C49" s="784"/>
      <c r="D49" s="785"/>
      <c r="E49" s="780" t="s">
        <v>1739</v>
      </c>
      <c r="F49" s="781">
        <f ca="1">F7</f>
        <v>4565</v>
      </c>
      <c r="G49" s="2084"/>
      <c r="H49" s="2087"/>
      <c r="I49" s="2377" t="s">
        <v>2342</v>
      </c>
      <c r="J49" s="2387"/>
      <c r="K49" s="2388" t="s">
        <v>2349</v>
      </c>
      <c r="L49" s="2389"/>
      <c r="O49" s="2416" t="s">
        <v>2378</v>
      </c>
      <c r="P49" s="2417" t="s">
        <v>2403</v>
      </c>
      <c r="Q49" s="2418" t="str">
        <f ca="1">J60</f>
        <v>0</v>
      </c>
      <c r="R49" s="2417" t="s">
        <v>2379</v>
      </c>
    </row>
    <row r="50" spans="1:18" s="2053" customFormat="1" ht="18" customHeight="1" thickBot="1">
      <c r="A50" s="782"/>
      <c r="B50" s="783"/>
      <c r="C50" s="784"/>
      <c r="D50" s="785"/>
      <c r="E50" s="780" t="s">
        <v>1740</v>
      </c>
      <c r="F50" s="781">
        <f ca="1">F8</f>
        <v>12</v>
      </c>
      <c r="G50" s="2089"/>
      <c r="H50" s="2087"/>
      <c r="I50" s="2377" t="s">
        <v>2343</v>
      </c>
      <c r="J50" s="2390">
        <f>SUMPRODUCT((I63:I65=J47)*(J62:L62=J48)*(J63:L65))</f>
        <v>60</v>
      </c>
      <c r="K50" s="2388" t="s">
        <v>2350</v>
      </c>
      <c r="L50" s="2389"/>
      <c r="O50" s="2419" t="s">
        <v>2380</v>
      </c>
      <c r="P50" s="2417" t="s">
        <v>2404</v>
      </c>
      <c r="Q50" s="2418">
        <f ca="1">C29</f>
        <v>33241</v>
      </c>
      <c r="R50" s="2417" t="s">
        <v>2377</v>
      </c>
    </row>
    <row r="51" spans="1:18" s="2053" customFormat="1" ht="18" customHeight="1" thickBot="1">
      <c r="A51" s="782"/>
      <c r="B51" s="783"/>
      <c r="C51" s="784"/>
      <c r="D51" s="785"/>
      <c r="E51" s="780" t="s">
        <v>639</v>
      </c>
      <c r="F51" s="2365"/>
      <c r="H51" s="2087"/>
      <c r="I51" s="2378" t="s">
        <v>2344</v>
      </c>
      <c r="J51" s="2391">
        <f>IF(J49="",J50,J49+J50-YEAR('数据-取费表'!B2))</f>
        <v>60</v>
      </c>
      <c r="K51" s="2377" t="s">
        <v>2351</v>
      </c>
      <c r="L51" s="2392">
        <f ca="1">ROUND(-PV(INDIRECT("'数据-取费表'!h"&amp;$G$1),L48,(C39-C13*J36),0),0)</f>
        <v>-27013</v>
      </c>
      <c r="O51" s="2419" t="s">
        <v>2381</v>
      </c>
      <c r="P51" s="2417" t="s">
        <v>2382</v>
      </c>
      <c r="Q51" s="2420" t="e">
        <f ca="1">J58</f>
        <v>#VALUE!</v>
      </c>
      <c r="R51" s="2421"/>
    </row>
    <row r="52" spans="1:18" s="2053" customFormat="1" ht="18" customHeight="1" thickBot="1">
      <c r="A52" s="777" t="s">
        <v>2534</v>
      </c>
      <c r="B52" s="2512" t="s">
        <v>2456</v>
      </c>
      <c r="C52" s="795">
        <f ca="1">ROUND(IF(F52="押一",F48*F50*F49/12*F11,IF(F52="押二",F48*F50*F49/12*2*F11,IF(F52="押三",F48*F50*F49/12*3*F11,C53*F11)))/10000,0)</f>
        <v>0</v>
      </c>
      <c r="D52" s="2519" t="s">
        <v>2463</v>
      </c>
      <c r="E52" s="2516" t="s">
        <v>2461</v>
      </c>
      <c r="F52" s="2639"/>
      <c r="I52" s="2379" t="s">
        <v>2418</v>
      </c>
      <c r="J52" s="2393"/>
      <c r="K52" s="2379" t="s">
        <v>2417</v>
      </c>
      <c r="L52" s="2393"/>
      <c r="O52" s="2419" t="s">
        <v>2383</v>
      </c>
      <c r="P52" s="2417" t="s">
        <v>2384</v>
      </c>
      <c r="Q52" s="2420">
        <f>J52</f>
        <v>0</v>
      </c>
      <c r="R52" s="2421"/>
    </row>
    <row r="53" spans="1:18" s="2053" customFormat="1" ht="39.75" customHeight="1" thickBot="1">
      <c r="A53" s="782"/>
      <c r="B53" s="2513" t="s">
        <v>2571</v>
      </c>
      <c r="C53" s="2517"/>
      <c r="D53" s="2519"/>
      <c r="E53" s="2516"/>
      <c r="F53" s="796"/>
      <c r="I53" s="2380" t="s">
        <v>2345</v>
      </c>
      <c r="J53" s="2394">
        <f ca="1">IF(M47="住宅",J51,IF(D1="——",MIN(J51,L48),IF(D1="土地（套用方法）",MIN(J51,L48-'数据-取费表'!B20))))</f>
        <v>37.450000000000003</v>
      </c>
      <c r="K53" s="3487" t="s">
        <v>2956</v>
      </c>
      <c r="L53" s="3488"/>
      <c r="O53" s="2419" t="s">
        <v>2385</v>
      </c>
      <c r="P53" s="2417" t="s">
        <v>2386</v>
      </c>
      <c r="Q53" s="2418">
        <f ca="1">J53</f>
        <v>37.450000000000003</v>
      </c>
      <c r="R53" s="2417" t="s">
        <v>2387</v>
      </c>
    </row>
    <row r="54" spans="1:18" s="2053" customFormat="1" ht="18" customHeight="1" thickBot="1">
      <c r="A54" s="2555" t="s">
        <v>2465</v>
      </c>
      <c r="B54" s="2556" t="s">
        <v>2457</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2388</v>
      </c>
      <c r="P54" s="2417" t="s">
        <v>2405</v>
      </c>
      <c r="Q54" s="2418">
        <f ca="1">Q48+Q49</f>
        <v>40695</v>
      </c>
      <c r="R54" s="2421" t="s">
        <v>2389</v>
      </c>
    </row>
    <row r="55" spans="1:18" s="2053" customFormat="1" ht="18" customHeight="1" thickTop="1" thickBot="1">
      <c r="A55" s="793">
        <v>2</v>
      </c>
      <c r="B55" s="794" t="s">
        <v>643</v>
      </c>
      <c r="C55" s="795">
        <f ca="1">C13</f>
        <v>33241</v>
      </c>
      <c r="D55" s="791"/>
      <c r="E55" s="791"/>
      <c r="F55" s="796"/>
      <c r="I55" s="3121" t="s">
        <v>2352</v>
      </c>
      <c r="J55" s="3120" t="e">
        <f ca="1">ROUND(IF(J47="钢混",J57/J50,1-(1-2%)*(J50-J57)/J50),3)</f>
        <v>#VALUE!</v>
      </c>
      <c r="K55" s="2395" t="s">
        <v>2353</v>
      </c>
      <c r="L55" s="2396"/>
      <c r="O55" s="2422" t="s">
        <v>2408</v>
      </c>
      <c r="P55" s="1587"/>
      <c r="Q55" s="1599"/>
      <c r="R55" s="1587"/>
    </row>
    <row r="56" spans="1:18" s="2053" customFormat="1" ht="42.75" customHeight="1" thickBot="1">
      <c r="A56" s="1644"/>
      <c r="B56" s="2225" t="s">
        <v>2301</v>
      </c>
      <c r="C56" s="53">
        <f ca="1">C29</f>
        <v>33241</v>
      </c>
      <c r="D56" s="2657"/>
      <c r="E56" s="780"/>
      <c r="F56" s="805"/>
      <c r="I56" s="2397" t="s">
        <v>2354</v>
      </c>
      <c r="J56" s="3144" t="s">
        <v>1678</v>
      </c>
      <c r="K56" s="2377" t="s">
        <v>2359</v>
      </c>
      <c r="L56" s="2386" t="str">
        <f ca="1">IF(L48&lt;J51,"——",L48-J51)</f>
        <v>——</v>
      </c>
      <c r="O56" s="2413" t="s">
        <v>2372</v>
      </c>
      <c r="P56" s="2414" t="s">
        <v>2373</v>
      </c>
      <c r="Q56" s="2415" t="s">
        <v>2374</v>
      </c>
      <c r="R56" s="2414" t="s">
        <v>2375</v>
      </c>
    </row>
    <row r="57" spans="1:18" s="2053" customFormat="1" ht="28.5" customHeight="1" thickBot="1">
      <c r="A57" s="793" t="s">
        <v>1748</v>
      </c>
      <c r="B57" s="794" t="s">
        <v>650</v>
      </c>
      <c r="C57" s="795">
        <f ca="1">ROUND(C58+C63+C64+C65,0)</f>
        <v>553</v>
      </c>
      <c r="D57" s="26" t="s">
        <v>1750</v>
      </c>
      <c r="E57" s="2658"/>
      <c r="F57" s="56"/>
      <c r="I57" s="2398" t="s">
        <v>2355</v>
      </c>
      <c r="J57" s="2400" t="str">
        <f ca="1">IF(OR(M47="住宅",J51&lt;L48,J56="是"),"——",J51-L48)</f>
        <v>——</v>
      </c>
      <c r="K57" s="2377" t="s">
        <v>2360</v>
      </c>
      <c r="L57" s="2386" t="str">
        <f ca="1">IF(L48&lt;J51,"——",IF(L55="比较法",L49,IF(L55="基准地价",L50,L51)))</f>
        <v>——</v>
      </c>
      <c r="O57" s="2416" t="s">
        <v>2376</v>
      </c>
      <c r="P57" s="2417" t="s">
        <v>2406</v>
      </c>
      <c r="Q57" s="2418">
        <f ca="1">C40+J29</f>
        <v>40695</v>
      </c>
      <c r="R57" s="2417" t="s">
        <v>2377</v>
      </c>
    </row>
    <row r="58" spans="1:18" s="2053" customFormat="1" ht="28.5" customHeight="1" thickBot="1">
      <c r="A58" s="1643" t="s">
        <v>1824</v>
      </c>
      <c r="B58" s="780" t="s">
        <v>655</v>
      </c>
      <c r="C58" s="53">
        <f ca="1">ROUND(IF(项目基本情况!B11="自然人",C47*F58,C59+C60+C61),1)</f>
        <v>4.0999999999999996</v>
      </c>
      <c r="D58" s="2656" t="s">
        <v>656</v>
      </c>
      <c r="E58" s="2657" t="s">
        <v>689</v>
      </c>
      <c r="F58" s="806" t="str">
        <f ca="1">IF(项目基本情况!B11="企业","",IF(INDIRECT("'数据-取费表'!c"&amp;$G$1)="住宅",5%,IF(F48*F49*F50/12/(1+'数据-取费表'!C42)&gt;20000,12%,7%)))</f>
        <v/>
      </c>
      <c r="I58" s="2398" t="s">
        <v>2356</v>
      </c>
      <c r="J58" s="3122" t="e">
        <f ca="1">IF(J55&lt;0.4,0.4,J55)</f>
        <v>#VALUE!</v>
      </c>
      <c r="K58" s="2377" t="s">
        <v>2361</v>
      </c>
      <c r="L58" s="2386" t="e">
        <f ca="1">ROUND(POWER(1+L52,L47-L48)*(POWER(1+L52,L48)-1)/(POWER(1+L52,L47)-1),4)</f>
        <v>#DIV/0!</v>
      </c>
      <c r="O58" s="2416" t="s">
        <v>2378</v>
      </c>
      <c r="P58" s="2417" t="s">
        <v>2409</v>
      </c>
      <c r="Q58" s="2418">
        <f ca="1">L60</f>
        <v>0</v>
      </c>
      <c r="R58" s="2421" t="s">
        <v>2411</v>
      </c>
    </row>
    <row r="59" spans="1:18" s="2053" customFormat="1" ht="28.5" customHeight="1" thickBot="1">
      <c r="A59" s="1642" t="s">
        <v>1831</v>
      </c>
      <c r="B59" s="780" t="s">
        <v>659</v>
      </c>
      <c r="C59" s="53">
        <f ca="1">ROUND(C47*F59/1.05,1)</f>
        <v>0</v>
      </c>
      <c r="D59" s="2657" t="s">
        <v>1756</v>
      </c>
      <c r="E59" s="780" t="s">
        <v>1747</v>
      </c>
      <c r="F59" s="805">
        <f t="shared" ref="F59:F65" si="0">F32</f>
        <v>5.6000000000000001E-2</v>
      </c>
      <c r="I59" s="2398" t="s">
        <v>2357</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2380</v>
      </c>
      <c r="P59" s="2417" t="s">
        <v>2410</v>
      </c>
      <c r="Q59" s="2418">
        <f>IF(L55="比较法",L49,IF(L55="基准地价",L50,0))</f>
        <v>0</v>
      </c>
      <c r="R59" s="2417" t="s">
        <v>2377</v>
      </c>
    </row>
    <row r="60" spans="1:18" s="2053" customFormat="1" ht="18" customHeight="1" thickBot="1">
      <c r="A60" s="1642" t="s">
        <v>1832</v>
      </c>
      <c r="B60" s="780" t="s">
        <v>1758</v>
      </c>
      <c r="C60" s="53">
        <f ca="1">IF(D60="按租金收入计税",ROUND(C47*F60,1),IF(D60="按房产原值计税",ROUND(C56*F60*0.7,1),INDIRECT("'数据-取费表'!Aj"&amp;$G$1)))</f>
        <v>0</v>
      </c>
      <c r="D60" s="2657" t="str">
        <f>D33</f>
        <v>按租金收入计税</v>
      </c>
      <c r="E60" s="780" t="s">
        <v>1747</v>
      </c>
      <c r="F60" s="805">
        <f t="shared" si="0"/>
        <v>0.12</v>
      </c>
      <c r="I60" s="2399" t="s">
        <v>2358</v>
      </c>
      <c r="J60" s="2401" t="str">
        <f ca="1">IF(OR(M47="住宅",J51&lt;L48,J56="是"),"0",ROUND(J59/(1+J52)^J53,0))</f>
        <v>0</v>
      </c>
      <c r="K60" s="2402" t="s">
        <v>2363</v>
      </c>
      <c r="L60" s="2401">
        <f ca="1">IF(OR(M47="住宅",L48&lt;J51),0,ROUND(L57*(L58/L59-1),0))</f>
        <v>0</v>
      </c>
      <c r="O60" s="2419" t="s">
        <v>2381</v>
      </c>
      <c r="P60" s="2417" t="s">
        <v>2390</v>
      </c>
      <c r="Q60" s="2420">
        <f>L52</f>
        <v>0</v>
      </c>
      <c r="R60" s="2421"/>
    </row>
    <row r="61" spans="1:18" s="2053" customFormat="1" ht="18" customHeight="1" thickBot="1">
      <c r="A61" s="1645" t="s">
        <v>1833</v>
      </c>
      <c r="B61" s="337" t="s">
        <v>667</v>
      </c>
      <c r="C61" s="54">
        <f ca="1">ROUND(F61*F62/10000,1)</f>
        <v>4.0999999999999996</v>
      </c>
      <c r="D61" s="810" t="s">
        <v>668</v>
      </c>
      <c r="E61" s="780" t="s">
        <v>669</v>
      </c>
      <c r="F61" s="636">
        <f t="shared" si="0"/>
        <v>1.5</v>
      </c>
      <c r="K61" s="2080"/>
      <c r="O61" s="2419" t="s">
        <v>2383</v>
      </c>
      <c r="P61" s="2417" t="s">
        <v>2391</v>
      </c>
      <c r="Q61" s="2418" t="e">
        <f ca="1">L58</f>
        <v>#DIV/0!</v>
      </c>
      <c r="R61" s="2421" t="s">
        <v>2392</v>
      </c>
    </row>
    <row r="62" spans="1:18" s="2053" customFormat="1" ht="15.75" thickBot="1">
      <c r="A62" s="811"/>
      <c r="B62" s="789"/>
      <c r="C62" s="69"/>
      <c r="D62" s="812"/>
      <c r="E62" s="780" t="s">
        <v>673</v>
      </c>
      <c r="F62" s="781">
        <f t="shared" ca="1" si="0"/>
        <v>27079.71</v>
      </c>
      <c r="I62" s="2403" t="s">
        <v>2364</v>
      </c>
      <c r="J62" s="2404" t="s">
        <v>2365</v>
      </c>
      <c r="K62" s="2404" t="s">
        <v>2366</v>
      </c>
      <c r="L62" s="2404" t="s">
        <v>2347</v>
      </c>
      <c r="M62" s="3123" t="s">
        <v>2931</v>
      </c>
      <c r="O62" s="2419" t="s">
        <v>2385</v>
      </c>
      <c r="P62" s="2417" t="str">
        <f>K59</f>
        <v>建设期及建筑物耐用年限下的土地年期修正系数Kn</v>
      </c>
      <c r="Q62" s="2418" t="e">
        <f ca="1">L59</f>
        <v>#DIV/0!</v>
      </c>
      <c r="R62" s="2421" t="s">
        <v>2394</v>
      </c>
    </row>
    <row r="63" spans="1:18" s="2053" customFormat="1" ht="15.75" thickBot="1">
      <c r="A63" s="1643" t="s">
        <v>1889</v>
      </c>
      <c r="B63" s="780" t="s">
        <v>675</v>
      </c>
      <c r="C63" s="53">
        <f ca="1">ROUND(C56*F63,1)</f>
        <v>498.6</v>
      </c>
      <c r="D63" s="2657" t="s">
        <v>1803</v>
      </c>
      <c r="E63" s="780" t="s">
        <v>1747</v>
      </c>
      <c r="F63" s="813">
        <f t="shared" ca="1" si="0"/>
        <v>1.4999999999999999E-2</v>
      </c>
      <c r="I63" s="2403" t="s">
        <v>2367</v>
      </c>
      <c r="J63" s="2404">
        <v>70</v>
      </c>
      <c r="K63" s="2404">
        <v>50</v>
      </c>
      <c r="L63" s="2404">
        <v>80</v>
      </c>
      <c r="M63" s="3124">
        <v>0.02</v>
      </c>
      <c r="O63" s="2416" t="s">
        <v>2388</v>
      </c>
      <c r="P63" s="2417" t="s">
        <v>2405</v>
      </c>
      <c r="Q63" s="2418">
        <f ca="1">Q57+Q58</f>
        <v>40695</v>
      </c>
      <c r="R63" s="2421" t="s">
        <v>2389</v>
      </c>
    </row>
    <row r="64" spans="1:18" s="2053" customFormat="1" ht="16.5" thickBot="1">
      <c r="A64" s="1643" t="s">
        <v>1890</v>
      </c>
      <c r="B64" s="780" t="s">
        <v>678</v>
      </c>
      <c r="C64" s="53">
        <f ca="1">ROUND(C55*F64,1)</f>
        <v>49.9</v>
      </c>
      <c r="D64" s="2657" t="s">
        <v>679</v>
      </c>
      <c r="E64" s="780" t="s">
        <v>1747</v>
      </c>
      <c r="F64" s="814">
        <f t="shared" ca="1" si="0"/>
        <v>1.5E-3</v>
      </c>
      <c r="I64" s="2403" t="s">
        <v>2368</v>
      </c>
      <c r="J64" s="2404">
        <v>50</v>
      </c>
      <c r="K64" s="2404">
        <v>35</v>
      </c>
      <c r="L64" s="2404">
        <v>60</v>
      </c>
      <c r="M64" s="3125">
        <v>0</v>
      </c>
      <c r="O64" s="2422" t="s">
        <v>2412</v>
      </c>
      <c r="P64" s="1587"/>
      <c r="Q64" s="1599"/>
      <c r="R64" s="1587"/>
    </row>
    <row r="65" spans="1:18" s="2053" customFormat="1" ht="15.75" thickBot="1">
      <c r="A65" s="1643" t="s">
        <v>1891</v>
      </c>
      <c r="B65" s="780" t="s">
        <v>665</v>
      </c>
      <c r="C65" s="53">
        <f ca="1">ROUND(C47*F65,1)</f>
        <v>0</v>
      </c>
      <c r="D65" s="2657" t="s">
        <v>682</v>
      </c>
      <c r="E65" s="780" t="s">
        <v>1747</v>
      </c>
      <c r="F65" s="790">
        <f t="shared" ca="1" si="0"/>
        <v>0.01</v>
      </c>
      <c r="I65" s="2403" t="s">
        <v>2369</v>
      </c>
      <c r="J65" s="2404">
        <v>40</v>
      </c>
      <c r="K65" s="2404">
        <v>30</v>
      </c>
      <c r="L65" s="2404">
        <v>50</v>
      </c>
      <c r="M65" s="3124">
        <v>0.02</v>
      </c>
      <c r="O65" s="2413" t="s">
        <v>2372</v>
      </c>
      <c r="P65" s="2414" t="s">
        <v>2373</v>
      </c>
      <c r="Q65" s="2415" t="s">
        <v>2374</v>
      </c>
      <c r="R65" s="2414" t="s">
        <v>2375</v>
      </c>
    </row>
    <row r="66" spans="1:18" s="2053" customFormat="1" ht="24.75" thickBot="1">
      <c r="A66" s="793" t="s">
        <v>1776</v>
      </c>
      <c r="B66" s="3029" t="s">
        <v>2820</v>
      </c>
      <c r="C66" s="795">
        <f ca="1">C47-C57</f>
        <v>-553</v>
      </c>
      <c r="D66" s="2656" t="s">
        <v>699</v>
      </c>
      <c r="E66" s="2655"/>
      <c r="F66" s="816"/>
      <c r="K66" s="2080"/>
      <c r="O66" s="2416" t="s">
        <v>2376</v>
      </c>
      <c r="P66" s="2417" t="s">
        <v>2406</v>
      </c>
      <c r="Q66" s="2418">
        <f ca="1">C40+J29</f>
        <v>40695</v>
      </c>
      <c r="R66" s="2417" t="s">
        <v>2377</v>
      </c>
    </row>
    <row r="67" spans="1:18" s="2053" customFormat="1" ht="20.25" thickBot="1">
      <c r="A67" s="777" t="s">
        <v>1780</v>
      </c>
      <c r="B67" s="2226" t="s">
        <v>2300</v>
      </c>
      <c r="C67" s="779">
        <f ca="1">ROUND(C66*(1-((1+F69)/(1+F67))^F68)/(F67-F69),0)</f>
        <v>-9925</v>
      </c>
      <c r="D67" s="810" t="s">
        <v>703</v>
      </c>
      <c r="E67" s="780" t="s">
        <v>704</v>
      </c>
      <c r="F67" s="790">
        <f ca="1">F40</f>
        <v>4.4999999999999998E-2</v>
      </c>
      <c r="K67" s="2080"/>
      <c r="O67" s="2416" t="s">
        <v>2378</v>
      </c>
      <c r="P67" s="2417" t="s">
        <v>2409</v>
      </c>
      <c r="Q67" s="2418">
        <f ca="1">L60</f>
        <v>0</v>
      </c>
      <c r="R67" s="2421" t="s">
        <v>2411</v>
      </c>
    </row>
    <row r="68" spans="1:18" ht="21.75" thickBot="1">
      <c r="A68" s="782"/>
      <c r="B68" s="783"/>
      <c r="C68" s="784"/>
      <c r="D68" s="817" t="s">
        <v>1808</v>
      </c>
      <c r="E68" s="780" t="s">
        <v>1784</v>
      </c>
      <c r="F68" s="818">
        <f ca="1">F41</f>
        <v>37.450000000000003</v>
      </c>
      <c r="O68" s="2419" t="s">
        <v>2380</v>
      </c>
      <c r="P68" s="2417" t="s">
        <v>2410</v>
      </c>
      <c r="Q68" s="2423">
        <f ca="1">L51</f>
        <v>-27013</v>
      </c>
      <c r="R68" s="2424" t="s">
        <v>2413</v>
      </c>
    </row>
    <row r="69" spans="1:18" ht="20.25" thickBot="1">
      <c r="A69" s="786"/>
      <c r="B69" s="787"/>
      <c r="C69" s="788"/>
      <c r="D69" s="812"/>
      <c r="E69" s="780" t="s">
        <v>709</v>
      </c>
      <c r="F69" s="2365"/>
      <c r="O69" s="2419" t="s">
        <v>2381</v>
      </c>
      <c r="P69" s="2425" t="s">
        <v>2395</v>
      </c>
      <c r="Q69" s="2418">
        <f ca="1">ROUND(Q70-Q71*Q72,0)</f>
        <v>-1365</v>
      </c>
      <c r="R69" s="2421"/>
    </row>
    <row r="70" spans="1:18" ht="15.75" thickBot="1">
      <c r="A70" s="819" t="s">
        <v>1787</v>
      </c>
      <c r="B70" s="820" t="s">
        <v>1810</v>
      </c>
      <c r="C70" s="821">
        <f ca="1">ROUND(C67*10000/F70,0)</f>
        <v>-741</v>
      </c>
      <c r="D70" s="822" t="s">
        <v>1811</v>
      </c>
      <c r="E70" s="823" t="s">
        <v>1812</v>
      </c>
      <c r="F70" s="824">
        <f ca="1">F43</f>
        <v>134025.01</v>
      </c>
      <c r="O70" s="2419" t="s">
        <v>2396</v>
      </c>
      <c r="P70" s="2425" t="s">
        <v>2397</v>
      </c>
      <c r="Q70" s="2418">
        <f ca="1">C39</f>
        <v>1460</v>
      </c>
      <c r="R70" s="2417" t="s">
        <v>2377</v>
      </c>
    </row>
    <row r="71" spans="1:18" ht="15.75" thickBot="1">
      <c r="O71" s="2419" t="s">
        <v>2398</v>
      </c>
      <c r="P71" s="2425" t="s">
        <v>2399</v>
      </c>
      <c r="Q71" s="2418">
        <f ca="1">C13</f>
        <v>33241</v>
      </c>
      <c r="R71" s="2417" t="s">
        <v>2377</v>
      </c>
    </row>
    <row r="72" spans="1:18" ht="15.75" thickBot="1">
      <c r="O72" s="2419" t="s">
        <v>2400</v>
      </c>
      <c r="P72" s="2425" t="s">
        <v>2401</v>
      </c>
      <c r="Q72" s="2420">
        <f ca="1">J36</f>
        <v>8.5000000000000006E-2</v>
      </c>
      <c r="R72" s="2421"/>
    </row>
    <row r="73" spans="1:18" ht="15.75" thickBot="1">
      <c r="O73" s="2419" t="s">
        <v>2383</v>
      </c>
      <c r="P73" s="2417" t="s">
        <v>2390</v>
      </c>
      <c r="Q73" s="2420">
        <f>L52</f>
        <v>0</v>
      </c>
      <c r="R73" s="2421"/>
    </row>
    <row r="74" spans="1:18" ht="20.25" thickBot="1">
      <c r="O74" s="2419" t="s">
        <v>2385</v>
      </c>
      <c r="P74" s="2417" t="s">
        <v>2391</v>
      </c>
      <c r="Q74" s="2418" t="e">
        <f ca="1">L58</f>
        <v>#DIV/0!</v>
      </c>
      <c r="R74" s="2421" t="s">
        <v>2392</v>
      </c>
    </row>
    <row r="75" spans="1:18" ht="15.75" thickBot="1">
      <c r="O75" s="2419" t="s">
        <v>2414</v>
      </c>
      <c r="P75" s="2417" t="str">
        <f>K59</f>
        <v>建设期及建筑物耐用年限下的土地年期修正系数Kn</v>
      </c>
      <c r="Q75" s="2418" t="e">
        <f ca="1">L59</f>
        <v>#DIV/0!</v>
      </c>
      <c r="R75" s="2421" t="s">
        <v>2394</v>
      </c>
    </row>
    <row r="76" spans="1:18" ht="15.75" thickBot="1">
      <c r="O76" s="2416" t="s">
        <v>2388</v>
      </c>
      <c r="P76" s="2417" t="s">
        <v>2405</v>
      </c>
      <c r="Q76" s="2418">
        <f ca="1">Q66+Q67</f>
        <v>40695</v>
      </c>
      <c r="R76" s="242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2469</v>
      </c>
      <c r="B1" s="3506"/>
      <c r="C1" s="3507"/>
      <c r="D1" s="3508">
        <f>SUM(I10,I15,I20,I21,I23)</f>
        <v>0</v>
      </c>
      <c r="E1" s="3508"/>
      <c r="F1" s="3508"/>
      <c r="G1" s="3508"/>
      <c r="H1" s="3508"/>
      <c r="I1" s="3509"/>
    </row>
    <row r="2" spans="1:9">
      <c r="A2" s="3495" t="s">
        <v>2470</v>
      </c>
      <c r="B2" s="3496" t="s">
        <v>2471</v>
      </c>
      <c r="C2" s="3496"/>
      <c r="D2" s="2525" t="s">
        <v>2472</v>
      </c>
      <c r="E2" s="2525" t="s">
        <v>2473</v>
      </c>
      <c r="F2" s="2525" t="s">
        <v>2474</v>
      </c>
      <c r="G2" s="2525" t="s">
        <v>2475</v>
      </c>
      <c r="H2" s="2525" t="s">
        <v>2476</v>
      </c>
      <c r="I2" s="2526" t="s">
        <v>2477</v>
      </c>
    </row>
    <row r="3" spans="1:9">
      <c r="A3" s="3495"/>
      <c r="B3" s="3496" t="s">
        <v>2478</v>
      </c>
      <c r="C3" s="3496"/>
      <c r="D3" s="2527"/>
      <c r="E3" s="2525"/>
      <c r="F3" s="2528"/>
      <c r="G3" s="2528"/>
      <c r="H3" s="2529"/>
      <c r="I3" s="2530">
        <f>ROUND(D3*E3*F3*G3*H3/10000,0)</f>
        <v>0</v>
      </c>
    </row>
    <row r="4" spans="1:9">
      <c r="A4" s="3495"/>
      <c r="B4" s="3496" t="s">
        <v>2479</v>
      </c>
      <c r="C4" s="3496"/>
      <c r="D4" s="2527"/>
      <c r="E4" s="2525"/>
      <c r="F4" s="2528"/>
      <c r="G4" s="2528"/>
      <c r="H4" s="2529"/>
      <c r="I4" s="2530">
        <f t="shared" ref="I4:I9" si="0">ROUND(D4*E4*F4*G4*H4/10000,0)</f>
        <v>0</v>
      </c>
    </row>
    <row r="5" spans="1:9">
      <c r="A5" s="3495"/>
      <c r="B5" s="3496" t="s">
        <v>2480</v>
      </c>
      <c r="C5" s="3496"/>
      <c r="D5" s="2527"/>
      <c r="E5" s="2525"/>
      <c r="F5" s="2528"/>
      <c r="G5" s="2528"/>
      <c r="H5" s="2529"/>
      <c r="I5" s="2530">
        <f t="shared" si="0"/>
        <v>0</v>
      </c>
    </row>
    <row r="6" spans="1:9">
      <c r="A6" s="3495"/>
      <c r="B6" s="3496" t="s">
        <v>2481</v>
      </c>
      <c r="C6" s="3496"/>
      <c r="D6" s="2527"/>
      <c r="E6" s="2525"/>
      <c r="F6" s="2528"/>
      <c r="G6" s="2528"/>
      <c r="H6" s="2529"/>
      <c r="I6" s="2530">
        <f t="shared" si="0"/>
        <v>0</v>
      </c>
    </row>
    <row r="7" spans="1:9">
      <c r="A7" s="3495"/>
      <c r="B7" s="3496" t="s">
        <v>2482</v>
      </c>
      <c r="C7" s="3496"/>
      <c r="D7" s="2527"/>
      <c r="E7" s="2525"/>
      <c r="F7" s="2528"/>
      <c r="G7" s="2528"/>
      <c r="H7" s="2529"/>
      <c r="I7" s="2530">
        <f t="shared" si="0"/>
        <v>0</v>
      </c>
    </row>
    <row r="8" spans="1:9">
      <c r="A8" s="3495"/>
      <c r="B8" s="3496" t="s">
        <v>2483</v>
      </c>
      <c r="C8" s="3496"/>
      <c r="D8" s="2527"/>
      <c r="E8" s="2525"/>
      <c r="F8" s="2528"/>
      <c r="G8" s="2528"/>
      <c r="H8" s="2529"/>
      <c r="I8" s="2530">
        <f t="shared" si="0"/>
        <v>0</v>
      </c>
    </row>
    <row r="9" spans="1:9">
      <c r="A9" s="3495"/>
      <c r="B9" s="3496" t="s">
        <v>2484</v>
      </c>
      <c r="C9" s="3496"/>
      <c r="D9" s="2527"/>
      <c r="E9" s="2525"/>
      <c r="F9" s="2528"/>
      <c r="G9" s="2528"/>
      <c r="H9" s="2529"/>
      <c r="I9" s="2530">
        <f t="shared" si="0"/>
        <v>0</v>
      </c>
    </row>
    <row r="10" spans="1:9">
      <c r="A10" s="3495"/>
      <c r="B10" s="3497" t="s">
        <v>2485</v>
      </c>
      <c r="C10" s="3497"/>
      <c r="D10" s="2531">
        <v>527</v>
      </c>
      <c r="E10" s="2531" t="e">
        <f>ROUND(D1*10000/D10/H9,0)</f>
        <v>#DIV/0!</v>
      </c>
      <c r="F10" s="2532"/>
      <c r="G10" s="2532"/>
      <c r="H10" s="2533"/>
      <c r="I10" s="2534">
        <f>SUM(I3:I9)</f>
        <v>0</v>
      </c>
    </row>
    <row r="11" spans="1:9" ht="14.25">
      <c r="A11" s="3495" t="s">
        <v>2486</v>
      </c>
      <c r="B11" s="3496" t="s">
        <v>2487</v>
      </c>
      <c r="C11" s="3496"/>
      <c r="D11" s="2527" t="s">
        <v>2488</v>
      </c>
      <c r="E11" s="2527" t="s">
        <v>2489</v>
      </c>
      <c r="F11" s="2528" t="s">
        <v>2490</v>
      </c>
      <c r="G11" s="2528" t="s">
        <v>2491</v>
      </c>
      <c r="H11" s="2535" t="s">
        <v>2492</v>
      </c>
      <c r="I11" s="2526" t="s">
        <v>2493</v>
      </c>
    </row>
    <row r="12" spans="1:9">
      <c r="A12" s="3495"/>
      <c r="B12" s="3496" t="s">
        <v>2494</v>
      </c>
      <c r="C12" s="3496"/>
      <c r="D12" s="2527"/>
      <c r="E12" s="2527"/>
      <c r="F12" s="2528"/>
      <c r="G12" s="2529"/>
      <c r="H12" s="2536"/>
      <c r="I12" s="2526">
        <f>ROUND(D12*E12*F12*G12/10000,0)</f>
        <v>0</v>
      </c>
    </row>
    <row r="13" spans="1:9">
      <c r="A13" s="3495"/>
      <c r="B13" s="3496" t="s">
        <v>2495</v>
      </c>
      <c r="C13" s="3496"/>
      <c r="D13" s="2527"/>
      <c r="E13" s="2527"/>
      <c r="F13" s="2528"/>
      <c r="G13" s="2529"/>
      <c r="H13" s="2536"/>
      <c r="I13" s="2526">
        <f>ROUND(D13*E13*F13*G13/10000,0)</f>
        <v>0</v>
      </c>
    </row>
    <row r="14" spans="1:9">
      <c r="A14" s="3495"/>
      <c r="B14" s="3496" t="s">
        <v>2496</v>
      </c>
      <c r="C14" s="3496"/>
      <c r="D14" s="2527"/>
      <c r="E14" s="2527"/>
      <c r="F14" s="2528"/>
      <c r="G14" s="2529"/>
      <c r="H14" s="2536"/>
      <c r="I14" s="2526">
        <f>ROUND(D14*E14*F14*G14/10000,0)</f>
        <v>0</v>
      </c>
    </row>
    <row r="15" spans="1:9">
      <c r="A15" s="3495"/>
      <c r="B15" s="3497" t="s">
        <v>2485</v>
      </c>
      <c r="C15" s="3497"/>
      <c r="D15" s="2531"/>
      <c r="E15" s="2531">
        <f>SUM(E12:E14)</f>
        <v>0</v>
      </c>
      <c r="F15" s="2532"/>
      <c r="G15" s="2529"/>
      <c r="H15" s="2536"/>
      <c r="I15" s="2537">
        <f>SUM(I12:I14)</f>
        <v>0</v>
      </c>
    </row>
    <row r="16" spans="1:9" ht="24">
      <c r="A16" s="3495" t="s">
        <v>2497</v>
      </c>
      <c r="B16" s="3496" t="s">
        <v>2498</v>
      </c>
      <c r="C16" s="3496"/>
      <c r="D16" s="2527" t="s">
        <v>2499</v>
      </c>
      <c r="E16" s="2538" t="s">
        <v>2500</v>
      </c>
      <c r="F16" s="2528" t="s">
        <v>2501</v>
      </c>
      <c r="G16" s="2529" t="s">
        <v>2491</v>
      </c>
      <c r="H16" s="2535" t="s">
        <v>2492</v>
      </c>
      <c r="I16" s="2526" t="s">
        <v>2493</v>
      </c>
    </row>
    <row r="17" spans="1:9" ht="14.25">
      <c r="A17" s="3495"/>
      <c r="B17" s="3496" t="s">
        <v>2502</v>
      </c>
      <c r="C17" s="3496"/>
      <c r="D17" s="2527"/>
      <c r="E17" s="2527"/>
      <c r="F17" s="2528"/>
      <c r="G17" s="2529"/>
      <c r="H17" s="2539"/>
      <c r="I17" s="2540">
        <f>ROUND(D17*E17*F17*G17/10000,0)</f>
        <v>0</v>
      </c>
    </row>
    <row r="18" spans="1:9" ht="14.25">
      <c r="A18" s="3495"/>
      <c r="B18" s="3496" t="s">
        <v>2503</v>
      </c>
      <c r="C18" s="3496"/>
      <c r="D18" s="2527"/>
      <c r="E18" s="2527"/>
      <c r="F18" s="2528"/>
      <c r="G18" s="2529"/>
      <c r="H18" s="2539"/>
      <c r="I18" s="2540">
        <f>ROUND(D18*E18*F18*G18/10000,0)</f>
        <v>0</v>
      </c>
    </row>
    <row r="19" spans="1:9" ht="14.25">
      <c r="A19" s="3495"/>
      <c r="B19" s="3496" t="s">
        <v>2504</v>
      </c>
      <c r="C19" s="3496"/>
      <c r="D19" s="2527"/>
      <c r="E19" s="2527"/>
      <c r="F19" s="2528"/>
      <c r="G19" s="2529"/>
      <c r="H19" s="2539"/>
      <c r="I19" s="2540">
        <f>ROUND(D19*E19*F19*G19/10000,0)</f>
        <v>0</v>
      </c>
    </row>
    <row r="20" spans="1:9">
      <c r="A20" s="3495"/>
      <c r="B20" s="3497" t="s">
        <v>2485</v>
      </c>
      <c r="C20" s="3497"/>
      <c r="D20" s="2531">
        <f>SUM(D17:D19)</f>
        <v>0</v>
      </c>
      <c r="E20" s="2531"/>
      <c r="F20" s="2532"/>
      <c r="G20" s="2529"/>
      <c r="H20" s="2536"/>
      <c r="I20" s="2537">
        <f>SUM(I17:I19)</f>
        <v>0</v>
      </c>
    </row>
    <row r="21" spans="1:9">
      <c r="A21" s="3495" t="s">
        <v>2505</v>
      </c>
      <c r="B21" s="3498"/>
      <c r="C21" s="3498"/>
      <c r="D21" s="3498"/>
      <c r="E21" s="3498"/>
      <c r="F21" s="3498"/>
      <c r="G21" s="3498"/>
      <c r="H21" s="2541">
        <v>0.1</v>
      </c>
      <c r="I21" s="2534">
        <f>ROUND(I10*H21,0)</f>
        <v>0</v>
      </c>
    </row>
    <row r="22" spans="1:9" ht="14.25">
      <c r="A22" s="3499" t="s">
        <v>2506</v>
      </c>
      <c r="B22" s="3500"/>
      <c r="C22" s="3501"/>
      <c r="D22" s="2542" t="s">
        <v>2507</v>
      </c>
      <c r="E22" s="2542" t="s">
        <v>2508</v>
      </c>
      <c r="F22" s="2543" t="s">
        <v>2509</v>
      </c>
      <c r="G22" s="2543" t="s">
        <v>2510</v>
      </c>
      <c r="H22" s="2535" t="s">
        <v>2511</v>
      </c>
      <c r="I22" s="2526" t="s">
        <v>2512</v>
      </c>
    </row>
    <row r="23" spans="1:9" ht="14.25" thickBot="1">
      <c r="A23" s="3502"/>
      <c r="B23" s="3503"/>
      <c r="C23" s="3504"/>
      <c r="D23" s="2544"/>
      <c r="E23" s="2544"/>
      <c r="F23" s="2544"/>
      <c r="G23" s="2545"/>
      <c r="H23" s="2546"/>
      <c r="I23" s="2547">
        <f>ROUND(E23*D23*F23*(1-G23)/10000,0)</f>
        <v>0</v>
      </c>
    </row>
    <row r="26" spans="1:9">
      <c r="A26" s="2548" t="s">
        <v>2513</v>
      </c>
      <c r="B26" s="2548"/>
      <c r="C26" s="2548"/>
      <c r="D26" s="2548"/>
      <c r="E26" s="3492">
        <f>C27-C30-C31-C32</f>
        <v>0</v>
      </c>
      <c r="F26" s="3492"/>
      <c r="G26" s="3492"/>
      <c r="H26" s="3062" t="s">
        <v>2841</v>
      </c>
    </row>
    <row r="27" spans="1:9">
      <c r="A27" s="2549">
        <v>1</v>
      </c>
      <c r="B27" s="2550" t="s">
        <v>2514</v>
      </c>
      <c r="C27" s="2550"/>
      <c r="D27" s="2550"/>
      <c r="E27" s="3493"/>
      <c r="F27" s="3493"/>
      <c r="G27" s="3493"/>
    </row>
    <row r="28" spans="1:9">
      <c r="A28" s="2551" t="s">
        <v>2515</v>
      </c>
      <c r="B28" s="2550" t="s">
        <v>2516</v>
      </c>
      <c r="C28" s="2550"/>
      <c r="D28" s="2550"/>
      <c r="E28" s="3493"/>
      <c r="F28" s="3493"/>
      <c r="G28" s="3493"/>
    </row>
    <row r="29" spans="1:9">
      <c r="A29" s="2551" t="s">
        <v>2517</v>
      </c>
      <c r="B29" s="2550" t="s">
        <v>2457</v>
      </c>
      <c r="C29" s="2550"/>
      <c r="D29" s="2550"/>
      <c r="E29" s="2550" t="s">
        <v>2518</v>
      </c>
      <c r="F29" s="2550"/>
      <c r="G29" s="2550"/>
    </row>
    <row r="30" spans="1:9">
      <c r="A30" s="2549">
        <v>2</v>
      </c>
      <c r="B30" s="2550" t="s">
        <v>2519</v>
      </c>
      <c r="C30" s="2550">
        <f>C27*D30</f>
        <v>0</v>
      </c>
      <c r="D30" s="2552">
        <v>0.2</v>
      </c>
      <c r="E30" s="2550" t="s">
        <v>2520</v>
      </c>
      <c r="F30" s="2550"/>
      <c r="G30" s="2550"/>
    </row>
    <row r="31" spans="1:9">
      <c r="A31" s="2549">
        <v>3</v>
      </c>
      <c r="B31" s="2550" t="s">
        <v>2521</v>
      </c>
      <c r="C31" s="2550">
        <f>C25*D31</f>
        <v>0</v>
      </c>
      <c r="D31" s="2552">
        <v>0.15</v>
      </c>
      <c r="E31" s="2550" t="s">
        <v>2522</v>
      </c>
      <c r="F31" s="2550"/>
      <c r="G31" s="2550"/>
    </row>
    <row r="32" spans="1:9">
      <c r="A32" s="2549">
        <v>4</v>
      </c>
      <c r="B32" s="2550" t="s">
        <v>2523</v>
      </c>
      <c r="C32" s="2550">
        <f>C27*D32</f>
        <v>0</v>
      </c>
      <c r="D32" s="2552">
        <v>0.05</v>
      </c>
      <c r="E32" s="3494"/>
      <c r="F32" s="3494"/>
      <c r="G32" s="3494"/>
    </row>
    <row r="33" spans="1:7" hidden="1">
      <c r="A33" s="3489" t="s">
        <v>2524</v>
      </c>
      <c r="B33" s="3490"/>
      <c r="C33" s="3490"/>
      <c r="D33" s="3491"/>
      <c r="E33" s="3492"/>
      <c r="F33" s="3492"/>
      <c r="G33" s="3492"/>
    </row>
    <row r="34" spans="1:7" hidden="1">
      <c r="A34" s="2553">
        <v>1</v>
      </c>
      <c r="B34" s="2550" t="s">
        <v>2525</v>
      </c>
      <c r="C34" s="2550"/>
      <c r="D34" s="2550"/>
      <c r="E34" s="3493"/>
      <c r="F34" s="3493"/>
      <c r="G34" s="3493"/>
    </row>
    <row r="35" spans="1:7" hidden="1">
      <c r="A35" s="2553">
        <v>2</v>
      </c>
      <c r="B35" s="2550" t="s">
        <v>2526</v>
      </c>
      <c r="C35" s="2550"/>
      <c r="D35" s="2550"/>
      <c r="E35" s="3493"/>
      <c r="F35" s="3493"/>
      <c r="G35" s="3493"/>
    </row>
    <row r="36" spans="1:7" hidden="1">
      <c r="A36" s="2553">
        <v>3</v>
      </c>
      <c r="B36" s="2550" t="s">
        <v>2527</v>
      </c>
      <c r="C36" s="2550"/>
      <c r="D36" s="2550"/>
      <c r="E36" s="3493"/>
      <c r="F36" s="3493"/>
      <c r="G36" s="3493"/>
    </row>
    <row r="37" spans="1:7" hidden="1">
      <c r="A37" s="2553">
        <v>4</v>
      </c>
      <c r="B37" s="2550" t="s">
        <v>2528</v>
      </c>
      <c r="C37" s="2550"/>
      <c r="D37" s="2550"/>
      <c r="E37" s="3493"/>
      <c r="F37" s="3493"/>
      <c r="G37" s="3493"/>
    </row>
    <row r="38" spans="1:7" hidden="1">
      <c r="A38" s="3489" t="s">
        <v>2529</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7" t="s">
        <v>602</v>
      </c>
      <c r="B1" s="738"/>
      <c r="C1" s="2176"/>
      <c r="D1" s="2176"/>
      <c r="E1" s="2176"/>
      <c r="F1" s="2176"/>
      <c r="G1" s="2102"/>
    </row>
    <row r="2" spans="1:25" s="2053" customFormat="1" ht="18" customHeight="1">
      <c r="A2" s="419" t="s">
        <v>466</v>
      </c>
      <c r="B2" s="421">
        <f ca="1">C23</f>
        <v>0</v>
      </c>
      <c r="C2" s="2102"/>
      <c r="D2" s="2102"/>
      <c r="E2" s="2102"/>
      <c r="F2" s="2102"/>
      <c r="G2" s="2102"/>
    </row>
    <row r="3" spans="1:25" s="2053" customFormat="1" ht="18" customHeight="1">
      <c r="A3" s="1374" t="s">
        <v>1685</v>
      </c>
      <c r="B3" s="421">
        <f ca="1">ROUND(B2*10000/'数据-汇总表'!E3,0)</f>
        <v>0</v>
      </c>
      <c r="C3" s="2102"/>
      <c r="D3" s="2102"/>
      <c r="E3" s="2102"/>
      <c r="F3" s="2102"/>
      <c r="G3" s="2102"/>
    </row>
    <row r="4" spans="1:25" s="2053" customFormat="1" ht="18" customHeight="1">
      <c r="A4" s="422" t="s">
        <v>467</v>
      </c>
      <c r="B4" s="423">
        <f ca="1">ROUND(B2*10000/'数据-汇总表'!D3,0)</f>
        <v>0</v>
      </c>
      <c r="C4" s="2055"/>
      <c r="D4" s="2102"/>
      <c r="E4" s="2102"/>
      <c r="F4" s="2102"/>
      <c r="G4" s="2102"/>
    </row>
    <row r="5" spans="1:25" s="2053" customFormat="1" ht="18" customHeight="1" thickBot="1">
      <c r="A5" s="425"/>
      <c r="B5" s="426">
        <f ca="1">ROUND(B2/('数据-汇总表'!D3/666.67),0)</f>
        <v>0</v>
      </c>
      <c r="C5" s="427" t="s">
        <v>468</v>
      </c>
      <c r="D5" s="2102"/>
      <c r="E5" s="2102"/>
      <c r="F5" s="2102"/>
      <c r="G5" s="2102"/>
    </row>
    <row r="6" spans="1:25" s="2177" customFormat="1" ht="13.5" customHeight="1">
      <c r="A6" s="739"/>
      <c r="B6" s="740" t="s">
        <v>603</v>
      </c>
      <c r="C6" s="741" t="s">
        <v>604</v>
      </c>
      <c r="D6" s="741" t="s">
        <v>605</v>
      </c>
      <c r="E6" s="742" t="s">
        <v>606</v>
      </c>
      <c r="F6" s="742" t="s">
        <v>607</v>
      </c>
      <c r="G6" s="743"/>
    </row>
    <row r="7" spans="1:25" s="2177" customFormat="1" ht="13.5" customHeight="1">
      <c r="A7" s="2487">
        <v>1</v>
      </c>
      <c r="B7" s="744" t="s">
        <v>608</v>
      </c>
      <c r="C7" s="745">
        <f>C8+C9</f>
        <v>0</v>
      </c>
      <c r="D7" s="745"/>
      <c r="E7" s="746"/>
      <c r="F7" s="746"/>
      <c r="G7" s="2497"/>
    </row>
    <row r="8" spans="1:25" s="2177" customFormat="1" ht="13.5" customHeight="1">
      <c r="A8" s="2487" t="s">
        <v>2437</v>
      </c>
      <c r="B8" s="2490" t="s">
        <v>2439</v>
      </c>
      <c r="C8" s="2491"/>
      <c r="D8" s="745"/>
      <c r="E8" s="746"/>
      <c r="F8" s="746"/>
      <c r="G8" s="747"/>
    </row>
    <row r="9" spans="1:25" s="2177" customFormat="1" ht="13.5" customHeight="1">
      <c r="A9" s="2487" t="s">
        <v>2438</v>
      </c>
      <c r="B9" s="2490" t="s">
        <v>2440</v>
      </c>
      <c r="C9" s="2491"/>
      <c r="D9" s="745"/>
      <c r="E9" s="746"/>
      <c r="F9" s="746"/>
      <c r="G9" s="747"/>
    </row>
    <row r="10" spans="1:25" s="2177" customFormat="1" ht="36">
      <c r="A10" s="2487">
        <v>2</v>
      </c>
      <c r="B10" s="744" t="s">
        <v>612</v>
      </c>
      <c r="C10" s="745">
        <f>C11+C14+C15</f>
        <v>0</v>
      </c>
      <c r="D10" s="756">
        <f>'数据-汇总表'!E3</f>
        <v>529172.31000000006</v>
      </c>
      <c r="E10" s="745">
        <f>'数据-取费表'!B31</f>
        <v>50</v>
      </c>
      <c r="F10" s="757"/>
      <c r="G10" s="755" t="s">
        <v>613</v>
      </c>
    </row>
    <row r="11" spans="1:25" s="2177" customFormat="1" ht="13.5" customHeight="1">
      <c r="A11" s="2487" t="s">
        <v>2437</v>
      </c>
      <c r="B11" s="748" t="s">
        <v>609</v>
      </c>
      <c r="C11" s="749">
        <f>'数据-取费表'!B29</f>
        <v>0</v>
      </c>
      <c r="D11" s="750"/>
      <c r="E11" s="749"/>
      <c r="F11" s="751"/>
      <c r="G11" s="2496" t="s">
        <v>2448</v>
      </c>
    </row>
    <row r="12" spans="1:25" s="2177" customFormat="1" ht="13.5" customHeight="1">
      <c r="A12" s="2494" t="s">
        <v>2445</v>
      </c>
      <c r="B12" s="752" t="s">
        <v>610</v>
      </c>
      <c r="C12" s="753">
        <f>ROUND(D12*E12/10000,0)</f>
        <v>3707</v>
      </c>
      <c r="D12" s="754">
        <f>'数据-汇总表'!E5</f>
        <v>370740</v>
      </c>
      <c r="E12" s="753">
        <f>'数据-取费表'!B27</f>
        <v>100</v>
      </c>
      <c r="F12" s="751"/>
      <c r="G12" s="755"/>
    </row>
    <row r="13" spans="1:25" s="2177" customFormat="1" ht="13.5" customHeight="1">
      <c r="A13" s="2494" t="s">
        <v>2444</v>
      </c>
      <c r="B13" s="752" t="s">
        <v>611</v>
      </c>
      <c r="C13" s="753">
        <f>ROUND(D13*E13/10000,0)</f>
        <v>1584</v>
      </c>
      <c r="D13" s="754">
        <f>'数据-汇总表'!E6</f>
        <v>158432.31000000006</v>
      </c>
      <c r="E13" s="753">
        <f>'数据-取费表'!B28</f>
        <v>100</v>
      </c>
      <c r="F13" s="751"/>
      <c r="G13" s="755"/>
    </row>
    <row r="14" spans="1:25" s="2177" customFormat="1" ht="13.5" customHeight="1">
      <c r="A14" s="2487" t="s">
        <v>2438</v>
      </c>
      <c r="B14" s="2493" t="s">
        <v>2441</v>
      </c>
      <c r="C14" s="2491"/>
      <c r="D14" s="754"/>
      <c r="E14" s="753"/>
      <c r="F14" s="2492"/>
      <c r="G14" s="2495" t="s">
        <v>2446</v>
      </c>
    </row>
    <row r="15" spans="1:25" s="2177" customFormat="1" ht="13.5" customHeight="1">
      <c r="A15" s="2487" t="s">
        <v>2443</v>
      </c>
      <c r="B15" s="2493" t="s">
        <v>2442</v>
      </c>
      <c r="C15" s="2491"/>
      <c r="D15" s="754"/>
      <c r="E15" s="753"/>
      <c r="F15" s="2492"/>
      <c r="G15" s="2495" t="s">
        <v>2447</v>
      </c>
    </row>
    <row r="16" spans="1:25" s="2178" customFormat="1" ht="48">
      <c r="A16" s="2487">
        <v>3</v>
      </c>
      <c r="B16" s="744" t="s">
        <v>614</v>
      </c>
      <c r="C16" s="2491"/>
      <c r="D16" s="756"/>
      <c r="E16" s="745"/>
      <c r="F16" s="757"/>
      <c r="G16" s="755" t="s">
        <v>2449</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615</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616</v>
      </c>
      <c r="C18" s="745">
        <f>ROUND((C7+C10+C16)*F18,0)</f>
        <v>0</v>
      </c>
      <c r="D18" s="758"/>
      <c r="E18" s="759"/>
      <c r="F18" s="757">
        <f>'数据-取费表'!Q16</f>
        <v>0.04</v>
      </c>
      <c r="G18" s="761" t="s">
        <v>617</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618</v>
      </c>
      <c r="C19" s="745">
        <f ca="1">C7+C10+C16+C17+C18</f>
        <v>0</v>
      </c>
      <c r="D19" s="756"/>
      <c r="E19" s="745"/>
      <c r="F19" s="757"/>
      <c r="G19" s="761" t="s">
        <v>619</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620</v>
      </c>
      <c r="C20" s="745">
        <f ca="1">ROUND(C19*F20,0)</f>
        <v>0</v>
      </c>
      <c r="D20" s="756"/>
      <c r="E20" s="745"/>
      <c r="F20" s="1344"/>
      <c r="G20" s="761" t="s">
        <v>621</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622</v>
      </c>
      <c r="C21" s="745">
        <f ca="1">C19+C20</f>
        <v>0</v>
      </c>
      <c r="D21" s="756"/>
      <c r="E21" s="745"/>
      <c r="F21" s="757"/>
      <c r="G21" s="761" t="s">
        <v>623</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624</v>
      </c>
      <c r="C22" s="745">
        <f ca="1">ROUND(C21*F22,0)</f>
        <v>0</v>
      </c>
      <c r="D22" s="756"/>
      <c r="E22" s="745"/>
      <c r="F22" s="762">
        <f>'数据-取费表'!AP16</f>
        <v>0.89600000000000002</v>
      </c>
      <c r="G22" s="761" t="s">
        <v>625</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626</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776</v>
      </c>
      <c r="C1" s="500" t="s">
        <v>719</v>
      </c>
      <c r="D1" s="845"/>
      <c r="E1" s="502"/>
      <c r="F1" s="2825"/>
      <c r="G1" s="1596" t="s">
        <v>720</v>
      </c>
      <c r="H1" s="502"/>
      <c r="I1" s="502"/>
      <c r="J1" s="502"/>
      <c r="K1" s="503"/>
      <c r="L1" s="1557"/>
      <c r="M1" s="1558"/>
      <c r="N1" s="1558"/>
      <c r="O1" s="1558"/>
      <c r="P1" s="2201"/>
      <c r="Q1" s="1559"/>
      <c r="R1" s="1559"/>
      <c r="S1" s="1559"/>
      <c r="T1" s="1559"/>
      <c r="U1" s="1559"/>
      <c r="V1" s="1559"/>
      <c r="W1" s="1559"/>
      <c r="X1" s="1559"/>
      <c r="Y1" s="1559"/>
      <c r="Z1" s="1559"/>
      <c r="AA1" s="1559"/>
      <c r="AB1" s="1559"/>
      <c r="AC1" s="1560"/>
    </row>
    <row r="2" spans="1:29" s="1331" customFormat="1" ht="28.5" customHeight="1">
      <c r="A2" s="419" t="s">
        <v>466</v>
      </c>
      <c r="B2" s="846"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1" customFormat="1" ht="28.5" customHeight="1" thickBot="1">
      <c r="A3" s="505" t="s">
        <v>518</v>
      </c>
      <c r="B3" s="506" t="e">
        <f>C50</f>
        <v>#DIV/0!</v>
      </c>
      <c r="C3" s="848" t="s">
        <v>721</v>
      </c>
      <c r="D3" s="847">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8" t="s">
        <v>520</v>
      </c>
      <c r="B4" s="509"/>
      <c r="C4" s="3410" t="s">
        <v>521</v>
      </c>
      <c r="D4" s="3411"/>
      <c r="E4" s="3434" t="s">
        <v>522</v>
      </c>
      <c r="F4" s="3435"/>
      <c r="G4" s="3410" t="s">
        <v>523</v>
      </c>
      <c r="H4" s="3411"/>
      <c r="I4" s="3410" t="s">
        <v>524</v>
      </c>
      <c r="J4" s="3411"/>
      <c r="K4" s="510" t="s">
        <v>525</v>
      </c>
      <c r="L4" s="2127"/>
      <c r="M4" s="2128"/>
      <c r="N4" s="2128"/>
      <c r="O4" s="2128"/>
      <c r="P4" s="3510" t="s">
        <v>526</v>
      </c>
      <c r="Q4" s="3413"/>
      <c r="R4" s="3398" t="s">
        <v>522</v>
      </c>
      <c r="S4" s="3399"/>
      <c r="T4" s="3398" t="s">
        <v>523</v>
      </c>
      <c r="U4" s="3399"/>
      <c r="V4" s="3418" t="s">
        <v>524</v>
      </c>
      <c r="W4" s="3418"/>
      <c r="X4" s="1562"/>
      <c r="Y4" s="3398" t="s">
        <v>526</v>
      </c>
      <c r="Z4" s="3399"/>
      <c r="AA4" s="3393" t="s">
        <v>522</v>
      </c>
      <c r="AB4" s="3393" t="s">
        <v>523</v>
      </c>
      <c r="AC4" s="3393" t="s">
        <v>524</v>
      </c>
    </row>
    <row r="5" spans="1:29" ht="15">
      <c r="A5" s="511"/>
      <c r="B5" s="512"/>
      <c r="C5" s="3421" t="s">
        <v>2916</v>
      </c>
      <c r="D5" s="3422"/>
      <c r="E5" s="3436" t="s">
        <v>2917</v>
      </c>
      <c r="F5" s="3437"/>
      <c r="G5" s="3421" t="s">
        <v>2918</v>
      </c>
      <c r="H5" s="3422"/>
      <c r="I5" s="3421" t="s">
        <v>2919</v>
      </c>
      <c r="J5" s="3422"/>
      <c r="K5" s="510"/>
      <c r="L5" s="2127"/>
      <c r="M5" s="2128"/>
      <c r="N5" s="2128"/>
      <c r="O5" s="2128"/>
      <c r="P5" s="3511"/>
      <c r="Q5" s="3415"/>
      <c r="R5" s="3400"/>
      <c r="S5" s="3401"/>
      <c r="T5" s="3400"/>
      <c r="U5" s="3401"/>
      <c r="V5" s="3418"/>
      <c r="W5" s="3418"/>
      <c r="X5" s="1562"/>
      <c r="Y5" s="3400"/>
      <c r="Z5" s="3401"/>
      <c r="AA5" s="3394"/>
      <c r="AB5" s="3394"/>
      <c r="AC5" s="3394"/>
    </row>
    <row r="6" spans="1:29" ht="15.75" thickBot="1">
      <c r="A6" s="513"/>
      <c r="B6" s="514"/>
      <c r="C6" s="3419" t="s">
        <v>2920</v>
      </c>
      <c r="D6" s="3420"/>
      <c r="E6" s="3438" t="s">
        <v>2920</v>
      </c>
      <c r="F6" s="3439"/>
      <c r="G6" s="3419" t="s">
        <v>2920</v>
      </c>
      <c r="H6" s="3420"/>
      <c r="I6" s="3419" t="s">
        <v>2920</v>
      </c>
      <c r="J6" s="3420"/>
      <c r="K6" s="510" t="s">
        <v>527</v>
      </c>
      <c r="L6" s="2127"/>
      <c r="M6" s="2128"/>
      <c r="N6" s="2128"/>
      <c r="O6" s="2128"/>
      <c r="P6" s="3512"/>
      <c r="Q6" s="3417"/>
      <c r="R6" s="3400"/>
      <c r="S6" s="3401"/>
      <c r="T6" s="3402"/>
      <c r="U6" s="3403"/>
      <c r="V6" s="3418"/>
      <c r="W6" s="3418"/>
      <c r="X6" s="1562"/>
      <c r="Y6" s="3402"/>
      <c r="Z6" s="3403"/>
      <c r="AA6" s="3395"/>
      <c r="AB6" s="3395"/>
      <c r="AC6" s="3395"/>
    </row>
    <row r="7" spans="1:29" s="1215" customFormat="1" ht="15.75" thickBot="1">
      <c r="A7" s="2930"/>
      <c r="B7" s="2937" t="s">
        <v>528</v>
      </c>
      <c r="C7" s="515">
        <f>'数据-取费表'!B2</f>
        <v>43182</v>
      </c>
      <c r="D7" s="516">
        <v>100</v>
      </c>
      <c r="E7" s="517"/>
      <c r="F7" s="518">
        <f>SUMIF(59:59,YEAR(E7)&amp;"-"&amp;MONTH(E7),60:60)</f>
        <v>0</v>
      </c>
      <c r="G7" s="517"/>
      <c r="H7" s="516">
        <f>SUMIF(59:59,YEAR(G7)&amp;"-"&amp;MONTH(G7),60:60)</f>
        <v>0</v>
      </c>
      <c r="I7" s="517"/>
      <c r="J7" s="516">
        <f>SUMIF(59:59,YEAR(I7)&amp;"-"&amp;MONTH(I7),60:60)</f>
        <v>0</v>
      </c>
      <c r="K7" s="520"/>
      <c r="L7" s="2129"/>
      <c r="M7" s="2130"/>
      <c r="N7" s="2130"/>
      <c r="O7" s="2130"/>
      <c r="P7" s="3405" t="s">
        <v>529</v>
      </c>
      <c r="Q7" s="3405"/>
      <c r="R7" s="1563" t="s">
        <v>8</v>
      </c>
      <c r="S7" s="1564">
        <f t="shared" ref="S7:S15" si="0">F7</f>
        <v>0</v>
      </c>
      <c r="T7" s="1563" t="s">
        <v>8</v>
      </c>
      <c r="U7" s="1564">
        <f t="shared" ref="U7:U15" si="1">H7</f>
        <v>0</v>
      </c>
      <c r="V7" s="1563" t="s">
        <v>8</v>
      </c>
      <c r="W7" s="1564">
        <f t="shared" ref="W7:W15" si="2">J7</f>
        <v>0</v>
      </c>
      <c r="X7" s="1565"/>
      <c r="Y7" s="3396" t="s">
        <v>529</v>
      </c>
      <c r="Z7" s="3397"/>
      <c r="AA7" s="1566" t="e">
        <f>D7/F7</f>
        <v>#DIV/0!</v>
      </c>
      <c r="AB7" s="1566" t="e">
        <f>D7/H7</f>
        <v>#DIV/0!</v>
      </c>
      <c r="AC7" s="1566" t="e">
        <f>D7/J7</f>
        <v>#DIV/0!</v>
      </c>
    </row>
    <row r="8" spans="1:29" s="1215" customFormat="1" ht="15.75" thickBot="1">
      <c r="A8" s="2931"/>
      <c r="B8" s="2938" t="s">
        <v>530</v>
      </c>
      <c r="C8" s="521" t="s">
        <v>575</v>
      </c>
      <c r="D8" s="516">
        <v>100</v>
      </c>
      <c r="E8" s="521"/>
      <c r="F8" s="518">
        <f>SUMIF(62:62,E8,63:63)-SUMIF(62:62,C8,63:63)+100</f>
        <v>0</v>
      </c>
      <c r="G8" s="521"/>
      <c r="H8" s="516">
        <f>SUMIF(62:62,G8,63:63)-SUMIF(62:62,C8,63:63)+100</f>
        <v>0</v>
      </c>
      <c r="I8" s="521"/>
      <c r="J8" s="516">
        <f>SUMIF(62:62,I8,63:63)-SUMIF(62:62,C8,63:63)+100</f>
        <v>0</v>
      </c>
      <c r="K8" s="520"/>
      <c r="L8" s="2129"/>
      <c r="M8" s="2130"/>
      <c r="N8" s="2130"/>
      <c r="O8" s="2130"/>
      <c r="P8" s="3405" t="s">
        <v>532</v>
      </c>
      <c r="Q8" s="3397"/>
      <c r="R8" s="1563" t="s">
        <v>8</v>
      </c>
      <c r="S8" s="1564">
        <f t="shared" si="0"/>
        <v>0</v>
      </c>
      <c r="T8" s="1563" t="s">
        <v>8</v>
      </c>
      <c r="U8" s="1564">
        <f t="shared" si="1"/>
        <v>0</v>
      </c>
      <c r="V8" s="1563" t="s">
        <v>8</v>
      </c>
      <c r="W8" s="1564">
        <f t="shared" si="2"/>
        <v>0</v>
      </c>
      <c r="X8" s="1565"/>
      <c r="Y8" s="3396" t="s">
        <v>532</v>
      </c>
      <c r="Z8" s="3397"/>
      <c r="AA8" s="1566" t="e">
        <f t="shared" ref="AA8:AA47" si="3">D8/F8</f>
        <v>#DIV/0!</v>
      </c>
      <c r="AB8" s="1566" t="e">
        <f t="shared" ref="AB8:AB47" si="4">D8/H8</f>
        <v>#DIV/0!</v>
      </c>
      <c r="AC8" s="1566" t="e">
        <f t="shared" ref="AC8:AC47" si="5">D8/J8</f>
        <v>#DIV/0!</v>
      </c>
    </row>
    <row r="9" spans="1:29" s="1215" customFormat="1" ht="15">
      <c r="A9" s="2932"/>
      <c r="B9" s="2939" t="s">
        <v>2754</v>
      </c>
      <c r="C9" s="853"/>
      <c r="D9" s="252">
        <v>100</v>
      </c>
      <c r="E9" s="856"/>
      <c r="F9" s="252">
        <f>SUMIF(64:64,E9,65:65)-SUMIF(64:64,C9,65:65)+100</f>
        <v>100</v>
      </c>
      <c r="G9" s="854"/>
      <c r="H9" s="252">
        <f>SUMIF(64:64,G9,65:65)-SUMIF(64:64,C9,65:65)+100</f>
        <v>100</v>
      </c>
      <c r="I9" s="854"/>
      <c r="J9" s="252">
        <f>SUMIF(64:64,I9,65:65)-SUMIF(64:64,C9,65:65)+100</f>
        <v>100</v>
      </c>
      <c r="K9" s="520"/>
      <c r="L9" s="2129"/>
      <c r="M9" s="2130"/>
      <c r="N9" s="2130"/>
      <c r="O9" s="2130"/>
      <c r="P9" s="3404" t="s">
        <v>534</v>
      </c>
      <c r="Q9" s="1146" t="str">
        <f t="shared" ref="Q9:Q15" si="6">B9</f>
        <v>用途</v>
      </c>
      <c r="R9" s="1563" t="s">
        <v>8</v>
      </c>
      <c r="S9" s="1564">
        <f t="shared" si="0"/>
        <v>100</v>
      </c>
      <c r="T9" s="1563" t="s">
        <v>8</v>
      </c>
      <c r="U9" s="1564">
        <f t="shared" si="1"/>
        <v>100</v>
      </c>
      <c r="V9" s="1563" t="s">
        <v>8</v>
      </c>
      <c r="W9" s="1564">
        <f t="shared" si="2"/>
        <v>100</v>
      </c>
      <c r="X9" s="1565"/>
      <c r="Y9" s="3361"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SUMIF(66:66,E10,67:67)-SUMIF(66:66,C10,67:67)+100</f>
        <v>100</v>
      </c>
      <c r="G10" s="858"/>
      <c r="H10" s="253">
        <f>SUMIF(66:66,G10,67:67)-SUMIF(66:66,C10,67:67)+100</f>
        <v>100</v>
      </c>
      <c r="I10" s="857"/>
      <c r="J10" s="253">
        <f>SUMIF(66:66,I10,67:67)-SUMIF(66:66,C10,67:67)+100</f>
        <v>100</v>
      </c>
      <c r="K10" s="580"/>
      <c r="L10" s="2132"/>
      <c r="M10" s="2172"/>
      <c r="N10" s="2172"/>
      <c r="O10" s="2172"/>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4"/>
      <c r="M11" s="2128"/>
      <c r="N11" s="2128"/>
      <c r="O11" s="2128"/>
      <c r="P11" s="3404"/>
      <c r="Q11" s="1146" t="str">
        <f t="shared" si="6"/>
        <v>容积率</v>
      </c>
      <c r="R11" s="1563" t="s">
        <v>8</v>
      </c>
      <c r="S11" s="1564" t="e">
        <f t="shared" si="0"/>
        <v>#N/A</v>
      </c>
      <c r="T11" s="1563" t="s">
        <v>8</v>
      </c>
      <c r="U11" s="1564" t="e">
        <f t="shared" si="1"/>
        <v>#N/A</v>
      </c>
      <c r="V11" s="1563" t="s">
        <v>8</v>
      </c>
      <c r="W11" s="1564" t="e">
        <f t="shared" si="2"/>
        <v>#N/A</v>
      </c>
      <c r="X11" s="1565"/>
      <c r="Y11" s="3361"/>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3">
        <f>SUMIF(71:71,E12,72:72)-SUMIF(71:71,C12,72:72)+100</f>
        <v>100</v>
      </c>
      <c r="G12" s="905"/>
      <c r="H12" s="253">
        <f>SUMIF(71:71,G12,72:72)-SUMIF(71:71,C12,72:72)+100</f>
        <v>100</v>
      </c>
      <c r="I12" s="524"/>
      <c r="J12" s="253">
        <f>SUMIF(71:71,I12,72:72)-SUMIF(71:71,C12,72:72)+100</f>
        <v>100</v>
      </c>
      <c r="K12" s="577"/>
      <c r="L12" s="2129"/>
      <c r="M12" s="2130"/>
      <c r="N12" s="2130"/>
      <c r="O12" s="2130"/>
      <c r="P12" s="3404"/>
      <c r="Q12" s="1146">
        <f t="shared" si="6"/>
        <v>111</v>
      </c>
      <c r="R12" s="1563" t="s">
        <v>8</v>
      </c>
      <c r="S12" s="1564">
        <f t="shared" si="0"/>
        <v>100</v>
      </c>
      <c r="T12" s="1563" t="s">
        <v>8</v>
      </c>
      <c r="U12" s="1564">
        <f t="shared" si="1"/>
        <v>100</v>
      </c>
      <c r="V12" s="1563" t="s">
        <v>8</v>
      </c>
      <c r="W12" s="1564">
        <f t="shared" si="2"/>
        <v>100</v>
      </c>
      <c r="X12" s="1565"/>
      <c r="Y12" s="3361"/>
      <c r="Z12" s="1145">
        <f t="shared" si="7"/>
        <v>111</v>
      </c>
      <c r="AA12" s="1566">
        <f>D12/F12</f>
        <v>1</v>
      </c>
      <c r="AB12" s="1566">
        <f>D12/H12</f>
        <v>1</v>
      </c>
      <c r="AC12" s="1566">
        <f>D12/J12</f>
        <v>1</v>
      </c>
    </row>
    <row r="13" spans="1:29" ht="15">
      <c r="A13" s="2935"/>
      <c r="B13" s="2941">
        <v>111</v>
      </c>
      <c r="C13" s="535"/>
      <c r="D13" s="536">
        <v>100</v>
      </c>
      <c r="E13" s="524"/>
      <c r="F13" s="253">
        <f>SUMIF(73:73,E13,74:74)-SUMIF(73:73,C13,74:74)+100</f>
        <v>100</v>
      </c>
      <c r="G13" s="905"/>
      <c r="H13" s="536">
        <f>SUMIF(73:73,G13,74:74)-SUMIF(73:73,C13,74:74)+100</f>
        <v>100</v>
      </c>
      <c r="I13" s="524"/>
      <c r="J13" s="536">
        <f>SUMIF(73:73,I13,74:74)-SUMIF(73:73,C13,74:74)+100</f>
        <v>100</v>
      </c>
      <c r="K13" s="577"/>
      <c r="L13" s="2136"/>
      <c r="M13" s="2128"/>
      <c r="N13" s="2128"/>
      <c r="O13" s="2128"/>
      <c r="P13" s="3404"/>
      <c r="Q13" s="1146">
        <f t="shared" si="6"/>
        <v>111</v>
      </c>
      <c r="R13" s="1563" t="s">
        <v>8</v>
      </c>
      <c r="S13" s="1564">
        <f t="shared" si="0"/>
        <v>100</v>
      </c>
      <c r="T13" s="1563" t="s">
        <v>8</v>
      </c>
      <c r="U13" s="1564">
        <f t="shared" si="1"/>
        <v>100</v>
      </c>
      <c r="V13" s="1563" t="s">
        <v>8</v>
      </c>
      <c r="W13" s="1564">
        <f t="shared" si="2"/>
        <v>100</v>
      </c>
      <c r="X13" s="1565"/>
      <c r="Y13" s="3361"/>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6"/>
      <c r="M14" s="2128"/>
      <c r="N14" s="2128"/>
      <c r="O14" s="2128"/>
      <c r="P14" s="3404"/>
      <c r="Q14" s="1146">
        <f t="shared" si="6"/>
        <v>111</v>
      </c>
      <c r="R14" s="1563" t="s">
        <v>8</v>
      </c>
      <c r="S14" s="1564">
        <f t="shared" si="0"/>
        <v>100</v>
      </c>
      <c r="T14" s="1563" t="s">
        <v>8</v>
      </c>
      <c r="U14" s="1564">
        <f t="shared" si="1"/>
        <v>100</v>
      </c>
      <c r="V14" s="1563" t="s">
        <v>8</v>
      </c>
      <c r="W14" s="1564">
        <f t="shared" si="2"/>
        <v>100</v>
      </c>
      <c r="X14" s="1565"/>
      <c r="Y14" s="3361"/>
      <c r="Z14" s="1145">
        <f t="shared" si="7"/>
        <v>111</v>
      </c>
      <c r="AA14" s="1566">
        <f t="shared" si="3"/>
        <v>1</v>
      </c>
      <c r="AB14" s="1566">
        <f t="shared" si="4"/>
        <v>1</v>
      </c>
      <c r="AC14" s="1566">
        <f t="shared" si="5"/>
        <v>1</v>
      </c>
    </row>
    <row r="15" spans="1:29" ht="15">
      <c r="A15" s="2928" t="s">
        <v>2752</v>
      </c>
      <c r="B15" s="543" t="s">
        <v>541</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36"/>
      <c r="M15" s="2128"/>
      <c r="N15" s="2128"/>
      <c r="O15" s="2128"/>
      <c r="P15" s="3406" t="s">
        <v>539</v>
      </c>
      <c r="Q15" s="1567" t="str">
        <f t="shared" si="6"/>
        <v>办公集聚程度</v>
      </c>
      <c r="R15" s="1568" t="s">
        <v>8</v>
      </c>
      <c r="S15" s="1569">
        <f t="shared" si="0"/>
        <v>100</v>
      </c>
      <c r="T15" s="1568" t="s">
        <v>8</v>
      </c>
      <c r="U15" s="1569">
        <f t="shared" si="1"/>
        <v>100</v>
      </c>
      <c r="V15" s="1568" t="s">
        <v>8</v>
      </c>
      <c r="W15" s="1569">
        <f t="shared" si="2"/>
        <v>100</v>
      </c>
      <c r="X15" s="1562"/>
      <c r="Y15" s="3406"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6"/>
      <c r="M16" s="2128"/>
      <c r="N16" s="2128"/>
      <c r="O16" s="2128"/>
      <c r="P16" s="3407"/>
      <c r="Q16" s="1567"/>
      <c r="R16" s="1568"/>
      <c r="S16" s="1569"/>
      <c r="T16" s="1568"/>
      <c r="U16" s="1569"/>
      <c r="V16" s="1568"/>
      <c r="W16" s="1569"/>
      <c r="X16" s="1562"/>
      <c r="Y16" s="3407"/>
      <c r="Z16" s="1570"/>
      <c r="AA16" s="1571">
        <v>1</v>
      </c>
      <c r="AB16" s="1571">
        <v>1</v>
      </c>
      <c r="AC16" s="1571">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3"/>
      <c r="L17" s="2136"/>
      <c r="M17" s="2128"/>
      <c r="N17" s="2128"/>
      <c r="O17" s="2128"/>
      <c r="P17" s="3407"/>
      <c r="Q17" s="1567" t="str">
        <f>B17</f>
        <v>交通便捷度</v>
      </c>
      <c r="R17" s="1568" t="s">
        <v>8</v>
      </c>
      <c r="S17" s="1569">
        <f>F17</f>
        <v>100</v>
      </c>
      <c r="T17" s="1568" t="s">
        <v>8</v>
      </c>
      <c r="U17" s="1569">
        <f>H17</f>
        <v>100</v>
      </c>
      <c r="V17" s="1568" t="s">
        <v>8</v>
      </c>
      <c r="W17" s="1569">
        <f>J17</f>
        <v>100</v>
      </c>
      <c r="X17" s="1562"/>
      <c r="Y17" s="3407"/>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6"/>
      <c r="M18" s="2128"/>
      <c r="N18" s="2128"/>
      <c r="O18" s="2128"/>
      <c r="P18" s="3407"/>
      <c r="Q18" s="1567"/>
      <c r="R18" s="1568"/>
      <c r="S18" s="1569"/>
      <c r="T18" s="1568"/>
      <c r="U18" s="1569"/>
      <c r="V18" s="1568"/>
      <c r="W18" s="1569"/>
      <c r="X18" s="1562"/>
      <c r="Y18" s="3407"/>
      <c r="Z18" s="1570"/>
      <c r="AA18" s="1571">
        <v>1</v>
      </c>
      <c r="AB18" s="1571">
        <v>1</v>
      </c>
      <c r="AC18" s="1571">
        <v>1</v>
      </c>
    </row>
    <row r="19" spans="1:29" ht="15">
      <c r="A19" s="528"/>
      <c r="B19" s="2621" t="s">
        <v>2544</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3"/>
      <c r="L19" s="2136"/>
      <c r="M19" s="2128"/>
      <c r="N19" s="2128"/>
      <c r="O19" s="2128"/>
      <c r="P19" s="3407"/>
      <c r="Q19" s="1567" t="str">
        <f>B19</f>
        <v>公共配套设施</v>
      </c>
      <c r="R19" s="1568" t="s">
        <v>8</v>
      </c>
      <c r="S19" s="1569">
        <f>F19</f>
        <v>100</v>
      </c>
      <c r="T19" s="1568" t="s">
        <v>8</v>
      </c>
      <c r="U19" s="1569">
        <f>H19</f>
        <v>100</v>
      </c>
      <c r="V19" s="1568" t="s">
        <v>8</v>
      </c>
      <c r="W19" s="1569">
        <f>J19</f>
        <v>100</v>
      </c>
      <c r="X19" s="1562"/>
      <c r="Y19" s="3407"/>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6"/>
      <c r="M20" s="2128"/>
      <c r="N20" s="2128"/>
      <c r="O20" s="2128"/>
      <c r="P20" s="3407"/>
      <c r="Q20" s="1567"/>
      <c r="R20" s="1568"/>
      <c r="S20" s="1569"/>
      <c r="T20" s="1568"/>
      <c r="U20" s="1569"/>
      <c r="V20" s="1568"/>
      <c r="W20" s="1569"/>
      <c r="X20" s="1562"/>
      <c r="Y20" s="3407"/>
      <c r="Z20" s="1570"/>
      <c r="AA20" s="1571">
        <v>1</v>
      </c>
      <c r="AB20" s="1571">
        <v>1</v>
      </c>
      <c r="AC20" s="1571">
        <v>1</v>
      </c>
    </row>
    <row r="21" spans="1:29" ht="15">
      <c r="A21" s="528"/>
      <c r="B21" s="2609" t="s">
        <v>2556</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3"/>
      <c r="L21" s="2136"/>
      <c r="M21" s="2128"/>
      <c r="N21" s="2128"/>
      <c r="O21" s="2128"/>
      <c r="P21" s="3407"/>
      <c r="Q21" s="2597" t="str">
        <f>B21</f>
        <v>基础设施水平</v>
      </c>
      <c r="R21" s="1568" t="s">
        <v>8</v>
      </c>
      <c r="S21" s="1569">
        <f>F21</f>
        <v>100</v>
      </c>
      <c r="T21" s="1568" t="s">
        <v>8</v>
      </c>
      <c r="U21" s="1569">
        <f>H21</f>
        <v>100</v>
      </c>
      <c r="V21" s="1568" t="s">
        <v>8</v>
      </c>
      <c r="W21" s="1569">
        <f>J21</f>
        <v>100</v>
      </c>
      <c r="X21" s="2599"/>
      <c r="Y21" s="3407"/>
      <c r="Z21" s="2598"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0"/>
      <c r="L22" s="2136"/>
      <c r="M22" s="2128"/>
      <c r="N22" s="2128"/>
      <c r="O22" s="2128"/>
      <c r="P22" s="3407"/>
      <c r="Q22" s="2597"/>
      <c r="R22" s="1568"/>
      <c r="S22" s="1569"/>
      <c r="T22" s="1568"/>
      <c r="U22" s="1569"/>
      <c r="V22" s="1568"/>
      <c r="W22" s="1569"/>
      <c r="X22" s="2599"/>
      <c r="Y22" s="3407"/>
      <c r="Z22" s="2598"/>
      <c r="AA22" s="1571">
        <v>1</v>
      </c>
      <c r="AB22" s="1571">
        <v>1</v>
      </c>
      <c r="AC22" s="1571">
        <v>1</v>
      </c>
    </row>
    <row r="23" spans="1:29" ht="15">
      <c r="A23" s="528"/>
      <c r="B23" s="556" t="s">
        <v>777</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3"/>
      <c r="L23" s="2136"/>
      <c r="M23" s="2128"/>
      <c r="N23" s="2128"/>
      <c r="O23" s="2128"/>
      <c r="P23" s="3407"/>
      <c r="Q23" s="1567" t="str">
        <f>B23</f>
        <v>环境质量</v>
      </c>
      <c r="R23" s="1568" t="s">
        <v>8</v>
      </c>
      <c r="S23" s="1569">
        <f>F23</f>
        <v>100</v>
      </c>
      <c r="T23" s="1568" t="s">
        <v>8</v>
      </c>
      <c r="U23" s="1569">
        <f>H23</f>
        <v>100</v>
      </c>
      <c r="V23" s="1568" t="s">
        <v>8</v>
      </c>
      <c r="W23" s="1569">
        <f>J23</f>
        <v>100</v>
      </c>
      <c r="X23" s="1562"/>
      <c r="Y23" s="3407"/>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6"/>
      <c r="M24" s="2128"/>
      <c r="N24" s="2128"/>
      <c r="O24" s="2128"/>
      <c r="P24" s="3407"/>
      <c r="Q24" s="1567"/>
      <c r="R24" s="1568"/>
      <c r="S24" s="1569"/>
      <c r="T24" s="1568"/>
      <c r="U24" s="1569"/>
      <c r="V24" s="1568"/>
      <c r="W24" s="1569"/>
      <c r="X24" s="1562"/>
      <c r="Y24" s="3407"/>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6"/>
      <c r="M25" s="2128"/>
      <c r="N25" s="2128"/>
      <c r="O25" s="2128"/>
      <c r="P25" s="3407"/>
      <c r="Q25" s="1567" t="str">
        <f>B25</f>
        <v>毗邻道路的类型与等级</v>
      </c>
      <c r="R25" s="1568" t="s">
        <v>8</v>
      </c>
      <c r="S25" s="1569">
        <f>F25</f>
        <v>100</v>
      </c>
      <c r="T25" s="1568" t="s">
        <v>8</v>
      </c>
      <c r="U25" s="1569">
        <f>H25</f>
        <v>100</v>
      </c>
      <c r="V25" s="1568" t="s">
        <v>8</v>
      </c>
      <c r="W25" s="1569">
        <f>J25</f>
        <v>100</v>
      </c>
      <c r="X25" s="1562"/>
      <c r="Y25" s="3407"/>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6"/>
      <c r="M26" s="2128"/>
      <c r="N26" s="2128"/>
      <c r="O26" s="2128"/>
      <c r="P26" s="3407"/>
      <c r="Q26" s="1567"/>
      <c r="R26" s="1568"/>
      <c r="S26" s="1569"/>
      <c r="T26" s="1568"/>
      <c r="U26" s="1569"/>
      <c r="V26" s="1568"/>
      <c r="W26" s="1569"/>
      <c r="X26" s="1562"/>
      <c r="Y26" s="3407"/>
      <c r="Z26" s="1570"/>
      <c r="AA26" s="1571">
        <v>1</v>
      </c>
      <c r="AB26" s="1571">
        <v>1</v>
      </c>
      <c r="AC26" s="1571">
        <v>1</v>
      </c>
    </row>
    <row r="27" spans="1:29" ht="15">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36"/>
      <c r="M27" s="2128"/>
      <c r="N27" s="2128"/>
      <c r="O27" s="2128"/>
      <c r="P27" s="3407"/>
      <c r="Q27" s="1567" t="str">
        <f t="shared" ref="Q27:Q47" si="11">B27</f>
        <v>楼层</v>
      </c>
      <c r="R27" s="1568" t="s">
        <v>8</v>
      </c>
      <c r="S27" s="1569">
        <f>F27</f>
        <v>100</v>
      </c>
      <c r="T27" s="1568" t="s">
        <v>8</v>
      </c>
      <c r="U27" s="1569">
        <f>H27</f>
        <v>100</v>
      </c>
      <c r="V27" s="1568" t="s">
        <v>8</v>
      </c>
      <c r="W27" s="1569">
        <f>J27</f>
        <v>100</v>
      </c>
      <c r="X27" s="1562"/>
      <c r="Y27" s="3407"/>
      <c r="Z27" s="1570" t="str">
        <f>Q27</f>
        <v>楼层</v>
      </c>
      <c r="AA27" s="1571">
        <f t="shared" si="3"/>
        <v>1</v>
      </c>
      <c r="AB27" s="1571">
        <f t="shared" si="4"/>
        <v>1</v>
      </c>
      <c r="AC27" s="1571">
        <f t="shared" si="5"/>
        <v>1</v>
      </c>
    </row>
    <row r="28" spans="1:29" s="1215" customFormat="1" ht="15">
      <c r="A28" s="532"/>
      <c r="B28" s="556" t="s">
        <v>778</v>
      </c>
      <c r="C28" s="908"/>
      <c r="D28" s="871">
        <v>100</v>
      </c>
      <c r="E28" s="896"/>
      <c r="F28" s="871">
        <f>SUMIF(91:91,E28,92:92)-SUMIF(91:91,C28,92:92)+100</f>
        <v>100</v>
      </c>
      <c r="G28" s="908"/>
      <c r="H28" s="871">
        <f>SUMIF(91:91,G28,92:92)-SUMIF(91:91,C28,92:92)+100</f>
        <v>100</v>
      </c>
      <c r="I28" s="896"/>
      <c r="J28" s="871">
        <f>SUMIF(91:91,I28,92:92)-SUMIF(91:91,C28,92:92)+100</f>
        <v>100</v>
      </c>
      <c r="K28" s="580"/>
      <c r="L28" s="2129"/>
      <c r="M28" s="2130"/>
      <c r="N28" s="2130"/>
      <c r="O28" s="2130"/>
      <c r="P28" s="3407"/>
      <c r="Q28" s="1146" t="str">
        <f t="shared" si="11"/>
        <v>朝向</v>
      </c>
      <c r="R28" s="1563" t="s">
        <v>8</v>
      </c>
      <c r="S28" s="1564">
        <f>F28</f>
        <v>100</v>
      </c>
      <c r="T28" s="1563" t="s">
        <v>8</v>
      </c>
      <c r="U28" s="1564">
        <f>H28</f>
        <v>100</v>
      </c>
      <c r="V28" s="1563" t="s">
        <v>8</v>
      </c>
      <c r="W28" s="1564">
        <f>J28</f>
        <v>100</v>
      </c>
      <c r="X28" s="1565"/>
      <c r="Y28" s="3407"/>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6"/>
      <c r="M29" s="2128"/>
      <c r="N29" s="2128"/>
      <c r="O29" s="2128"/>
      <c r="P29" s="3407"/>
      <c r="Q29" s="1567">
        <f t="shared" si="11"/>
        <v>111</v>
      </c>
      <c r="R29" s="1568" t="s">
        <v>8</v>
      </c>
      <c r="S29" s="1569">
        <f t="shared" ref="S29:S47" si="12">F29</f>
        <v>100</v>
      </c>
      <c r="T29" s="1568" t="s">
        <v>8</v>
      </c>
      <c r="U29" s="1569">
        <f t="shared" ref="U29:U47" si="13">H29</f>
        <v>100</v>
      </c>
      <c r="V29" s="1568" t="s">
        <v>8</v>
      </c>
      <c r="W29" s="1569">
        <f t="shared" ref="W29:W47" si="14">J29</f>
        <v>100</v>
      </c>
      <c r="X29" s="1562"/>
      <c r="Y29" s="3407"/>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6"/>
      <c r="M30" s="2128"/>
      <c r="N30" s="2128"/>
      <c r="O30" s="2128"/>
      <c r="P30" s="3407"/>
      <c r="Q30" s="1567">
        <f t="shared" si="11"/>
        <v>111</v>
      </c>
      <c r="R30" s="1568" t="s">
        <v>8</v>
      </c>
      <c r="S30" s="1569">
        <f t="shared" si="12"/>
        <v>100</v>
      </c>
      <c r="T30" s="1568" t="s">
        <v>8</v>
      </c>
      <c r="U30" s="1569">
        <f t="shared" si="13"/>
        <v>100</v>
      </c>
      <c r="V30" s="1568" t="s">
        <v>8</v>
      </c>
      <c r="W30" s="1569">
        <f t="shared" si="14"/>
        <v>100</v>
      </c>
      <c r="X30" s="1562"/>
      <c r="Y30" s="3407"/>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6"/>
      <c r="M31" s="2128"/>
      <c r="N31" s="2128"/>
      <c r="O31" s="2128"/>
      <c r="P31" s="3407"/>
      <c r="Q31" s="1567">
        <f t="shared" si="11"/>
        <v>111</v>
      </c>
      <c r="R31" s="1568" t="s">
        <v>8</v>
      </c>
      <c r="S31" s="1569">
        <f t="shared" si="12"/>
        <v>100</v>
      </c>
      <c r="T31" s="1568" t="s">
        <v>8</v>
      </c>
      <c r="U31" s="1569">
        <f t="shared" si="13"/>
        <v>100</v>
      </c>
      <c r="V31" s="1568" t="s">
        <v>8</v>
      </c>
      <c r="W31" s="1569">
        <f t="shared" si="14"/>
        <v>100</v>
      </c>
      <c r="X31" s="1562"/>
      <c r="Y31" s="3407"/>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6"/>
      <c r="M32" s="2128"/>
      <c r="N32" s="2128"/>
      <c r="O32" s="2128"/>
      <c r="P32" s="3407"/>
      <c r="Q32" s="1567">
        <f t="shared" si="11"/>
        <v>111</v>
      </c>
      <c r="R32" s="1568" t="s">
        <v>8</v>
      </c>
      <c r="S32" s="1569">
        <f t="shared" si="12"/>
        <v>100</v>
      </c>
      <c r="T32" s="1568" t="s">
        <v>8</v>
      </c>
      <c r="U32" s="1569">
        <f t="shared" si="13"/>
        <v>100</v>
      </c>
      <c r="V32" s="1568" t="s">
        <v>8</v>
      </c>
      <c r="W32" s="1569">
        <f t="shared" si="14"/>
        <v>100</v>
      </c>
      <c r="X32" s="1562"/>
      <c r="Y32" s="3407"/>
      <c r="Z32" s="1570">
        <f t="shared" si="15"/>
        <v>111</v>
      </c>
      <c r="AA32" s="1571">
        <f t="shared" si="3"/>
        <v>1</v>
      </c>
      <c r="AB32" s="1571">
        <f t="shared" si="4"/>
        <v>1</v>
      </c>
      <c r="AC32" s="1571">
        <f t="shared" si="5"/>
        <v>1</v>
      </c>
    </row>
    <row r="33" spans="1:29" ht="15">
      <c r="A33" s="2925" t="s">
        <v>2753</v>
      </c>
      <c r="B33" s="172" t="s">
        <v>779</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6"/>
      <c r="M33" s="2128"/>
      <c r="N33" s="2128"/>
      <c r="O33" s="2128"/>
      <c r="P33" s="3408" t="s">
        <v>549</v>
      </c>
      <c r="Q33" s="1567" t="str">
        <f t="shared" si="11"/>
        <v>建筑类型</v>
      </c>
      <c r="R33" s="1568" t="s">
        <v>8</v>
      </c>
      <c r="S33" s="1569">
        <f t="shared" si="12"/>
        <v>100</v>
      </c>
      <c r="T33" s="1568" t="s">
        <v>8</v>
      </c>
      <c r="U33" s="1569">
        <f t="shared" si="13"/>
        <v>100</v>
      </c>
      <c r="V33" s="1568" t="s">
        <v>8</v>
      </c>
      <c r="W33" s="1569">
        <f t="shared" si="14"/>
        <v>100</v>
      </c>
      <c r="X33" s="1562"/>
      <c r="Y33" s="3409" t="s">
        <v>549</v>
      </c>
      <c r="Z33" s="1570" t="str">
        <f t="shared" si="15"/>
        <v>建筑类型</v>
      </c>
      <c r="AA33" s="1571">
        <f t="shared" si="3"/>
        <v>1</v>
      </c>
      <c r="AB33" s="1571">
        <f t="shared" si="4"/>
        <v>1</v>
      </c>
      <c r="AC33" s="1571">
        <f t="shared" si="5"/>
        <v>1</v>
      </c>
    </row>
    <row r="34" spans="1:29" s="1334" customFormat="1" ht="15">
      <c r="A34" s="599"/>
      <c r="B34" s="523" t="s">
        <v>725</v>
      </c>
      <c r="C34" s="875"/>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4"/>
      <c r="M34" s="2165"/>
      <c r="N34" s="2165"/>
      <c r="O34" s="2165"/>
      <c r="P34" s="3409"/>
      <c r="Q34" s="1600" t="str">
        <f t="shared" si="11"/>
        <v>项目建筑规模</v>
      </c>
      <c r="R34" s="1572" t="s">
        <v>8</v>
      </c>
      <c r="S34" s="1573" t="e">
        <f t="shared" si="12"/>
        <v>#N/A</v>
      </c>
      <c r="T34" s="1572" t="s">
        <v>8</v>
      </c>
      <c r="U34" s="1573" t="e">
        <f t="shared" si="13"/>
        <v>#N/A</v>
      </c>
      <c r="V34" s="1572" t="s">
        <v>8</v>
      </c>
      <c r="W34" s="1573" t="e">
        <f t="shared" si="14"/>
        <v>#N/A</v>
      </c>
      <c r="X34" s="1574"/>
      <c r="Y34" s="3409"/>
      <c r="Z34" s="1575" t="str">
        <f t="shared" si="15"/>
        <v>项目建筑规模</v>
      </c>
      <c r="AA34" s="1571" t="e">
        <f t="shared" si="3"/>
        <v>#N/A</v>
      </c>
      <c r="AB34" s="1571" t="e">
        <f t="shared" si="4"/>
        <v>#N/A</v>
      </c>
      <c r="AC34" s="1571" t="e">
        <f t="shared" si="5"/>
        <v>#N/A</v>
      </c>
    </row>
    <row r="35" spans="1:29" ht="15">
      <c r="A35" s="590"/>
      <c r="B35" s="523"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6"/>
      <c r="M35" s="2128"/>
      <c r="N35" s="2128"/>
      <c r="O35" s="2128"/>
      <c r="P35" s="3409"/>
      <c r="Q35" s="1567" t="str">
        <f t="shared" si="11"/>
        <v>建筑结构</v>
      </c>
      <c r="R35" s="1568" t="s">
        <v>8</v>
      </c>
      <c r="S35" s="1569">
        <f t="shared" si="12"/>
        <v>100</v>
      </c>
      <c r="T35" s="1568" t="s">
        <v>8</v>
      </c>
      <c r="U35" s="1569">
        <f t="shared" si="13"/>
        <v>100</v>
      </c>
      <c r="V35" s="1568" t="s">
        <v>8</v>
      </c>
      <c r="W35" s="1569">
        <f t="shared" si="14"/>
        <v>100</v>
      </c>
      <c r="X35" s="1562"/>
      <c r="Y35" s="3409"/>
      <c r="Z35" s="1570" t="str">
        <f t="shared" si="15"/>
        <v>建筑结构</v>
      </c>
      <c r="AA35" s="1571">
        <f t="shared" si="3"/>
        <v>1</v>
      </c>
      <c r="AB35" s="1571">
        <f t="shared" si="4"/>
        <v>1</v>
      </c>
      <c r="AC35" s="1571">
        <f t="shared" si="5"/>
        <v>1</v>
      </c>
    </row>
    <row r="36" spans="1:29" ht="15">
      <c r="A36" s="590"/>
      <c r="B36" s="523"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6"/>
      <c r="M36" s="2128"/>
      <c r="N36" s="2128"/>
      <c r="O36" s="2128"/>
      <c r="P36" s="3409"/>
      <c r="Q36" s="1567" t="str">
        <f t="shared" si="11"/>
        <v>公共部分装修</v>
      </c>
      <c r="R36" s="1568" t="s">
        <v>8</v>
      </c>
      <c r="S36" s="1569">
        <f t="shared" si="12"/>
        <v>100</v>
      </c>
      <c r="T36" s="1568" t="s">
        <v>8</v>
      </c>
      <c r="U36" s="1569">
        <f t="shared" si="13"/>
        <v>100</v>
      </c>
      <c r="V36" s="1568" t="s">
        <v>8</v>
      </c>
      <c r="W36" s="1569">
        <f t="shared" si="14"/>
        <v>100</v>
      </c>
      <c r="X36" s="1562"/>
      <c r="Y36" s="3409"/>
      <c r="Z36" s="1570" t="str">
        <f t="shared" si="15"/>
        <v>公共部分装修</v>
      </c>
      <c r="AA36" s="1571">
        <f t="shared" si="3"/>
        <v>1</v>
      </c>
      <c r="AB36" s="1571">
        <f t="shared" si="4"/>
        <v>1</v>
      </c>
      <c r="AC36" s="1571">
        <f t="shared" si="5"/>
        <v>1</v>
      </c>
    </row>
    <row r="37" spans="1:29" ht="15">
      <c r="A37" s="590"/>
      <c r="B37" s="523" t="s">
        <v>763</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6"/>
      <c r="M37" s="2128"/>
      <c r="N37" s="2128"/>
      <c r="O37" s="2128"/>
      <c r="P37" s="3409"/>
      <c r="Q37" s="1567" t="str">
        <f t="shared" si="11"/>
        <v>成新度</v>
      </c>
      <c r="R37" s="1568" t="s">
        <v>8</v>
      </c>
      <c r="S37" s="1569" t="e">
        <f t="shared" si="12"/>
        <v>#N/A</v>
      </c>
      <c r="T37" s="1568" t="s">
        <v>8</v>
      </c>
      <c r="U37" s="1569" t="e">
        <f t="shared" si="13"/>
        <v>#N/A</v>
      </c>
      <c r="V37" s="1568" t="s">
        <v>8</v>
      </c>
      <c r="W37" s="1569" t="e">
        <f t="shared" si="14"/>
        <v>#N/A</v>
      </c>
      <c r="X37" s="1562"/>
      <c r="Y37" s="3409"/>
      <c r="Z37" s="1570" t="str">
        <f t="shared" si="15"/>
        <v>成新度</v>
      </c>
      <c r="AA37" s="1571" t="e">
        <f t="shared" si="3"/>
        <v>#N/A</v>
      </c>
      <c r="AB37" s="1571" t="e">
        <f t="shared" si="4"/>
        <v>#N/A</v>
      </c>
      <c r="AC37" s="1571" t="e">
        <f t="shared" si="5"/>
        <v>#N/A</v>
      </c>
    </row>
    <row r="38" spans="1:29" s="1215" customFormat="1" ht="15">
      <c r="A38" s="596"/>
      <c r="B38" s="523" t="s">
        <v>780</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29"/>
      <c r="M38" s="2130"/>
      <c r="N38" s="2130"/>
      <c r="O38" s="2130"/>
      <c r="P38" s="3409"/>
      <c r="Q38" s="1146" t="str">
        <f t="shared" si="11"/>
        <v>写字楼等级</v>
      </c>
      <c r="R38" s="1563" t="s">
        <v>8</v>
      </c>
      <c r="S38" s="1564">
        <f t="shared" si="12"/>
        <v>100</v>
      </c>
      <c r="T38" s="1563" t="s">
        <v>8</v>
      </c>
      <c r="U38" s="1564">
        <f t="shared" si="13"/>
        <v>100</v>
      </c>
      <c r="V38" s="1563" t="s">
        <v>8</v>
      </c>
      <c r="W38" s="1564">
        <f t="shared" si="14"/>
        <v>100</v>
      </c>
      <c r="X38" s="1565"/>
      <c r="Y38" s="3409"/>
      <c r="Z38" s="1145" t="str">
        <f t="shared" si="15"/>
        <v>写字楼等级</v>
      </c>
      <c r="AA38" s="1566">
        <f t="shared" si="3"/>
        <v>1</v>
      </c>
      <c r="AB38" s="1566">
        <f t="shared" si="4"/>
        <v>1</v>
      </c>
      <c r="AC38" s="1566">
        <f t="shared" si="5"/>
        <v>1</v>
      </c>
    </row>
    <row r="39" spans="1:29" ht="15">
      <c r="A39" s="590"/>
      <c r="B39" s="523"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6"/>
      <c r="M39" s="2128"/>
      <c r="N39" s="2128"/>
      <c r="O39" s="2128"/>
      <c r="P39" s="3409" t="s">
        <v>549</v>
      </c>
      <c r="Q39" s="1567" t="str">
        <f t="shared" si="11"/>
        <v>物业管理</v>
      </c>
      <c r="R39" s="1568" t="s">
        <v>8</v>
      </c>
      <c r="S39" s="1569">
        <f t="shared" si="12"/>
        <v>100</v>
      </c>
      <c r="T39" s="1568" t="s">
        <v>8</v>
      </c>
      <c r="U39" s="1569">
        <f t="shared" si="13"/>
        <v>100</v>
      </c>
      <c r="V39" s="1568" t="s">
        <v>8</v>
      </c>
      <c r="W39" s="1569">
        <f t="shared" si="14"/>
        <v>100</v>
      </c>
      <c r="X39" s="1562"/>
      <c r="Y39" s="3409" t="s">
        <v>549</v>
      </c>
      <c r="Z39" s="1570" t="str">
        <f t="shared" si="15"/>
        <v>物业管理</v>
      </c>
      <c r="AA39" s="1571">
        <f t="shared" si="3"/>
        <v>1</v>
      </c>
      <c r="AB39" s="1571">
        <f t="shared" si="4"/>
        <v>1</v>
      </c>
      <c r="AC39" s="1571">
        <f t="shared" si="5"/>
        <v>1</v>
      </c>
    </row>
    <row r="40" spans="1:29" ht="15">
      <c r="A40" s="590"/>
      <c r="B40" s="1889"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6"/>
      <c r="M40" s="2128"/>
      <c r="N40" s="2128"/>
      <c r="O40" s="2128"/>
      <c r="P40" s="3409"/>
      <c r="Q40" s="1567" t="str">
        <f t="shared" si="11"/>
        <v>市政基础设施</v>
      </c>
      <c r="R40" s="1568" t="s">
        <v>8</v>
      </c>
      <c r="S40" s="1569">
        <f t="shared" si="12"/>
        <v>100</v>
      </c>
      <c r="T40" s="1568" t="s">
        <v>8</v>
      </c>
      <c r="U40" s="1569">
        <f t="shared" si="13"/>
        <v>100</v>
      </c>
      <c r="V40" s="1568" t="s">
        <v>8</v>
      </c>
      <c r="W40" s="1569">
        <f t="shared" si="14"/>
        <v>100</v>
      </c>
      <c r="X40" s="1562"/>
      <c r="Y40" s="3409"/>
      <c r="Z40" s="1570" t="str">
        <f t="shared" si="15"/>
        <v>市政基础设施</v>
      </c>
      <c r="AA40" s="1571">
        <f t="shared" si="3"/>
        <v>1</v>
      </c>
      <c r="AB40" s="1571">
        <f t="shared" si="4"/>
        <v>1</v>
      </c>
      <c r="AC40" s="1571">
        <f t="shared" si="5"/>
        <v>1</v>
      </c>
    </row>
    <row r="41" spans="1:29" ht="15">
      <c r="A41" s="590"/>
      <c r="B41" s="523"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6"/>
      <c r="M41" s="2128"/>
      <c r="N41" s="2128"/>
      <c r="O41" s="2128"/>
      <c r="P41" s="3409"/>
      <c r="Q41" s="1567" t="str">
        <f t="shared" si="11"/>
        <v>层高</v>
      </c>
      <c r="R41" s="1568" t="s">
        <v>8</v>
      </c>
      <c r="S41" s="1569">
        <f t="shared" si="12"/>
        <v>100</v>
      </c>
      <c r="T41" s="1568" t="s">
        <v>8</v>
      </c>
      <c r="U41" s="1569">
        <f t="shared" si="13"/>
        <v>100</v>
      </c>
      <c r="V41" s="1568" t="s">
        <v>8</v>
      </c>
      <c r="W41" s="1569">
        <f t="shared" si="14"/>
        <v>100</v>
      </c>
      <c r="X41" s="1562"/>
      <c r="Y41" s="3409"/>
      <c r="Z41" s="1570" t="str">
        <f t="shared" si="15"/>
        <v>层高</v>
      </c>
      <c r="AA41" s="1571">
        <f t="shared" si="3"/>
        <v>1</v>
      </c>
      <c r="AB41" s="1571">
        <f t="shared" si="4"/>
        <v>1</v>
      </c>
      <c r="AC41" s="1571">
        <f t="shared" si="5"/>
        <v>1</v>
      </c>
    </row>
    <row r="42" spans="1:29" s="1334" customFormat="1" ht="15">
      <c r="A42" s="599"/>
      <c r="B42" s="899"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4"/>
      <c r="M42" s="2165"/>
      <c r="N42" s="2165"/>
      <c r="O42" s="2165"/>
      <c r="P42" s="3409"/>
      <c r="Q42" s="1600" t="str">
        <f t="shared" si="11"/>
        <v>单套建筑面积</v>
      </c>
      <c r="R42" s="1572" t="s">
        <v>8</v>
      </c>
      <c r="S42" s="1573">
        <f t="shared" si="12"/>
        <v>100</v>
      </c>
      <c r="T42" s="1572" t="s">
        <v>8</v>
      </c>
      <c r="U42" s="1573">
        <f t="shared" si="13"/>
        <v>100</v>
      </c>
      <c r="V42" s="1572" t="s">
        <v>8</v>
      </c>
      <c r="W42" s="1573">
        <f t="shared" si="14"/>
        <v>100</v>
      </c>
      <c r="X42" s="1574"/>
      <c r="Y42" s="3409"/>
      <c r="Z42" s="1575" t="str">
        <f t="shared" si="15"/>
        <v>单套建筑面积</v>
      </c>
      <c r="AA42" s="1571">
        <f t="shared" si="3"/>
        <v>1</v>
      </c>
      <c r="AB42" s="1571">
        <f t="shared" si="4"/>
        <v>1</v>
      </c>
      <c r="AC42" s="1571">
        <f t="shared" si="5"/>
        <v>1</v>
      </c>
    </row>
    <row r="43" spans="1:29" ht="15">
      <c r="A43" s="590"/>
      <c r="B43" s="523"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6"/>
      <c r="M43" s="2128"/>
      <c r="N43" s="2128"/>
      <c r="O43" s="2128"/>
      <c r="P43" s="3409"/>
      <c r="Q43" s="1567" t="str">
        <f t="shared" si="11"/>
        <v>内部装修</v>
      </c>
      <c r="R43" s="1568" t="s">
        <v>8</v>
      </c>
      <c r="S43" s="1569">
        <f t="shared" si="12"/>
        <v>100</v>
      </c>
      <c r="T43" s="1568" t="s">
        <v>8</v>
      </c>
      <c r="U43" s="1569">
        <f t="shared" si="13"/>
        <v>100</v>
      </c>
      <c r="V43" s="1568" t="s">
        <v>8</v>
      </c>
      <c r="W43" s="1569">
        <f t="shared" si="14"/>
        <v>100</v>
      </c>
      <c r="X43" s="1562"/>
      <c r="Y43" s="3409"/>
      <c r="Z43" s="1570" t="str">
        <f t="shared" si="15"/>
        <v>内部装修</v>
      </c>
      <c r="AA43" s="1571">
        <f t="shared" si="3"/>
        <v>1</v>
      </c>
      <c r="AB43" s="1571">
        <f t="shared" si="4"/>
        <v>1</v>
      </c>
      <c r="AC43" s="1571">
        <f t="shared" si="5"/>
        <v>1</v>
      </c>
    </row>
    <row r="44" spans="1:29" ht="27">
      <c r="A44" s="590"/>
      <c r="B44" s="523"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6"/>
      <c r="M44" s="2128"/>
      <c r="N44" s="2128"/>
      <c r="O44" s="2128"/>
      <c r="P44" s="3409"/>
      <c r="Q44" s="1567" t="str">
        <f t="shared" si="11"/>
        <v>内部装修维护情况</v>
      </c>
      <c r="R44" s="1568" t="s">
        <v>8</v>
      </c>
      <c r="S44" s="1569">
        <f t="shared" si="12"/>
        <v>100</v>
      </c>
      <c r="T44" s="1568" t="s">
        <v>8</v>
      </c>
      <c r="U44" s="1569">
        <f t="shared" si="13"/>
        <v>100</v>
      </c>
      <c r="V44" s="1568" t="s">
        <v>8</v>
      </c>
      <c r="W44" s="1569">
        <f t="shared" si="14"/>
        <v>100</v>
      </c>
      <c r="X44" s="1562"/>
      <c r="Y44" s="3409"/>
      <c r="Z44" s="1570" t="str">
        <f t="shared" si="15"/>
        <v>内部装修维护情况</v>
      </c>
      <c r="AA44" s="1571">
        <f t="shared" si="3"/>
        <v>1</v>
      </c>
      <c r="AB44" s="1571">
        <f t="shared" si="4"/>
        <v>1</v>
      </c>
      <c r="AC44" s="1571">
        <f t="shared" si="5"/>
        <v>1</v>
      </c>
    </row>
    <row r="45" spans="1:29" s="1215" customFormat="1" ht="15">
      <c r="A45" s="596"/>
      <c r="B45" s="873">
        <v>111</v>
      </c>
      <c r="C45" s="875"/>
      <c r="D45" s="253">
        <v>100</v>
      </c>
      <c r="E45" s="524"/>
      <c r="F45" s="859">
        <f>SUMIF(127:127,E45,128:128)-SUMIF(127:127,C45,128:128)+100</f>
        <v>100</v>
      </c>
      <c r="G45" s="524"/>
      <c r="H45" s="253">
        <f>SUMIF(127:127,G45,128:128)-SUMIF(127:127,C45,128:128)+100</f>
        <v>100</v>
      </c>
      <c r="I45" s="524"/>
      <c r="J45" s="253">
        <f>SUMIF(127:127,I45,128:128)-SUMIF(127:127,C45,128:128)+100</f>
        <v>100</v>
      </c>
      <c r="K45" s="577"/>
      <c r="L45" s="2129"/>
      <c r="M45" s="2130"/>
      <c r="N45" s="2130"/>
      <c r="O45" s="2130"/>
      <c r="P45" s="3409"/>
      <c r="Q45" s="1146">
        <f t="shared" si="11"/>
        <v>111</v>
      </c>
      <c r="R45" s="1563" t="s">
        <v>8</v>
      </c>
      <c r="S45" s="1564">
        <f t="shared" si="12"/>
        <v>100</v>
      </c>
      <c r="T45" s="1563" t="s">
        <v>8</v>
      </c>
      <c r="U45" s="1564">
        <f t="shared" si="13"/>
        <v>100</v>
      </c>
      <c r="V45" s="1563" t="s">
        <v>8</v>
      </c>
      <c r="W45" s="1564">
        <f t="shared" si="14"/>
        <v>100</v>
      </c>
      <c r="X45" s="1565"/>
      <c r="Y45" s="3409"/>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6"/>
      <c r="M46" s="2128"/>
      <c r="N46" s="2128"/>
      <c r="O46" s="2128"/>
      <c r="P46" s="3409"/>
      <c r="Q46" s="1567">
        <f t="shared" si="11"/>
        <v>111</v>
      </c>
      <c r="R46" s="1568" t="s">
        <v>8</v>
      </c>
      <c r="S46" s="1569">
        <f t="shared" si="12"/>
        <v>100</v>
      </c>
      <c r="T46" s="1568" t="s">
        <v>8</v>
      </c>
      <c r="U46" s="1569">
        <f t="shared" si="13"/>
        <v>100</v>
      </c>
      <c r="V46" s="1568" t="s">
        <v>8</v>
      </c>
      <c r="W46" s="1569">
        <f t="shared" si="14"/>
        <v>100</v>
      </c>
      <c r="X46" s="1562"/>
      <c r="Y46" s="3409"/>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6"/>
      <c r="M47" s="2128"/>
      <c r="N47" s="2128"/>
      <c r="O47" s="2128"/>
      <c r="P47" s="3486"/>
      <c r="Q47" s="1567">
        <f t="shared" si="11"/>
        <v>111</v>
      </c>
      <c r="R47" s="1568" t="s">
        <v>8</v>
      </c>
      <c r="S47" s="1569">
        <f t="shared" si="12"/>
        <v>100</v>
      </c>
      <c r="T47" s="1568" t="s">
        <v>8</v>
      </c>
      <c r="U47" s="1569">
        <f t="shared" si="13"/>
        <v>100</v>
      </c>
      <c r="V47" s="1568" t="s">
        <v>8</v>
      </c>
      <c r="W47" s="1569">
        <f t="shared" si="14"/>
        <v>100</v>
      </c>
      <c r="X47" s="1562"/>
      <c r="Y47" s="3486"/>
      <c r="Z47" s="1570">
        <f t="shared" si="15"/>
        <v>111</v>
      </c>
      <c r="AA47" s="1571">
        <f t="shared" si="3"/>
        <v>1</v>
      </c>
      <c r="AB47" s="1571">
        <f t="shared" si="4"/>
        <v>1</v>
      </c>
      <c r="AC47" s="1571">
        <f t="shared" si="5"/>
        <v>1</v>
      </c>
    </row>
    <row r="48" spans="1:29" ht="15">
      <c r="A48" s="603" t="s">
        <v>735</v>
      </c>
      <c r="B48" s="882"/>
      <c r="C48" s="2645" t="s">
        <v>1</v>
      </c>
      <c r="D48" s="2646"/>
      <c r="E48" s="2647"/>
      <c r="F48" s="2648"/>
      <c r="G48" s="2649"/>
      <c r="H48" s="2650"/>
      <c r="I48" s="2647"/>
      <c r="J48" s="2650"/>
      <c r="K48" s="1605"/>
      <c r="L48" s="2138"/>
      <c r="M48" s="2128"/>
      <c r="N48" s="2128"/>
      <c r="O48" s="2128"/>
      <c r="P48" s="3426" t="str">
        <f>A48</f>
        <v>成交单价（元/平方米）</v>
      </c>
      <c r="Q48" s="3404"/>
      <c r="R48" s="3485">
        <f>E48</f>
        <v>0</v>
      </c>
      <c r="S48" s="3485"/>
      <c r="T48" s="3485">
        <f>G48</f>
        <v>0</v>
      </c>
      <c r="U48" s="3485"/>
      <c r="V48" s="3485">
        <f>I48</f>
        <v>0</v>
      </c>
      <c r="W48" s="3485"/>
      <c r="X48" s="1554"/>
      <c r="Y48" s="1576"/>
      <c r="Z48" s="1554"/>
      <c r="AA48" s="1554"/>
      <c r="AB48" s="1554"/>
      <c r="AC48" s="1554"/>
    </row>
    <row r="49" spans="1:29" ht="15.75" thickBot="1">
      <c r="A49" s="611" t="s">
        <v>2758</v>
      </c>
      <c r="B49" s="883"/>
      <c r="C49" s="2651" t="e">
        <f>R50</f>
        <v>#DIV/0!</v>
      </c>
      <c r="D49" s="2652"/>
      <c r="E49" s="2653" t="e">
        <f>R49</f>
        <v>#DIV/0!</v>
      </c>
      <c r="F49" s="2653"/>
      <c r="G49" s="2651" t="e">
        <f>T49</f>
        <v>#DIV/0!</v>
      </c>
      <c r="H49" s="2652"/>
      <c r="I49" s="2653" t="e">
        <f>V49</f>
        <v>#DIV/0!</v>
      </c>
      <c r="J49" s="2652"/>
      <c r="K49" s="1606"/>
      <c r="L49" s="2138"/>
      <c r="M49" s="2128"/>
      <c r="N49" s="2128"/>
      <c r="O49" s="2128"/>
      <c r="P49" s="3426" t="str">
        <f>A49</f>
        <v>比较价格（元/平方米）</v>
      </c>
      <c r="Q49" s="340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4"/>
      <c r="Y49" s="1554"/>
      <c r="Z49" s="1554"/>
      <c r="AA49" s="1554"/>
      <c r="AB49" s="1554"/>
      <c r="AC49" s="1554"/>
    </row>
    <row r="50" spans="1:29" ht="15.75" thickBot="1">
      <c r="A50" s="617" t="s">
        <v>2922</v>
      </c>
      <c r="B50" s="618"/>
      <c r="C50" s="2654" t="e">
        <f>R50</f>
        <v>#DIV/0!</v>
      </c>
      <c r="D50" s="2654"/>
      <c r="E50" s="2654"/>
      <c r="F50" s="2654"/>
      <c r="G50" s="2654"/>
      <c r="H50" s="2654"/>
      <c r="I50" s="2654"/>
      <c r="J50" s="2654"/>
      <c r="K50" s="1607"/>
      <c r="L50" s="2138"/>
      <c r="M50" s="2128"/>
      <c r="N50" s="2128"/>
      <c r="O50" s="2128"/>
      <c r="P50" s="3513" t="str">
        <f>A50</f>
        <v>估价对象XX用房的比较价格（楼面单价，元/平方米）</v>
      </c>
      <c r="Q50" s="3426"/>
      <c r="R50" s="3484" t="e">
        <f>IF(F1="售价",ROUND(AVERAGE(R49:V49),0),ROUND(AVERAGE(R49:V49),1))</f>
        <v>#DIV/0!</v>
      </c>
      <c r="S50" s="3484"/>
      <c r="T50" s="3484"/>
      <c r="U50" s="3484"/>
      <c r="V50" s="3484"/>
      <c r="W50" s="3484"/>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573</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2" customFormat="1" ht="15">
      <c r="A59" s="641" t="s">
        <v>528</v>
      </c>
      <c r="B59" s="642"/>
      <c r="C59" s="2820" t="str">
        <f>YEAR(C7)&amp;"-"&amp;MONTH(C7)</f>
        <v>2018-3</v>
      </c>
      <c r="D59" s="2822">
        <f>EDATE(C59,-1)</f>
        <v>43132</v>
      </c>
      <c r="E59" s="2822">
        <f t="shared" ref="E59:O59" si="16">EDATE(D59,-1)</f>
        <v>43101</v>
      </c>
      <c r="F59" s="2822">
        <f t="shared" si="16"/>
        <v>43070</v>
      </c>
      <c r="G59" s="2822">
        <f t="shared" si="16"/>
        <v>43040</v>
      </c>
      <c r="H59" s="2822">
        <f t="shared" si="16"/>
        <v>43009</v>
      </c>
      <c r="I59" s="2822">
        <f t="shared" si="16"/>
        <v>42979</v>
      </c>
      <c r="J59" s="2822">
        <f t="shared" si="16"/>
        <v>42948</v>
      </c>
      <c r="K59" s="2822">
        <f t="shared" si="16"/>
        <v>42917</v>
      </c>
      <c r="L59" s="2822">
        <f t="shared" si="16"/>
        <v>42887</v>
      </c>
      <c r="M59" s="2822">
        <f t="shared" si="16"/>
        <v>42856</v>
      </c>
      <c r="N59" s="2822">
        <f t="shared" si="16"/>
        <v>42826</v>
      </c>
      <c r="O59" s="2822">
        <f t="shared" si="16"/>
        <v>42795</v>
      </c>
      <c r="P59" s="2205"/>
      <c r="Q59" s="2155"/>
      <c r="R59" s="2155"/>
      <c r="S59" s="2155"/>
      <c r="T59" s="2155"/>
      <c r="U59" s="2155"/>
      <c r="V59" s="2155"/>
      <c r="W59" s="2155"/>
      <c r="X59" s="2155"/>
      <c r="Y59" s="2155"/>
      <c r="Z59" s="2155"/>
      <c r="AA59" s="2155"/>
      <c r="AB59" s="2155"/>
      <c r="AC59" s="2155"/>
    </row>
    <row r="60" spans="1:29" s="1215"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5" customFormat="1" ht="15.75" thickBot="1">
      <c r="A61" s="649" t="s">
        <v>574</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5" customFormat="1" ht="15">
      <c r="A62" s="655" t="s">
        <v>530</v>
      </c>
      <c r="B62" s="644"/>
      <c r="C62" s="656" t="s">
        <v>575</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5"/>
      <c r="B63" s="644"/>
      <c r="C63" s="884">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576</v>
      </c>
      <c r="B64" s="661" t="s">
        <v>533</v>
      </c>
      <c r="C64" s="700">
        <f>C9</f>
        <v>0</v>
      </c>
      <c r="D64" s="594"/>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c r="D65" s="667"/>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536</v>
      </c>
      <c r="C66" s="670" t="s">
        <v>736</v>
      </c>
      <c r="D66" s="670" t="s">
        <v>737</v>
      </c>
      <c r="E66" s="670" t="s">
        <v>738</v>
      </c>
      <c r="F66" s="670" t="s">
        <v>739</v>
      </c>
      <c r="G66" s="670" t="s">
        <v>740</v>
      </c>
      <c r="H66" s="670" t="s">
        <v>741</v>
      </c>
      <c r="I66" s="670" t="s">
        <v>742</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7"/>
      <c r="D69" s="537"/>
      <c r="E69" s="537"/>
      <c r="F69" s="537"/>
      <c r="G69" s="537"/>
      <c r="H69" s="537"/>
      <c r="I69" s="537"/>
      <c r="J69" s="537"/>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c r="A77" s="660" t="s">
        <v>538</v>
      </c>
      <c r="B77" s="661" t="s">
        <v>584</v>
      </c>
      <c r="C77" s="699" t="s">
        <v>578</v>
      </c>
      <c r="D77" s="699" t="s">
        <v>579</v>
      </c>
      <c r="E77" s="699" t="s">
        <v>580</v>
      </c>
      <c r="F77" s="699" t="s">
        <v>581</v>
      </c>
      <c r="G77" s="699" t="s">
        <v>582</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585</v>
      </c>
      <c r="C79" s="704" t="s">
        <v>578</v>
      </c>
      <c r="D79" s="704" t="s">
        <v>579</v>
      </c>
      <c r="E79" s="704" t="s">
        <v>580</v>
      </c>
      <c r="F79" s="704" t="s">
        <v>581</v>
      </c>
      <c r="G79" s="704" t="s">
        <v>582</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2555</v>
      </c>
      <c r="C81" s="704" t="s">
        <v>578</v>
      </c>
      <c r="D81" s="704" t="s">
        <v>579</v>
      </c>
      <c r="E81" s="704" t="s">
        <v>580</v>
      </c>
      <c r="F81" s="704" t="s">
        <v>581</v>
      </c>
      <c r="G81" s="704" t="s">
        <v>582</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2556</v>
      </c>
      <c r="C83" s="2616" t="s">
        <v>2557</v>
      </c>
      <c r="D83" s="2616" t="s">
        <v>2558</v>
      </c>
      <c r="E83" s="2616" t="s">
        <v>2559</v>
      </c>
      <c r="F83" s="2616" t="s">
        <v>2560</v>
      </c>
      <c r="G83" s="2616" t="s">
        <v>2561</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783</v>
      </c>
      <c r="C85" s="704" t="s">
        <v>578</v>
      </c>
      <c r="D85" s="704" t="s">
        <v>579</v>
      </c>
      <c r="E85" s="704" t="s">
        <v>580</v>
      </c>
      <c r="F85" s="704" t="s">
        <v>581</v>
      </c>
      <c r="G85" s="704" t="s">
        <v>582</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5"/>
      <c r="B87" s="669" t="s">
        <v>784</v>
      </c>
      <c r="C87" s="684"/>
      <c r="D87" s="684"/>
      <c r="E87" s="684"/>
      <c r="F87" s="684"/>
      <c r="G87" s="684"/>
      <c r="H87" s="684"/>
      <c r="I87" s="684"/>
      <c r="J87" s="684"/>
      <c r="K87" s="684"/>
      <c r="L87" s="885"/>
      <c r="M87" s="886"/>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5"/>
      <c r="B89" s="669" t="str">
        <f>B27</f>
        <v>楼层</v>
      </c>
      <c r="C89" s="684"/>
      <c r="D89" s="684"/>
      <c r="E89" s="684"/>
      <c r="F89" s="887"/>
      <c r="G89" s="684"/>
      <c r="H89" s="684"/>
      <c r="I89" s="684"/>
      <c r="J89" s="684"/>
      <c r="K89" s="684"/>
      <c r="L89" s="684"/>
      <c r="M89" s="886"/>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5"/>
      <c r="B93" s="669">
        <f>B29</f>
        <v>111</v>
      </c>
      <c r="C93" s="684"/>
      <c r="D93" s="684"/>
      <c r="E93" s="684"/>
      <c r="F93" s="684"/>
      <c r="G93" s="684"/>
      <c r="H93" s="684"/>
      <c r="I93" s="684"/>
      <c r="J93" s="684"/>
      <c r="K93" s="684"/>
      <c r="L93" s="885"/>
      <c r="M93" s="886"/>
      <c r="N93" s="2158"/>
      <c r="O93" s="2158"/>
      <c r="P93" s="2208"/>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thickBot="1">
      <c r="A100" s="888"/>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c r="A101" s="660" t="s">
        <v>550</v>
      </c>
      <c r="B101" s="661" t="s">
        <v>746</v>
      </c>
      <c r="C101" s="594"/>
      <c r="D101" s="594"/>
      <c r="E101" s="594"/>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4"/>
      <c r="B104" s="725"/>
      <c r="C104" s="726"/>
      <c r="D104" s="726"/>
      <c r="E104" s="726"/>
      <c r="F104" s="726"/>
      <c r="G104" s="726"/>
      <c r="H104" s="726"/>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3"/>
      <c r="B105" s="674"/>
      <c r="C105" s="688"/>
      <c r="D105" s="667"/>
      <c r="E105" s="667"/>
      <c r="F105" s="667"/>
      <c r="G105" s="667"/>
      <c r="H105" s="667"/>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748</v>
      </c>
      <c r="C106" s="684"/>
      <c r="D106" s="684"/>
      <c r="E106" s="714"/>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750</v>
      </c>
      <c r="C108" s="684"/>
      <c r="D108" s="684"/>
      <c r="E108" s="684"/>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89">
        <v>0.5</v>
      </c>
      <c r="D111" s="889">
        <v>0.6</v>
      </c>
      <c r="E111" s="889">
        <v>0.7</v>
      </c>
      <c r="F111" s="889">
        <v>0.8</v>
      </c>
      <c r="G111" s="889">
        <v>0.9</v>
      </c>
      <c r="H111" s="889">
        <v>1.0001</v>
      </c>
      <c r="I111" s="900"/>
      <c r="J111" s="900"/>
      <c r="K111" s="901"/>
      <c r="L111" s="902"/>
      <c r="M111" s="903"/>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4"/>
      <c r="B113" s="669" t="s">
        <v>785</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752</v>
      </c>
      <c r="C115" s="684"/>
      <c r="D115" s="684"/>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2554</v>
      </c>
      <c r="C117" s="684"/>
      <c r="D117" s="684"/>
      <c r="E117" s="684"/>
      <c r="F117" s="684"/>
      <c r="G117" s="684"/>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2" t="s">
        <v>786</v>
      </c>
      <c r="C119" s="714"/>
      <c r="D119" s="714"/>
      <c r="E119" s="714"/>
      <c r="F119" s="714"/>
      <c r="G119" s="714"/>
      <c r="H119" s="714"/>
      <c r="I119" s="714"/>
      <c r="J119" s="714"/>
      <c r="K119" s="714"/>
      <c r="L119" s="913"/>
      <c r="M119" s="914"/>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4"/>
      <c r="B121" s="669" t="s">
        <v>774</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754</v>
      </c>
      <c r="C123" s="684"/>
      <c r="D123" s="684"/>
      <c r="E123" s="684"/>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755</v>
      </c>
      <c r="C125" s="704" t="s">
        <v>578</v>
      </c>
      <c r="D125" s="704" t="s">
        <v>579</v>
      </c>
      <c r="E125" s="704" t="s">
        <v>580</v>
      </c>
      <c r="F125" s="704" t="s">
        <v>581</v>
      </c>
      <c r="G125" s="704" t="s">
        <v>582</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thickBot="1">
      <c r="A132" s="888"/>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787</v>
      </c>
      <c r="C1" s="500" t="s">
        <v>719</v>
      </c>
      <c r="D1" s="845"/>
      <c r="E1" s="502"/>
      <c r="F1" s="2825"/>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466</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4"/>
    </row>
    <row r="3" spans="1:29" s="1331" customFormat="1" ht="28.5" customHeight="1" thickBot="1">
      <c r="A3" s="505" t="s">
        <v>518</v>
      </c>
      <c r="B3" s="506" t="e">
        <f>C43</f>
        <v>#DIV/0!</v>
      </c>
      <c r="C3" s="848" t="s">
        <v>721</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520</v>
      </c>
      <c r="B4" s="509"/>
      <c r="C4" s="3410" t="s">
        <v>521</v>
      </c>
      <c r="D4" s="3411"/>
      <c r="E4" s="3434" t="s">
        <v>522</v>
      </c>
      <c r="F4" s="3435"/>
      <c r="G4" s="3410" t="s">
        <v>523</v>
      </c>
      <c r="H4" s="3411"/>
      <c r="I4" s="3410" t="s">
        <v>524</v>
      </c>
      <c r="J4" s="3411"/>
      <c r="K4" s="510" t="s">
        <v>525</v>
      </c>
      <c r="L4" s="2127"/>
      <c r="M4" s="2128"/>
      <c r="N4" s="2128"/>
      <c r="O4" s="2128"/>
      <c r="P4" s="3412" t="s">
        <v>526</v>
      </c>
      <c r="Q4" s="3413"/>
      <c r="R4" s="3398" t="s">
        <v>522</v>
      </c>
      <c r="S4" s="3399"/>
      <c r="T4" s="3398" t="s">
        <v>523</v>
      </c>
      <c r="U4" s="3399"/>
      <c r="V4" s="3418" t="s">
        <v>524</v>
      </c>
      <c r="W4" s="3418"/>
      <c r="X4" s="1562"/>
      <c r="Y4" s="3398" t="s">
        <v>526</v>
      </c>
      <c r="Z4" s="3399"/>
      <c r="AA4" s="3393" t="s">
        <v>522</v>
      </c>
      <c r="AB4" s="3394" t="s">
        <v>523</v>
      </c>
      <c r="AC4" s="3393" t="s">
        <v>524</v>
      </c>
    </row>
    <row r="5" spans="1:29" ht="15">
      <c r="A5" s="511"/>
      <c r="B5" s="512"/>
      <c r="C5" s="3421" t="s">
        <v>2916</v>
      </c>
      <c r="D5" s="3422"/>
      <c r="E5" s="3436" t="s">
        <v>2917</v>
      </c>
      <c r="F5" s="3437"/>
      <c r="G5" s="3421" t="s">
        <v>2918</v>
      </c>
      <c r="H5" s="3422"/>
      <c r="I5" s="3421" t="s">
        <v>2919</v>
      </c>
      <c r="J5" s="3422"/>
      <c r="K5" s="510"/>
      <c r="L5" s="2127"/>
      <c r="M5" s="2128"/>
      <c r="N5" s="2128"/>
      <c r="O5" s="2128"/>
      <c r="P5" s="3414"/>
      <c r="Q5" s="3415"/>
      <c r="R5" s="3400"/>
      <c r="S5" s="3401"/>
      <c r="T5" s="3400"/>
      <c r="U5" s="3401"/>
      <c r="V5" s="3418"/>
      <c r="W5" s="3418"/>
      <c r="X5" s="1562"/>
      <c r="Y5" s="3400"/>
      <c r="Z5" s="3401"/>
      <c r="AA5" s="3394"/>
      <c r="AB5" s="3394"/>
      <c r="AC5" s="3394"/>
    </row>
    <row r="6" spans="1:29" ht="15.75" thickBot="1">
      <c r="A6" s="513"/>
      <c r="B6" s="514"/>
      <c r="C6" s="3419" t="s">
        <v>2920</v>
      </c>
      <c r="D6" s="3420"/>
      <c r="E6" s="3438" t="s">
        <v>2920</v>
      </c>
      <c r="F6" s="3439"/>
      <c r="G6" s="3419" t="s">
        <v>2920</v>
      </c>
      <c r="H6" s="3420"/>
      <c r="I6" s="3419" t="s">
        <v>2920</v>
      </c>
      <c r="J6" s="3420"/>
      <c r="K6" s="510" t="s">
        <v>527</v>
      </c>
      <c r="L6" s="2127"/>
      <c r="M6" s="2128"/>
      <c r="N6" s="2128"/>
      <c r="O6" s="2128"/>
      <c r="P6" s="3416"/>
      <c r="Q6" s="3417"/>
      <c r="R6" s="3400"/>
      <c r="S6" s="3401"/>
      <c r="T6" s="3402"/>
      <c r="U6" s="3403"/>
      <c r="V6" s="3418"/>
      <c r="W6" s="3418"/>
      <c r="X6" s="1562"/>
      <c r="Y6" s="3402"/>
      <c r="Z6" s="3403"/>
      <c r="AA6" s="3395"/>
      <c r="AB6" s="3395"/>
      <c r="AC6" s="3395"/>
    </row>
    <row r="7" spans="1:29" s="1215" customFormat="1" ht="15.75" thickBot="1">
      <c r="A7" s="2930"/>
      <c r="B7" s="2937" t="s">
        <v>528</v>
      </c>
      <c r="C7" s="515">
        <f>'数据-取费表'!B2</f>
        <v>43182</v>
      </c>
      <c r="D7" s="516">
        <v>100</v>
      </c>
      <c r="E7" s="517"/>
      <c r="F7" s="518">
        <f>SUMIF(52:52,YEAR(E7)&amp;"-"&amp;MONTH(E7),53:53)</f>
        <v>0</v>
      </c>
      <c r="G7" s="517"/>
      <c r="H7" s="516">
        <f>SUMIF(52:52,YEAR(G7)&amp;"-"&amp;MONTH(G7),53:53)</f>
        <v>0</v>
      </c>
      <c r="I7" s="517"/>
      <c r="J7" s="516">
        <f>SUMIF(52:52,YEAR(I7)&amp;"-"&amp;MONTH(I7),53:53)</f>
        <v>0</v>
      </c>
      <c r="K7" s="520"/>
      <c r="L7" s="2129"/>
      <c r="M7" s="2130"/>
      <c r="N7" s="2130"/>
      <c r="O7" s="2130"/>
      <c r="P7" s="3396" t="s">
        <v>529</v>
      </c>
      <c r="Q7" s="3405"/>
      <c r="R7" s="1563" t="s">
        <v>8</v>
      </c>
      <c r="S7" s="1564">
        <f t="shared" ref="S7:S15" si="0">F7</f>
        <v>0</v>
      </c>
      <c r="T7" s="1563" t="s">
        <v>8</v>
      </c>
      <c r="U7" s="1564">
        <f t="shared" ref="U7:U15" si="1">H7</f>
        <v>0</v>
      </c>
      <c r="V7" s="1563" t="s">
        <v>8</v>
      </c>
      <c r="W7" s="1564">
        <f t="shared" ref="W7:W15" si="2">J7</f>
        <v>0</v>
      </c>
      <c r="X7" s="1565"/>
      <c r="Y7" s="3396" t="s">
        <v>529</v>
      </c>
      <c r="Z7" s="3397"/>
      <c r="AA7" s="1566" t="e">
        <f>D7/F7</f>
        <v>#DIV/0!</v>
      </c>
      <c r="AB7" s="1566" t="e">
        <f>D7/H7</f>
        <v>#DIV/0!</v>
      </c>
      <c r="AC7" s="1566" t="e">
        <f>D7/J7</f>
        <v>#DIV/0!</v>
      </c>
    </row>
    <row r="8" spans="1:29" s="1215" customFormat="1" ht="15.75" thickBot="1">
      <c r="A8" s="2931"/>
      <c r="B8" s="2938" t="s">
        <v>530</v>
      </c>
      <c r="C8" s="521" t="s">
        <v>575</v>
      </c>
      <c r="D8" s="516">
        <v>100</v>
      </c>
      <c r="E8" s="521"/>
      <c r="F8" s="518">
        <f>SUMIF(55:55,E8,56:56)-SUMIF(55:55,C8,56:56)+100</f>
        <v>0</v>
      </c>
      <c r="G8" s="521"/>
      <c r="H8" s="516">
        <f>SUMIF(55:55,G8,56:56)-SUMIF(55:55,C8,56:56)+100</f>
        <v>0</v>
      </c>
      <c r="I8" s="521"/>
      <c r="J8" s="516">
        <f>SUMIF(55:55,I8,56:56)-SUMIF(55:55,C8,56:56)+100</f>
        <v>0</v>
      </c>
      <c r="K8" s="520"/>
      <c r="L8" s="2129"/>
      <c r="M8" s="2130"/>
      <c r="N8" s="2130"/>
      <c r="O8" s="2130"/>
      <c r="P8" s="3396" t="s">
        <v>532</v>
      </c>
      <c r="Q8" s="3397"/>
      <c r="R8" s="1563" t="s">
        <v>8</v>
      </c>
      <c r="S8" s="1564">
        <f t="shared" si="0"/>
        <v>0</v>
      </c>
      <c r="T8" s="1563" t="s">
        <v>8</v>
      </c>
      <c r="U8" s="1564">
        <f t="shared" si="1"/>
        <v>0</v>
      </c>
      <c r="V8" s="1563" t="s">
        <v>8</v>
      </c>
      <c r="W8" s="1564">
        <f t="shared" si="2"/>
        <v>0</v>
      </c>
      <c r="X8" s="1565"/>
      <c r="Y8" s="3396" t="s">
        <v>532</v>
      </c>
      <c r="Z8" s="3397"/>
      <c r="AA8" s="1566" t="e">
        <f t="shared" ref="AA8:AA40" si="3">D8/F8</f>
        <v>#DIV/0!</v>
      </c>
      <c r="AB8" s="1566" t="e">
        <f t="shared" ref="AB8:AB40" si="4">D8/H8</f>
        <v>#DIV/0!</v>
      </c>
      <c r="AC8" s="1566" t="e">
        <f t="shared" ref="AC8:AC40" si="5">D8/J8</f>
        <v>#DIV/0!</v>
      </c>
    </row>
    <row r="9" spans="1:29" s="1215" customFormat="1" ht="15">
      <c r="A9" s="2932"/>
      <c r="B9" s="2939" t="s">
        <v>2754</v>
      </c>
      <c r="C9" s="853"/>
      <c r="D9" s="252">
        <v>100</v>
      </c>
      <c r="E9" s="856"/>
      <c r="F9" s="252">
        <f>SUMIF(57:57,E9,58:58)-SUMIF(57:57,C9,58:58)+100</f>
        <v>100</v>
      </c>
      <c r="G9" s="854"/>
      <c r="H9" s="252">
        <f>SUMIF(57:57,G9,58:58)-SUMIF(57:57,C9,58:58)+100</f>
        <v>100</v>
      </c>
      <c r="I9" s="854"/>
      <c r="J9" s="252">
        <f>SUMIF(57:57,I9,58:58)-SUMIF(57:57,C9,58:58)+100</f>
        <v>100</v>
      </c>
      <c r="K9" s="520"/>
      <c r="L9" s="2129"/>
      <c r="M9" s="2130"/>
      <c r="N9" s="2130"/>
      <c r="O9" s="2131"/>
      <c r="P9" s="3404" t="s">
        <v>534</v>
      </c>
      <c r="Q9" s="1146" t="str">
        <f t="shared" ref="Q9:Q15" si="6">B9</f>
        <v>用途</v>
      </c>
      <c r="R9" s="1563" t="s">
        <v>8</v>
      </c>
      <c r="S9" s="1564">
        <f t="shared" si="0"/>
        <v>100</v>
      </c>
      <c r="T9" s="1563" t="s">
        <v>8</v>
      </c>
      <c r="U9" s="1564">
        <f t="shared" si="1"/>
        <v>100</v>
      </c>
      <c r="V9" s="1563" t="s">
        <v>8</v>
      </c>
      <c r="W9" s="1564">
        <f t="shared" si="2"/>
        <v>100</v>
      </c>
      <c r="X9" s="1565"/>
      <c r="Y9" s="3361"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SUMIF(59:59,E10,60:60)-SUMIF(59:59,C10,60:60)+100</f>
        <v>100</v>
      </c>
      <c r="G10" s="858"/>
      <c r="H10" s="253">
        <f>SUMIF(59:59,G10,60:60)-SUMIF(59:59,C10,60:60)+100</f>
        <v>100</v>
      </c>
      <c r="I10" s="857"/>
      <c r="J10" s="253">
        <f>SUMIF(59:59,I10,60:60)-SUMIF(59:59,C10,60:60)+100</f>
        <v>100</v>
      </c>
      <c r="K10" s="580"/>
      <c r="L10" s="2132"/>
      <c r="M10" s="2172"/>
      <c r="N10" s="2172"/>
      <c r="O10" s="2133"/>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4"/>
      <c r="M11" s="2128"/>
      <c r="N11" s="2128"/>
      <c r="O11" s="2135"/>
      <c r="P11" s="3404"/>
      <c r="Q11" s="1146" t="str">
        <f t="shared" si="6"/>
        <v>容积率</v>
      </c>
      <c r="R11" s="1563" t="s">
        <v>8</v>
      </c>
      <c r="S11" s="1564" t="e">
        <f t="shared" si="0"/>
        <v>#N/A</v>
      </c>
      <c r="T11" s="1563" t="s">
        <v>8</v>
      </c>
      <c r="U11" s="1564" t="e">
        <f t="shared" si="1"/>
        <v>#N/A</v>
      </c>
      <c r="V11" s="1563" t="s">
        <v>8</v>
      </c>
      <c r="W11" s="1564" t="e">
        <f t="shared" si="2"/>
        <v>#N/A</v>
      </c>
      <c r="X11" s="1565"/>
      <c r="Y11" s="3361"/>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3">
        <f>SUMIF(64:64,E12,65:65)-SUMIF(64:64,C12,65:65)+100</f>
        <v>100</v>
      </c>
      <c r="G12" s="915"/>
      <c r="H12" s="253">
        <f>SUMIF(64:64,G12,65:65)-SUMIF(64:64,C12,65:65)+100</f>
        <v>100</v>
      </c>
      <c r="I12" s="875"/>
      <c r="J12" s="253">
        <f>SUMIF(64:64,I12,65:65)-SUMIF(64:64,C12,65:65)+100</f>
        <v>100</v>
      </c>
      <c r="K12" s="577"/>
      <c r="L12" s="2129"/>
      <c r="M12" s="2130"/>
      <c r="N12" s="2130"/>
      <c r="O12" s="2131"/>
      <c r="P12" s="3404"/>
      <c r="Q12" s="1146">
        <f t="shared" si="6"/>
        <v>111</v>
      </c>
      <c r="R12" s="1563" t="s">
        <v>8</v>
      </c>
      <c r="S12" s="1564">
        <f t="shared" si="0"/>
        <v>100</v>
      </c>
      <c r="T12" s="1563" t="s">
        <v>8</v>
      </c>
      <c r="U12" s="1564">
        <f t="shared" si="1"/>
        <v>100</v>
      </c>
      <c r="V12" s="1563" t="s">
        <v>8</v>
      </c>
      <c r="W12" s="1564">
        <f t="shared" si="2"/>
        <v>100</v>
      </c>
      <c r="X12" s="1565"/>
      <c r="Y12" s="3361"/>
      <c r="Z12" s="1145">
        <f t="shared" si="7"/>
        <v>111</v>
      </c>
      <c r="AA12" s="1566">
        <f>D12/F12</f>
        <v>1</v>
      </c>
      <c r="AB12" s="1566">
        <f>D12/H12</f>
        <v>1</v>
      </c>
      <c r="AC12" s="1566">
        <f>D12/J12</f>
        <v>1</v>
      </c>
    </row>
    <row r="13" spans="1:29" ht="15">
      <c r="A13" s="2935"/>
      <c r="B13" s="2941">
        <v>111</v>
      </c>
      <c r="C13" s="535"/>
      <c r="D13" s="536">
        <v>100</v>
      </c>
      <c r="E13" s="535"/>
      <c r="F13" s="253">
        <f>SUMIF(66:66,E13,67:67)-SUMIF(66:66,C13,67:67)+100</f>
        <v>100</v>
      </c>
      <c r="G13" s="915"/>
      <c r="H13" s="536">
        <f>SUMIF(66:66,G13,67:67)-SUMIF(66:66,C13,67:67)+100</f>
        <v>100</v>
      </c>
      <c r="I13" s="875"/>
      <c r="J13" s="536">
        <f>SUMIF(66:66,I13,67:67)-SUMIF(66:66,C13,67:67)+100</f>
        <v>100</v>
      </c>
      <c r="K13" s="577"/>
      <c r="L13" s="2136"/>
      <c r="M13" s="2128"/>
      <c r="N13" s="2128"/>
      <c r="O13" s="2135"/>
      <c r="P13" s="3404"/>
      <c r="Q13" s="1146">
        <f t="shared" si="6"/>
        <v>111</v>
      </c>
      <c r="R13" s="1563" t="s">
        <v>8</v>
      </c>
      <c r="S13" s="1564">
        <f t="shared" si="0"/>
        <v>100</v>
      </c>
      <c r="T13" s="1563" t="s">
        <v>8</v>
      </c>
      <c r="U13" s="1564">
        <f t="shared" si="1"/>
        <v>100</v>
      </c>
      <c r="V13" s="1563" t="s">
        <v>8</v>
      </c>
      <c r="W13" s="1564">
        <f t="shared" si="2"/>
        <v>100</v>
      </c>
      <c r="X13" s="1565"/>
      <c r="Y13" s="3361"/>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6"/>
      <c r="M14" s="2128"/>
      <c r="N14" s="2128"/>
      <c r="O14" s="2135"/>
      <c r="P14" s="3404"/>
      <c r="Q14" s="1146">
        <f t="shared" si="6"/>
        <v>111</v>
      </c>
      <c r="R14" s="1563" t="s">
        <v>8</v>
      </c>
      <c r="S14" s="1564">
        <f t="shared" si="0"/>
        <v>100</v>
      </c>
      <c r="T14" s="1563" t="s">
        <v>8</v>
      </c>
      <c r="U14" s="1564">
        <f t="shared" si="1"/>
        <v>100</v>
      </c>
      <c r="V14" s="1563" t="s">
        <v>8</v>
      </c>
      <c r="W14" s="1564">
        <f t="shared" si="2"/>
        <v>100</v>
      </c>
      <c r="X14" s="1565"/>
      <c r="Y14" s="3361"/>
      <c r="Z14" s="1145">
        <f t="shared" si="7"/>
        <v>111</v>
      </c>
      <c r="AA14" s="1566">
        <f t="shared" si="3"/>
        <v>1</v>
      </c>
      <c r="AB14" s="1566">
        <f t="shared" si="4"/>
        <v>1</v>
      </c>
      <c r="AC14" s="1566">
        <f t="shared" si="5"/>
        <v>1</v>
      </c>
    </row>
    <row r="15" spans="1:29" ht="15">
      <c r="A15" s="2928" t="s">
        <v>2752</v>
      </c>
      <c r="B15" s="166" t="s">
        <v>788</v>
      </c>
      <c r="C15" s="916">
        <f>估价对象房地状况!G3</f>
        <v>0</v>
      </c>
      <c r="D15" s="545">
        <v>100</v>
      </c>
      <c r="E15" s="546"/>
      <c r="F15" s="547">
        <f>SUMIF(70:70,E16,71:71)-SUMIF(70:70,C16,71:71)+100</f>
        <v>100</v>
      </c>
      <c r="G15" s="548"/>
      <c r="H15" s="545">
        <f>SUMIF(70:70,G16,71:71)-SUMIF(70:70,C16,71:71)+100</f>
        <v>100</v>
      </c>
      <c r="I15" s="546"/>
      <c r="J15" s="545">
        <f>SUMIF(70:70,I16,71:71)-SUMIF(70:70,C16,71:71)+100</f>
        <v>100</v>
      </c>
      <c r="K15" s="893"/>
      <c r="L15" s="2136"/>
      <c r="M15" s="2128"/>
      <c r="N15" s="2128"/>
      <c r="O15" s="2135"/>
      <c r="P15" s="3406" t="s">
        <v>539</v>
      </c>
      <c r="Q15" s="1567" t="str">
        <f t="shared" si="6"/>
        <v>产业集聚程度</v>
      </c>
      <c r="R15" s="1568" t="s">
        <v>8</v>
      </c>
      <c r="S15" s="1569">
        <f t="shared" si="0"/>
        <v>100</v>
      </c>
      <c r="T15" s="1568" t="s">
        <v>8</v>
      </c>
      <c r="U15" s="1569">
        <f t="shared" si="1"/>
        <v>100</v>
      </c>
      <c r="V15" s="1568" t="s">
        <v>8</v>
      </c>
      <c r="W15" s="1569">
        <f t="shared" si="2"/>
        <v>100</v>
      </c>
      <c r="X15" s="1562"/>
      <c r="Y15" s="3406"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6"/>
      <c r="M16" s="2128"/>
      <c r="N16" s="2128"/>
      <c r="O16" s="2135"/>
      <c r="P16" s="3407"/>
      <c r="Q16" s="1567"/>
      <c r="R16" s="1568"/>
      <c r="S16" s="1569"/>
      <c r="T16" s="1568"/>
      <c r="U16" s="1569"/>
      <c r="V16" s="1568"/>
      <c r="W16" s="1569"/>
      <c r="X16" s="1562"/>
      <c r="Y16" s="3407"/>
      <c r="Z16" s="1570"/>
      <c r="AA16" s="1571">
        <v>1</v>
      </c>
      <c r="AB16" s="1571">
        <v>1</v>
      </c>
      <c r="AC16" s="1571">
        <v>1</v>
      </c>
    </row>
    <row r="17" spans="1:29" ht="15">
      <c r="A17" s="528"/>
      <c r="B17" s="867" t="s">
        <v>296</v>
      </c>
      <c r="C17" s="868">
        <f>估价对象房地状况!G4</f>
        <v>0</v>
      </c>
      <c r="D17" s="555">
        <v>100</v>
      </c>
      <c r="E17" s="558"/>
      <c r="F17" s="559">
        <f>SUMIF(72:72,E18,73:73)-SUMIF(72:72,C18,73:73)+100</f>
        <v>100</v>
      </c>
      <c r="G17" s="560"/>
      <c r="H17" s="561">
        <f>SUMIF(72:72,G18,73:73)-SUMIF(72:72,C18,73:73)+100</f>
        <v>100</v>
      </c>
      <c r="I17" s="558"/>
      <c r="J17" s="561">
        <f>SUMIF(72:72,I18,73:73)-SUMIF(72:72,C18,73:73)+100</f>
        <v>100</v>
      </c>
      <c r="K17" s="893"/>
      <c r="L17" s="2136"/>
      <c r="M17" s="2128"/>
      <c r="N17" s="2128"/>
      <c r="O17" s="2135"/>
      <c r="P17" s="3407"/>
      <c r="Q17" s="1567" t="str">
        <f>B17</f>
        <v>交通便捷度</v>
      </c>
      <c r="R17" s="1568" t="s">
        <v>8</v>
      </c>
      <c r="S17" s="1569">
        <f>F17</f>
        <v>100</v>
      </c>
      <c r="T17" s="1568" t="s">
        <v>8</v>
      </c>
      <c r="U17" s="1569">
        <f>H17</f>
        <v>100</v>
      </c>
      <c r="V17" s="1568" t="s">
        <v>8</v>
      </c>
      <c r="W17" s="1569">
        <f>J17</f>
        <v>100</v>
      </c>
      <c r="X17" s="1562"/>
      <c r="Y17" s="3407"/>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6"/>
      <c r="M18" s="2128"/>
      <c r="N18" s="2128"/>
      <c r="O18" s="2135"/>
      <c r="P18" s="3407"/>
      <c r="Q18" s="1567"/>
      <c r="R18" s="1568"/>
      <c r="S18" s="1569"/>
      <c r="T18" s="1568"/>
      <c r="U18" s="1569"/>
      <c r="V18" s="1568"/>
      <c r="W18" s="1569"/>
      <c r="X18" s="1562"/>
      <c r="Y18" s="3407"/>
      <c r="Z18" s="1570"/>
      <c r="AA18" s="1571">
        <v>1</v>
      </c>
      <c r="AB18" s="1571">
        <v>1</v>
      </c>
      <c r="AC18" s="1571">
        <v>1</v>
      </c>
    </row>
    <row r="19" spans="1:29" ht="15">
      <c r="A19" s="528"/>
      <c r="B19" s="2621" t="s">
        <v>2544</v>
      </c>
      <c r="C19" s="868">
        <f>估价对象房地状况!G5</f>
        <v>0</v>
      </c>
      <c r="D19" s="561">
        <v>100</v>
      </c>
      <c r="E19" s="566"/>
      <c r="F19" s="567">
        <f>SUMIF(74:74,E20,75:75)-SUMIF(74:74,C20,75:75)+100</f>
        <v>100</v>
      </c>
      <c r="G19" s="568"/>
      <c r="H19" s="555">
        <f>SUMIF(74:74,G20,75:75)-SUMIF(74:74,C20,75:75)+100</f>
        <v>100</v>
      </c>
      <c r="I19" s="566"/>
      <c r="J19" s="555">
        <f>SUMIF(74:74,I20,75:75)-SUMIF(74:74,C20,75:75)+100</f>
        <v>100</v>
      </c>
      <c r="K19" s="893"/>
      <c r="L19" s="2136"/>
      <c r="M19" s="2128"/>
      <c r="N19" s="2128"/>
      <c r="O19" s="2135"/>
      <c r="P19" s="3407"/>
      <c r="Q19" s="1567" t="str">
        <f>B19</f>
        <v>公共配套设施</v>
      </c>
      <c r="R19" s="1568" t="s">
        <v>8</v>
      </c>
      <c r="S19" s="1569">
        <f>F19</f>
        <v>100</v>
      </c>
      <c r="T19" s="1568" t="s">
        <v>8</v>
      </c>
      <c r="U19" s="1569">
        <f>H19</f>
        <v>100</v>
      </c>
      <c r="V19" s="1568" t="s">
        <v>8</v>
      </c>
      <c r="W19" s="1569">
        <f>J19</f>
        <v>100</v>
      </c>
      <c r="X19" s="1562"/>
      <c r="Y19" s="3407"/>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6"/>
      <c r="M20" s="2128"/>
      <c r="N20" s="2128"/>
      <c r="O20" s="2135"/>
      <c r="P20" s="3407"/>
      <c r="Q20" s="1567"/>
      <c r="R20" s="1568"/>
      <c r="S20" s="1569"/>
      <c r="T20" s="1568"/>
      <c r="U20" s="1569"/>
      <c r="V20" s="1568"/>
      <c r="W20" s="1569"/>
      <c r="X20" s="1562"/>
      <c r="Y20" s="3407"/>
      <c r="Z20" s="1570"/>
      <c r="AA20" s="1571">
        <v>1</v>
      </c>
      <c r="AB20" s="1571">
        <v>1</v>
      </c>
      <c r="AC20" s="1571">
        <v>1</v>
      </c>
    </row>
    <row r="21" spans="1:29" ht="15">
      <c r="A21" s="528"/>
      <c r="B21" s="2609" t="s">
        <v>2556</v>
      </c>
      <c r="C21" s="868">
        <f>估价对象房地状况!G6</f>
        <v>0</v>
      </c>
      <c r="D21" s="561">
        <v>100</v>
      </c>
      <c r="E21" s="568"/>
      <c r="F21" s="567">
        <f>SUMIF(76:76,E22,77:77)-SUMIF(76:76,C22,77:77)+100</f>
        <v>100</v>
      </c>
      <c r="G21" s="568"/>
      <c r="H21" s="561">
        <f>SUMIF(76:76,G22,77:77)-SUMIF(76:76,C22,77:77)+100</f>
        <v>100</v>
      </c>
      <c r="I21" s="566"/>
      <c r="J21" s="561">
        <f>SUMIF(76:76,I22,77:77)-SUMIF(76:76,C22,77:77)+100</f>
        <v>100</v>
      </c>
      <c r="K21" s="893"/>
      <c r="L21" s="2136"/>
      <c r="M21" s="2128"/>
      <c r="N21" s="2128"/>
      <c r="O21" s="2135"/>
      <c r="P21" s="3407"/>
      <c r="Q21" s="2597" t="str">
        <f>B21</f>
        <v>基础设施水平</v>
      </c>
      <c r="R21" s="1568" t="s">
        <v>8</v>
      </c>
      <c r="S21" s="1569">
        <f>F21</f>
        <v>100</v>
      </c>
      <c r="T21" s="1568" t="s">
        <v>8</v>
      </c>
      <c r="U21" s="1569">
        <f>H21</f>
        <v>100</v>
      </c>
      <c r="V21" s="1568" t="s">
        <v>8</v>
      </c>
      <c r="W21" s="1569">
        <f>J21</f>
        <v>100</v>
      </c>
      <c r="X21" s="2599"/>
      <c r="Y21" s="3407"/>
      <c r="Z21" s="2598"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0"/>
      <c r="L22" s="2136"/>
      <c r="M22" s="2128"/>
      <c r="N22" s="2128"/>
      <c r="O22" s="2135"/>
      <c r="P22" s="3407"/>
      <c r="Q22" s="2597"/>
      <c r="R22" s="1568"/>
      <c r="S22" s="1569"/>
      <c r="T22" s="1568"/>
      <c r="U22" s="1569"/>
      <c r="V22" s="1568"/>
      <c r="W22" s="1569"/>
      <c r="X22" s="2599"/>
      <c r="Y22" s="3407"/>
      <c r="Z22" s="2598"/>
      <c r="AA22" s="1571">
        <v>1</v>
      </c>
      <c r="AB22" s="1571">
        <v>1</v>
      </c>
      <c r="AC22" s="1571">
        <v>1</v>
      </c>
    </row>
    <row r="23" spans="1:29" ht="15">
      <c r="A23" s="528"/>
      <c r="B23" s="867" t="s">
        <v>777</v>
      </c>
      <c r="C23" s="868">
        <f>估价对象房地状况!G7</f>
        <v>0</v>
      </c>
      <c r="D23" s="555">
        <v>100</v>
      </c>
      <c r="E23" s="558"/>
      <c r="F23" s="559">
        <f>SUMIF(78:78,E24,79:79)-SUMIF(78:78,C24,79:79)+100</f>
        <v>100</v>
      </c>
      <c r="G23" s="560"/>
      <c r="H23" s="555">
        <f>SUMIF(78:78,G24,79:79)-SUMIF(78:78,C24,79:79)+100</f>
        <v>100</v>
      </c>
      <c r="I23" s="558"/>
      <c r="J23" s="555">
        <f>SUMIF(78:78,I24,79:79)-SUMIF(78:78,C24,79:79)+100</f>
        <v>100</v>
      </c>
      <c r="K23" s="893"/>
      <c r="L23" s="2136"/>
      <c r="M23" s="2128"/>
      <c r="N23" s="2128"/>
      <c r="O23" s="2135"/>
      <c r="P23" s="3407"/>
      <c r="Q23" s="1567" t="str">
        <f>B23</f>
        <v>环境质量</v>
      </c>
      <c r="R23" s="1568" t="s">
        <v>8</v>
      </c>
      <c r="S23" s="1569">
        <f>F23</f>
        <v>100</v>
      </c>
      <c r="T23" s="1568" t="s">
        <v>8</v>
      </c>
      <c r="U23" s="1569">
        <f>H23</f>
        <v>100</v>
      </c>
      <c r="V23" s="1568" t="s">
        <v>8</v>
      </c>
      <c r="W23" s="1569">
        <f>J23</f>
        <v>100</v>
      </c>
      <c r="X23" s="1562"/>
      <c r="Y23" s="3407"/>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6"/>
      <c r="M24" s="2128"/>
      <c r="N24" s="2128"/>
      <c r="O24" s="2135"/>
      <c r="P24" s="3407"/>
      <c r="Q24" s="1567"/>
      <c r="R24" s="1568"/>
      <c r="S24" s="1569"/>
      <c r="T24" s="1568"/>
      <c r="U24" s="1569"/>
      <c r="V24" s="1568"/>
      <c r="W24" s="1569"/>
      <c r="X24" s="1562"/>
      <c r="Y24" s="3407"/>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6"/>
      <c r="M25" s="2128"/>
      <c r="N25" s="2128"/>
      <c r="O25" s="2135"/>
      <c r="P25" s="3407"/>
      <c r="Q25" s="1567">
        <f>B25</f>
        <v>111</v>
      </c>
      <c r="R25" s="1568" t="s">
        <v>8</v>
      </c>
      <c r="S25" s="1569">
        <f>F25</f>
        <v>100</v>
      </c>
      <c r="T25" s="1568" t="s">
        <v>8</v>
      </c>
      <c r="U25" s="1569">
        <f>H25</f>
        <v>100</v>
      </c>
      <c r="V25" s="1568" t="s">
        <v>8</v>
      </c>
      <c r="W25" s="1569">
        <f>J25</f>
        <v>100</v>
      </c>
      <c r="X25" s="1562"/>
      <c r="Y25" s="3407"/>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6"/>
      <c r="M26" s="2128"/>
      <c r="N26" s="2128"/>
      <c r="O26" s="2135"/>
      <c r="P26" s="3407"/>
      <c r="Q26" s="1567">
        <f t="shared" ref="Q26:Q40" si="11">B26</f>
        <v>111</v>
      </c>
      <c r="R26" s="1568" t="s">
        <v>8</v>
      </c>
      <c r="S26" s="1569">
        <f>F26</f>
        <v>100</v>
      </c>
      <c r="T26" s="1568" t="s">
        <v>8</v>
      </c>
      <c r="U26" s="1569">
        <f>H26</f>
        <v>100</v>
      </c>
      <c r="V26" s="1568" t="s">
        <v>8</v>
      </c>
      <c r="W26" s="1569">
        <f>J26</f>
        <v>100</v>
      </c>
      <c r="X26" s="1562"/>
      <c r="Y26" s="3407"/>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9"/>
      <c r="M27" s="2130"/>
      <c r="N27" s="2130"/>
      <c r="O27" s="2131"/>
      <c r="P27" s="3407"/>
      <c r="Q27" s="1146">
        <f t="shared" si="11"/>
        <v>111</v>
      </c>
      <c r="R27" s="1563" t="s">
        <v>8</v>
      </c>
      <c r="S27" s="1564">
        <f>F27</f>
        <v>100</v>
      </c>
      <c r="T27" s="1563" t="s">
        <v>8</v>
      </c>
      <c r="U27" s="1564">
        <f>H27</f>
        <v>100</v>
      </c>
      <c r="V27" s="1563" t="s">
        <v>8</v>
      </c>
      <c r="W27" s="1564">
        <f>J27</f>
        <v>100</v>
      </c>
      <c r="X27" s="1565"/>
      <c r="Y27" s="3407"/>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6"/>
      <c r="M28" s="2128"/>
      <c r="N28" s="2128"/>
      <c r="O28" s="2135"/>
      <c r="P28" s="3407"/>
      <c r="Q28" s="1567">
        <f t="shared" si="11"/>
        <v>111</v>
      </c>
      <c r="R28" s="1568" t="s">
        <v>8</v>
      </c>
      <c r="S28" s="1569">
        <f t="shared" ref="S28:S40" si="12">F28</f>
        <v>100</v>
      </c>
      <c r="T28" s="1568" t="s">
        <v>8</v>
      </c>
      <c r="U28" s="1569">
        <f t="shared" ref="U28:U40" si="13">H28</f>
        <v>100</v>
      </c>
      <c r="V28" s="1568" t="s">
        <v>8</v>
      </c>
      <c r="W28" s="1569">
        <f t="shared" ref="W28:W40" si="14">J28</f>
        <v>100</v>
      </c>
      <c r="X28" s="1562"/>
      <c r="Y28" s="3407"/>
      <c r="Z28" s="1570">
        <f t="shared" ref="Z28:Z40" si="15">Q28</f>
        <v>111</v>
      </c>
      <c r="AA28" s="1571">
        <f t="shared" si="3"/>
        <v>1</v>
      </c>
      <c r="AB28" s="1571">
        <f t="shared" si="4"/>
        <v>1</v>
      </c>
      <c r="AC28" s="1571">
        <f t="shared" si="5"/>
        <v>1</v>
      </c>
    </row>
    <row r="29" spans="1:29" ht="15">
      <c r="A29" s="2925" t="s">
        <v>2753</v>
      </c>
      <c r="B29" s="172" t="s">
        <v>779</v>
      </c>
      <c r="C29" s="911"/>
      <c r="D29" s="593">
        <v>100</v>
      </c>
      <c r="E29" s="911"/>
      <c r="F29" s="571">
        <f>SUMIF(88:88,E29,89:89)-SUMIF(88:88,C29,89:89)+100</f>
        <v>100</v>
      </c>
      <c r="G29" s="911"/>
      <c r="H29" s="536">
        <f>SUMIF(88:88,G29,89:89)-SUMIF(88:88,C29,89:89)+100</f>
        <v>100</v>
      </c>
      <c r="I29" s="911"/>
      <c r="J29" s="593">
        <f>SUMIF(88:88,I29,89:89)-SUMIF(88:88,C29,89:89)+100</f>
        <v>100</v>
      </c>
      <c r="K29" s="580"/>
      <c r="L29" s="2136"/>
      <c r="M29" s="2128"/>
      <c r="N29" s="2128"/>
      <c r="O29" s="2135"/>
      <c r="P29" s="3408" t="s">
        <v>549</v>
      </c>
      <c r="Q29" s="1567" t="str">
        <f t="shared" si="11"/>
        <v>建筑类型</v>
      </c>
      <c r="R29" s="1568" t="s">
        <v>8</v>
      </c>
      <c r="S29" s="1569">
        <f t="shared" si="12"/>
        <v>100</v>
      </c>
      <c r="T29" s="1568" t="s">
        <v>8</v>
      </c>
      <c r="U29" s="1569">
        <f t="shared" si="13"/>
        <v>100</v>
      </c>
      <c r="V29" s="1568" t="s">
        <v>8</v>
      </c>
      <c r="W29" s="1569">
        <f t="shared" si="14"/>
        <v>100</v>
      </c>
      <c r="X29" s="1562"/>
      <c r="Y29" s="3409" t="s">
        <v>549</v>
      </c>
      <c r="Z29" s="1570" t="str">
        <f t="shared" si="15"/>
        <v>建筑类型</v>
      </c>
      <c r="AA29" s="1571">
        <f t="shared" si="3"/>
        <v>1</v>
      </c>
      <c r="AB29" s="1571">
        <f t="shared" si="4"/>
        <v>1</v>
      </c>
      <c r="AC29" s="1571">
        <f t="shared" si="5"/>
        <v>1</v>
      </c>
    </row>
    <row r="30" spans="1:29" s="1334" customFormat="1" ht="15">
      <c r="A30" s="599"/>
      <c r="B30" s="523" t="s">
        <v>725</v>
      </c>
      <c r="C30" s="875"/>
      <c r="D30" s="253">
        <v>100</v>
      </c>
      <c r="E30" s="530"/>
      <c r="F30" s="859" t="e">
        <f>LOOKUP(E30,91:91,92:92)-LOOKUP(C30,91:91,92:92)+100</f>
        <v>#N/A</v>
      </c>
      <c r="G30" s="529"/>
      <c r="H30" s="253" t="e">
        <f>LOOKUP(G30,91:91,92:92)-LOOKUP(C30,91:91,92:92)+100</f>
        <v>#N/A</v>
      </c>
      <c r="I30" s="529"/>
      <c r="J30" s="253" t="e">
        <f>LOOKUP(I30,91:91,92:92)-LOOKUP(C30,91:91,92:92)+100</f>
        <v>#N/A</v>
      </c>
      <c r="K30" s="577"/>
      <c r="L30" s="2134"/>
      <c r="M30" s="2165"/>
      <c r="N30" s="2165"/>
      <c r="O30" s="2137"/>
      <c r="P30" s="3409"/>
      <c r="Q30" s="1600" t="str">
        <f t="shared" si="11"/>
        <v>项目建筑规模</v>
      </c>
      <c r="R30" s="1572" t="s">
        <v>8</v>
      </c>
      <c r="S30" s="1573" t="e">
        <f t="shared" si="12"/>
        <v>#N/A</v>
      </c>
      <c r="T30" s="1572" t="s">
        <v>8</v>
      </c>
      <c r="U30" s="1573" t="e">
        <f t="shared" si="13"/>
        <v>#N/A</v>
      </c>
      <c r="V30" s="1572" t="s">
        <v>8</v>
      </c>
      <c r="W30" s="1573" t="e">
        <f t="shared" si="14"/>
        <v>#N/A</v>
      </c>
      <c r="X30" s="1574"/>
      <c r="Y30" s="3409"/>
      <c r="Z30" s="1575" t="str">
        <f t="shared" si="15"/>
        <v>项目建筑规模</v>
      </c>
      <c r="AA30" s="1571" t="e">
        <f t="shared" si="3"/>
        <v>#N/A</v>
      </c>
      <c r="AB30" s="1571" t="e">
        <f t="shared" si="4"/>
        <v>#N/A</v>
      </c>
      <c r="AC30" s="1571" t="e">
        <f t="shared" si="5"/>
        <v>#N/A</v>
      </c>
    </row>
    <row r="31" spans="1:29" ht="15">
      <c r="A31" s="590"/>
      <c r="B31" s="523" t="s">
        <v>726</v>
      </c>
      <c r="C31" s="570"/>
      <c r="D31" s="536">
        <v>100</v>
      </c>
      <c r="E31" s="570"/>
      <c r="F31" s="571">
        <f>SUMIF(93:93,E31,94:94)-SUMIF(93:93,C31,94:94)+100</f>
        <v>100</v>
      </c>
      <c r="G31" s="570"/>
      <c r="H31" s="536">
        <f>SUMIF(93:93,G31,94:94)-SUMIF(93:93,C31,94:94)+100</f>
        <v>100</v>
      </c>
      <c r="I31" s="570"/>
      <c r="J31" s="536">
        <f>SUMIF(93:93,I31,94:94)-SUMIF(93:93,C31,94:94)+100</f>
        <v>100</v>
      </c>
      <c r="K31" s="580"/>
      <c r="L31" s="2136"/>
      <c r="M31" s="2128"/>
      <c r="N31" s="2128"/>
      <c r="O31" s="2135"/>
      <c r="P31" s="3409"/>
      <c r="Q31" s="1567" t="str">
        <f t="shared" si="11"/>
        <v>建筑结构</v>
      </c>
      <c r="R31" s="1568" t="s">
        <v>8</v>
      </c>
      <c r="S31" s="1569">
        <f t="shared" si="12"/>
        <v>100</v>
      </c>
      <c r="T31" s="1568" t="s">
        <v>8</v>
      </c>
      <c r="U31" s="1569">
        <f t="shared" si="13"/>
        <v>100</v>
      </c>
      <c r="V31" s="1568" t="s">
        <v>8</v>
      </c>
      <c r="W31" s="1569">
        <f t="shared" si="14"/>
        <v>100</v>
      </c>
      <c r="X31" s="1562"/>
      <c r="Y31" s="3409"/>
      <c r="Z31" s="1570" t="str">
        <f t="shared" si="15"/>
        <v>建筑结构</v>
      </c>
      <c r="AA31" s="1571">
        <f t="shared" si="3"/>
        <v>1</v>
      </c>
      <c r="AB31" s="1571">
        <f t="shared" si="4"/>
        <v>1</v>
      </c>
      <c r="AC31" s="1571">
        <f t="shared" si="5"/>
        <v>1</v>
      </c>
    </row>
    <row r="32" spans="1:29" ht="15">
      <c r="A32" s="590"/>
      <c r="B32" s="523" t="s">
        <v>762</v>
      </c>
      <c r="C32" s="570"/>
      <c r="D32" s="536">
        <v>100</v>
      </c>
      <c r="E32" s="570"/>
      <c r="F32" s="571">
        <f>SUMIF(95:95,E32,96:96)-SUMIF(95:95,C32,96:96)+100</f>
        <v>100</v>
      </c>
      <c r="G32" s="570"/>
      <c r="H32" s="536">
        <f>SUMIF(95:95,G32,96:96)-SUMIF(95:95,C32,96:96)+100</f>
        <v>100</v>
      </c>
      <c r="I32" s="570"/>
      <c r="J32" s="536">
        <f>SUMIF(95:95,I32,96:96)-SUMIF(95:95,C32,96:96)+100</f>
        <v>100</v>
      </c>
      <c r="K32" s="580"/>
      <c r="L32" s="2136"/>
      <c r="M32" s="2128"/>
      <c r="N32" s="2128"/>
      <c r="O32" s="2135"/>
      <c r="P32" s="3409"/>
      <c r="Q32" s="1567" t="str">
        <f t="shared" si="11"/>
        <v>公共部分装修</v>
      </c>
      <c r="R32" s="1568" t="s">
        <v>8</v>
      </c>
      <c r="S32" s="1569">
        <f t="shared" si="12"/>
        <v>100</v>
      </c>
      <c r="T32" s="1568" t="s">
        <v>8</v>
      </c>
      <c r="U32" s="1569">
        <f t="shared" si="13"/>
        <v>100</v>
      </c>
      <c r="V32" s="1568" t="s">
        <v>8</v>
      </c>
      <c r="W32" s="1569">
        <f t="shared" si="14"/>
        <v>100</v>
      </c>
      <c r="X32" s="1562"/>
      <c r="Y32" s="3409"/>
      <c r="Z32" s="1570" t="str">
        <f t="shared" si="15"/>
        <v>公共部分装修</v>
      </c>
      <c r="AA32" s="1571">
        <f t="shared" si="3"/>
        <v>1</v>
      </c>
      <c r="AB32" s="1571">
        <f t="shared" si="4"/>
        <v>1</v>
      </c>
      <c r="AC32" s="1571">
        <f t="shared" si="5"/>
        <v>1</v>
      </c>
    </row>
    <row r="33" spans="1:29" ht="15">
      <c r="A33" s="590"/>
      <c r="B33" s="523" t="s">
        <v>763</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6"/>
      <c r="M33" s="2128"/>
      <c r="N33" s="2128"/>
      <c r="O33" s="2135"/>
      <c r="P33" s="3409"/>
      <c r="Q33" s="1567" t="str">
        <f t="shared" si="11"/>
        <v>成新度</v>
      </c>
      <c r="R33" s="1568" t="s">
        <v>8</v>
      </c>
      <c r="S33" s="1569" t="e">
        <f t="shared" si="12"/>
        <v>#N/A</v>
      </c>
      <c r="T33" s="1568" t="s">
        <v>8</v>
      </c>
      <c r="U33" s="1569" t="e">
        <f t="shared" si="13"/>
        <v>#N/A</v>
      </c>
      <c r="V33" s="1568" t="s">
        <v>8</v>
      </c>
      <c r="W33" s="1569" t="e">
        <f t="shared" si="14"/>
        <v>#N/A</v>
      </c>
      <c r="X33" s="1562"/>
      <c r="Y33" s="3409"/>
      <c r="Z33" s="1570" t="str">
        <f t="shared" si="15"/>
        <v>成新度</v>
      </c>
      <c r="AA33" s="1571" t="e">
        <f t="shared" si="3"/>
        <v>#N/A</v>
      </c>
      <c r="AB33" s="1571" t="e">
        <f t="shared" si="4"/>
        <v>#N/A</v>
      </c>
      <c r="AC33" s="1571" t="e">
        <f t="shared" si="5"/>
        <v>#N/A</v>
      </c>
    </row>
    <row r="34" spans="1:29" s="1215" customFormat="1" ht="15">
      <c r="A34" s="596"/>
      <c r="B34" s="523" t="s">
        <v>781</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29"/>
      <c r="M34" s="2130"/>
      <c r="N34" s="2130"/>
      <c r="O34" s="2131"/>
      <c r="P34" s="3409"/>
      <c r="Q34" s="1146" t="str">
        <f t="shared" si="11"/>
        <v>物业管理</v>
      </c>
      <c r="R34" s="1563" t="s">
        <v>8</v>
      </c>
      <c r="S34" s="1564">
        <f t="shared" si="12"/>
        <v>100</v>
      </c>
      <c r="T34" s="1563" t="s">
        <v>8</v>
      </c>
      <c r="U34" s="1564">
        <f t="shared" si="13"/>
        <v>100</v>
      </c>
      <c r="V34" s="1563" t="s">
        <v>8</v>
      </c>
      <c r="W34" s="1564">
        <f t="shared" si="14"/>
        <v>100</v>
      </c>
      <c r="X34" s="1565"/>
      <c r="Y34" s="3409"/>
      <c r="Z34" s="1145" t="str">
        <f t="shared" si="15"/>
        <v>物业管理</v>
      </c>
      <c r="AA34" s="1566">
        <f t="shared" si="3"/>
        <v>1</v>
      </c>
      <c r="AB34" s="1566">
        <f t="shared" si="4"/>
        <v>1</v>
      </c>
      <c r="AC34" s="1566">
        <f t="shared" si="5"/>
        <v>1</v>
      </c>
    </row>
    <row r="35" spans="1:29" ht="15">
      <c r="A35" s="590"/>
      <c r="B35" s="1889"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6"/>
      <c r="M35" s="2128"/>
      <c r="N35" s="2128"/>
      <c r="O35" s="2135"/>
      <c r="P35" s="3409" t="s">
        <v>549</v>
      </c>
      <c r="Q35" s="1567" t="str">
        <f t="shared" si="11"/>
        <v>市政基础设施</v>
      </c>
      <c r="R35" s="1568" t="s">
        <v>8</v>
      </c>
      <c r="S35" s="1569">
        <f t="shared" si="12"/>
        <v>100</v>
      </c>
      <c r="T35" s="1568" t="s">
        <v>8</v>
      </c>
      <c r="U35" s="1569">
        <f t="shared" si="13"/>
        <v>100</v>
      </c>
      <c r="V35" s="1568" t="s">
        <v>8</v>
      </c>
      <c r="W35" s="1569">
        <f t="shared" si="14"/>
        <v>100</v>
      </c>
      <c r="X35" s="1562"/>
      <c r="Y35" s="3409" t="s">
        <v>549</v>
      </c>
      <c r="Z35" s="1570" t="str">
        <f t="shared" si="15"/>
        <v>市政基础设施</v>
      </c>
      <c r="AA35" s="1571">
        <f t="shared" si="3"/>
        <v>1</v>
      </c>
      <c r="AB35" s="1571">
        <f t="shared" si="4"/>
        <v>1</v>
      </c>
      <c r="AC35" s="1571">
        <f t="shared" si="5"/>
        <v>1</v>
      </c>
    </row>
    <row r="36" spans="1:29" ht="15">
      <c r="A36" s="590"/>
      <c r="B36" s="523"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6"/>
      <c r="M36" s="2128"/>
      <c r="N36" s="2128"/>
      <c r="O36" s="2135"/>
      <c r="P36" s="3409"/>
      <c r="Q36" s="1567" t="str">
        <f t="shared" si="11"/>
        <v>内部装修</v>
      </c>
      <c r="R36" s="1568" t="s">
        <v>8</v>
      </c>
      <c r="S36" s="1569">
        <f t="shared" si="12"/>
        <v>100</v>
      </c>
      <c r="T36" s="1568" t="s">
        <v>8</v>
      </c>
      <c r="U36" s="1569">
        <f t="shared" si="13"/>
        <v>100</v>
      </c>
      <c r="V36" s="1568" t="s">
        <v>8</v>
      </c>
      <c r="W36" s="1569">
        <f t="shared" si="14"/>
        <v>100</v>
      </c>
      <c r="X36" s="1562"/>
      <c r="Y36" s="3409"/>
      <c r="Z36" s="1570" t="str">
        <f t="shared" si="15"/>
        <v>内部装修</v>
      </c>
      <c r="AA36" s="1571">
        <f t="shared" si="3"/>
        <v>1</v>
      </c>
      <c r="AB36" s="1571">
        <f t="shared" si="4"/>
        <v>1</v>
      </c>
      <c r="AC36" s="1571">
        <f t="shared" si="5"/>
        <v>1</v>
      </c>
    </row>
    <row r="37" spans="1:29" ht="15">
      <c r="A37" s="590"/>
      <c r="B37" s="523"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6"/>
      <c r="M37" s="2128"/>
      <c r="N37" s="2128"/>
      <c r="O37" s="2135"/>
      <c r="P37" s="3409"/>
      <c r="Q37" s="1567" t="str">
        <f t="shared" si="11"/>
        <v>内部装修状况</v>
      </c>
      <c r="R37" s="1568" t="s">
        <v>8</v>
      </c>
      <c r="S37" s="1569">
        <f t="shared" si="12"/>
        <v>100</v>
      </c>
      <c r="T37" s="1568" t="s">
        <v>8</v>
      </c>
      <c r="U37" s="1569">
        <f t="shared" si="13"/>
        <v>100</v>
      </c>
      <c r="V37" s="1568" t="s">
        <v>8</v>
      </c>
      <c r="W37" s="1569">
        <f t="shared" si="14"/>
        <v>100</v>
      </c>
      <c r="X37" s="1562"/>
      <c r="Y37" s="3409"/>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4"/>
      <c r="M38" s="2165"/>
      <c r="N38" s="2165"/>
      <c r="O38" s="2137"/>
      <c r="P38" s="3409"/>
      <c r="Q38" s="1600">
        <f t="shared" si="11"/>
        <v>111</v>
      </c>
      <c r="R38" s="1572" t="s">
        <v>8</v>
      </c>
      <c r="S38" s="1573">
        <f t="shared" si="12"/>
        <v>100</v>
      </c>
      <c r="T38" s="1572" t="s">
        <v>8</v>
      </c>
      <c r="U38" s="1573">
        <f t="shared" si="13"/>
        <v>100</v>
      </c>
      <c r="V38" s="1572" t="s">
        <v>8</v>
      </c>
      <c r="W38" s="1573">
        <f t="shared" si="14"/>
        <v>100</v>
      </c>
      <c r="X38" s="1574"/>
      <c r="Y38" s="3409"/>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6"/>
      <c r="M39" s="2128"/>
      <c r="N39" s="2128"/>
      <c r="O39" s="2135"/>
      <c r="P39" s="3409"/>
      <c r="Q39" s="1567">
        <f t="shared" si="11"/>
        <v>111</v>
      </c>
      <c r="R39" s="1568" t="s">
        <v>8</v>
      </c>
      <c r="S39" s="1569">
        <f t="shared" si="12"/>
        <v>100</v>
      </c>
      <c r="T39" s="1568" t="s">
        <v>8</v>
      </c>
      <c r="U39" s="1569">
        <f t="shared" si="13"/>
        <v>100</v>
      </c>
      <c r="V39" s="1568" t="s">
        <v>8</v>
      </c>
      <c r="W39" s="1569">
        <f t="shared" si="14"/>
        <v>100</v>
      </c>
      <c r="X39" s="1562"/>
      <c r="Y39" s="3409"/>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6"/>
      <c r="M40" s="2128"/>
      <c r="N40" s="2128"/>
      <c r="O40" s="2135"/>
      <c r="P40" s="3486"/>
      <c r="Q40" s="1567">
        <f t="shared" si="11"/>
        <v>111</v>
      </c>
      <c r="R40" s="1568" t="s">
        <v>8</v>
      </c>
      <c r="S40" s="1569">
        <f t="shared" si="12"/>
        <v>100</v>
      </c>
      <c r="T40" s="1568" t="s">
        <v>8</v>
      </c>
      <c r="U40" s="1569">
        <f t="shared" si="13"/>
        <v>100</v>
      </c>
      <c r="V40" s="1568" t="s">
        <v>8</v>
      </c>
      <c r="W40" s="1569">
        <f t="shared" si="14"/>
        <v>100</v>
      </c>
      <c r="X40" s="1562"/>
      <c r="Y40" s="3486"/>
      <c r="Z40" s="1570">
        <f t="shared" si="15"/>
        <v>111</v>
      </c>
      <c r="AA40" s="1571">
        <f t="shared" si="3"/>
        <v>1</v>
      </c>
      <c r="AB40" s="1571">
        <f t="shared" si="4"/>
        <v>1</v>
      </c>
      <c r="AC40" s="1571">
        <f t="shared" si="5"/>
        <v>1</v>
      </c>
    </row>
    <row r="41" spans="1:29" ht="15">
      <c r="A41" s="603" t="s">
        <v>735</v>
      </c>
      <c r="B41" s="882"/>
      <c r="C41" s="2645" t="s">
        <v>1</v>
      </c>
      <c r="D41" s="2646"/>
      <c r="E41" s="2647"/>
      <c r="F41" s="2648"/>
      <c r="G41" s="2649"/>
      <c r="H41" s="2650"/>
      <c r="I41" s="2647"/>
      <c r="J41" s="2650"/>
      <c r="K41" s="1605"/>
      <c r="L41" s="2138"/>
      <c r="M41" s="2139"/>
      <c r="N41" s="2128"/>
      <c r="O41" s="2139"/>
      <c r="P41" s="3404" t="str">
        <f>A41</f>
        <v>成交单价（元/平方米）</v>
      </c>
      <c r="Q41" s="3404"/>
      <c r="R41" s="3485">
        <f>E41</f>
        <v>0</v>
      </c>
      <c r="S41" s="3485"/>
      <c r="T41" s="3485">
        <f>G41</f>
        <v>0</v>
      </c>
      <c r="U41" s="3485"/>
      <c r="V41" s="3485">
        <f>I41</f>
        <v>0</v>
      </c>
      <c r="W41" s="3485"/>
      <c r="X41" s="1554"/>
      <c r="Y41" s="1576"/>
      <c r="Z41" s="1554"/>
      <c r="AA41" s="1554"/>
      <c r="AB41" s="1554"/>
      <c r="AC41" s="1554"/>
    </row>
    <row r="42" spans="1:29" ht="15.75" thickBot="1">
      <c r="A42" s="611" t="s">
        <v>2758</v>
      </c>
      <c r="B42" s="883"/>
      <c r="C42" s="2651" t="e">
        <f>R43</f>
        <v>#DIV/0!</v>
      </c>
      <c r="D42" s="2652"/>
      <c r="E42" s="2653" t="e">
        <f>R42</f>
        <v>#DIV/0!</v>
      </c>
      <c r="F42" s="2653"/>
      <c r="G42" s="2651" t="e">
        <f>T42</f>
        <v>#DIV/0!</v>
      </c>
      <c r="H42" s="2652"/>
      <c r="I42" s="2653" t="e">
        <f>V42</f>
        <v>#DIV/0!</v>
      </c>
      <c r="J42" s="2652"/>
      <c r="K42" s="1606"/>
      <c r="L42" s="2138"/>
      <c r="M42" s="2139"/>
      <c r="N42" s="2128"/>
      <c r="O42" s="2139"/>
      <c r="P42" s="3404" t="str">
        <f>A42</f>
        <v>比较价格（元/平方米）</v>
      </c>
      <c r="Q42" s="340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4"/>
      <c r="Y42" s="1554"/>
      <c r="Z42" s="1554"/>
      <c r="AA42" s="1554"/>
      <c r="AB42" s="1554"/>
      <c r="AC42" s="1554"/>
    </row>
    <row r="43" spans="1:29" ht="15.75" thickBot="1">
      <c r="A43" s="617" t="s">
        <v>2922</v>
      </c>
      <c r="B43" s="618"/>
      <c r="C43" s="2654" t="e">
        <f>R43</f>
        <v>#DIV/0!</v>
      </c>
      <c r="D43" s="2654"/>
      <c r="E43" s="2654"/>
      <c r="F43" s="2654"/>
      <c r="G43" s="2654"/>
      <c r="H43" s="2654"/>
      <c r="I43" s="2654"/>
      <c r="J43" s="2654"/>
      <c r="K43" s="1607"/>
      <c r="L43" s="2138"/>
      <c r="M43" s="2139"/>
      <c r="N43" s="2139"/>
      <c r="O43" s="2139"/>
      <c r="P43" s="3425" t="str">
        <f>A43</f>
        <v>估价对象XX用房的比较价格（楼面单价，元/平方米）</v>
      </c>
      <c r="Q43" s="3426"/>
      <c r="R43" s="3484" t="e">
        <f>IF(F1="售价",ROUND(AVERAGE(R42:V42),0),ROUND(AVERAGE(R42:V42),1))</f>
        <v>#DIV/0!</v>
      </c>
      <c r="S43" s="3484"/>
      <c r="T43" s="3484"/>
      <c r="U43" s="3484"/>
      <c r="V43" s="3484"/>
      <c r="W43" s="3484"/>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573</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2" customFormat="1" ht="15">
      <c r="A52" s="641" t="s">
        <v>528</v>
      </c>
      <c r="B52" s="642"/>
      <c r="C52" s="2820" t="str">
        <f>YEAR(C7)&amp;"-"&amp;MONTH(C7)</f>
        <v>2018-3</v>
      </c>
      <c r="D52" s="2822">
        <f>EDATE(C52,-1)</f>
        <v>43132</v>
      </c>
      <c r="E52" s="2822">
        <f t="shared" ref="E52:O52" si="16">EDATE(D52,-1)</f>
        <v>43101</v>
      </c>
      <c r="F52" s="2822">
        <f t="shared" si="16"/>
        <v>43070</v>
      </c>
      <c r="G52" s="2822">
        <f t="shared" si="16"/>
        <v>43040</v>
      </c>
      <c r="H52" s="2822">
        <f t="shared" si="16"/>
        <v>43009</v>
      </c>
      <c r="I52" s="2822">
        <f t="shared" si="16"/>
        <v>42979</v>
      </c>
      <c r="J52" s="2822">
        <f t="shared" si="16"/>
        <v>42948</v>
      </c>
      <c r="K52" s="2822">
        <f t="shared" si="16"/>
        <v>42917</v>
      </c>
      <c r="L52" s="2822">
        <f t="shared" si="16"/>
        <v>42887</v>
      </c>
      <c r="M52" s="2822">
        <f t="shared" si="16"/>
        <v>42856</v>
      </c>
      <c r="N52" s="2822">
        <f t="shared" si="16"/>
        <v>42826</v>
      </c>
      <c r="O52" s="2822">
        <f t="shared" si="16"/>
        <v>42795</v>
      </c>
      <c r="P52" s="2154"/>
      <c r="Q52" s="2155"/>
      <c r="R52" s="2155"/>
      <c r="S52" s="2155"/>
      <c r="T52" s="2155"/>
      <c r="U52" s="2155"/>
      <c r="V52" s="2155"/>
      <c r="W52" s="2155"/>
      <c r="X52" s="2155"/>
      <c r="Y52" s="2155"/>
      <c r="Z52" s="2155"/>
      <c r="AA52" s="2155"/>
      <c r="AB52" s="2155"/>
      <c r="AC52" s="2155"/>
    </row>
    <row r="53" spans="1:29" s="1215"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5" customFormat="1" ht="15.75" thickBot="1">
      <c r="A54" s="649" t="s">
        <v>574</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5" customFormat="1" ht="15">
      <c r="A55" s="655" t="s">
        <v>530</v>
      </c>
      <c r="B55" s="644"/>
      <c r="C55" s="656" t="s">
        <v>575</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576</v>
      </c>
      <c r="B57" s="661" t="s">
        <v>533</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536</v>
      </c>
      <c r="C59" s="670" t="s">
        <v>736</v>
      </c>
      <c r="D59" s="670" t="s">
        <v>737</v>
      </c>
      <c r="E59" s="670" t="s">
        <v>738</v>
      </c>
      <c r="F59" s="670" t="s">
        <v>739</v>
      </c>
      <c r="G59" s="670" t="s">
        <v>740</v>
      </c>
      <c r="H59" s="670" t="s">
        <v>741</v>
      </c>
      <c r="I59" s="670" t="s">
        <v>742</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7"/>
      <c r="D62" s="537"/>
      <c r="E62" s="537"/>
      <c r="F62" s="537"/>
      <c r="G62" s="537"/>
      <c r="H62" s="537"/>
      <c r="I62" s="537"/>
      <c r="J62" s="537"/>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538</v>
      </c>
      <c r="B70" s="661" t="s">
        <v>584</v>
      </c>
      <c r="C70" s="699" t="s">
        <v>578</v>
      </c>
      <c r="D70" s="699" t="s">
        <v>579</v>
      </c>
      <c r="E70" s="699" t="s">
        <v>580</v>
      </c>
      <c r="F70" s="699" t="s">
        <v>581</v>
      </c>
      <c r="G70" s="699" t="s">
        <v>582</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585</v>
      </c>
      <c r="C72" s="704" t="s">
        <v>578</v>
      </c>
      <c r="D72" s="704" t="s">
        <v>579</v>
      </c>
      <c r="E72" s="704" t="s">
        <v>580</v>
      </c>
      <c r="F72" s="704" t="s">
        <v>581</v>
      </c>
      <c r="G72" s="704" t="s">
        <v>582</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2555</v>
      </c>
      <c r="C74" s="704" t="s">
        <v>578</v>
      </c>
      <c r="D74" s="704" t="s">
        <v>579</v>
      </c>
      <c r="E74" s="704" t="s">
        <v>580</v>
      </c>
      <c r="F74" s="704" t="s">
        <v>581</v>
      </c>
      <c r="G74" s="704" t="s">
        <v>582</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2556</v>
      </c>
      <c r="C76" s="2616" t="s">
        <v>2557</v>
      </c>
      <c r="D76" s="2616" t="s">
        <v>2558</v>
      </c>
      <c r="E76" s="2616" t="s">
        <v>2559</v>
      </c>
      <c r="F76" s="2616" t="s">
        <v>2560</v>
      </c>
      <c r="G76" s="2616" t="s">
        <v>2561</v>
      </c>
      <c r="H76" s="930"/>
      <c r="I76" s="930"/>
      <c r="J76" s="930"/>
      <c r="K76" s="930"/>
      <c r="L76" s="930"/>
      <c r="M76" s="555"/>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783</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5"/>
      <c r="B80" s="669">
        <f>B25</f>
        <v>111</v>
      </c>
      <c r="C80" s="684"/>
      <c r="D80" s="684"/>
      <c r="E80" s="684"/>
      <c r="F80" s="684"/>
      <c r="G80" s="684"/>
      <c r="H80" s="684"/>
      <c r="I80" s="684"/>
      <c r="J80" s="684"/>
      <c r="K80" s="684"/>
      <c r="L80" s="885"/>
      <c r="M80" s="886"/>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5"/>
      <c r="B82" s="669">
        <f>B26</f>
        <v>111</v>
      </c>
      <c r="C82" s="684"/>
      <c r="D82" s="684"/>
      <c r="E82" s="684"/>
      <c r="F82" s="684"/>
      <c r="G82" s="684"/>
      <c r="H82" s="684"/>
      <c r="I82" s="684"/>
      <c r="J82" s="684"/>
      <c r="K82" s="684"/>
      <c r="L82" s="885"/>
      <c r="M82" s="886"/>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3"/>
      <c r="B84" s="669">
        <f>B27</f>
        <v>111</v>
      </c>
      <c r="C84" s="684"/>
      <c r="D84" s="684"/>
      <c r="E84" s="684"/>
      <c r="F84" s="684"/>
      <c r="G84" s="684"/>
      <c r="H84" s="684"/>
      <c r="I84" s="684"/>
      <c r="J84" s="684"/>
      <c r="K84" s="684"/>
      <c r="L84" s="885"/>
      <c r="M84" s="886"/>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8"/>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550</v>
      </c>
      <c r="B88" s="661" t="s">
        <v>746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748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750</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89">
        <v>0.5</v>
      </c>
      <c r="D98" s="889">
        <v>0.6</v>
      </c>
      <c r="E98" s="889">
        <v>0.7</v>
      </c>
      <c r="F98" s="889">
        <v>0.8</v>
      </c>
      <c r="G98" s="889">
        <v>0.9</v>
      </c>
      <c r="H98" s="889">
        <v>1.0001</v>
      </c>
      <c r="I98" s="900"/>
      <c r="J98" s="900"/>
      <c r="K98" s="901"/>
      <c r="L98" s="902"/>
      <c r="M98" s="903"/>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4"/>
      <c r="B100" s="669" t="s">
        <v>752</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2554</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754</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2" t="s">
        <v>790</v>
      </c>
      <c r="C106" s="704" t="s">
        <v>578</v>
      </c>
      <c r="D106" s="704" t="s">
        <v>579</v>
      </c>
      <c r="E106" s="704" t="s">
        <v>580</v>
      </c>
      <c r="F106" s="704" t="s">
        <v>581</v>
      </c>
      <c r="G106" s="704" t="s">
        <v>582</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8"/>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IF(B37="元/平方米",C39,ROUND(B2*10000/D3,0))</f>
        <v>#DIV/0!</v>
      </c>
      <c r="C3" s="848" t="s">
        <v>795</v>
      </c>
      <c r="D3" s="847">
        <f>SUMIF('数据-汇总表'!$C19:$C33,D1,'数据-汇总表'!$E19:$E33)</f>
        <v>0</v>
      </c>
      <c r="E3" s="1842" t="s">
        <v>2075</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410" t="s">
        <v>797</v>
      </c>
      <c r="D4" s="3411"/>
      <c r="E4" s="3410" t="s">
        <v>798</v>
      </c>
      <c r="F4" s="3411"/>
      <c r="G4" s="3410" t="s">
        <v>799</v>
      </c>
      <c r="H4" s="3411"/>
      <c r="I4" s="3410" t="s">
        <v>800</v>
      </c>
      <c r="J4" s="3411"/>
      <c r="K4" s="510" t="s">
        <v>801</v>
      </c>
      <c r="L4" s="2127"/>
      <c r="M4" s="2128"/>
      <c r="N4" s="2128"/>
      <c r="O4" s="2128"/>
      <c r="P4" s="3412" t="s">
        <v>802</v>
      </c>
      <c r="Q4" s="3413"/>
      <c r="R4" s="3398" t="s">
        <v>798</v>
      </c>
      <c r="S4" s="3399"/>
      <c r="T4" s="3398" t="s">
        <v>799</v>
      </c>
      <c r="U4" s="3399"/>
      <c r="V4" s="3418" t="s">
        <v>800</v>
      </c>
      <c r="W4" s="3418"/>
      <c r="X4" s="1562"/>
      <c r="Y4" s="3398" t="s">
        <v>802</v>
      </c>
      <c r="Z4" s="3399"/>
      <c r="AA4" s="3393" t="s">
        <v>798</v>
      </c>
      <c r="AB4" s="3394" t="s">
        <v>799</v>
      </c>
      <c r="AC4" s="3393" t="s">
        <v>800</v>
      </c>
    </row>
    <row r="5" spans="1:29" ht="15">
      <c r="A5" s="511"/>
      <c r="B5" s="512"/>
      <c r="C5" s="3421" t="s">
        <v>2916</v>
      </c>
      <c r="D5" s="3422"/>
      <c r="E5" s="3421" t="s">
        <v>2917</v>
      </c>
      <c r="F5" s="3422"/>
      <c r="G5" s="3421" t="s">
        <v>2918</v>
      </c>
      <c r="H5" s="3422"/>
      <c r="I5" s="3421" t="s">
        <v>2919</v>
      </c>
      <c r="J5" s="3422"/>
      <c r="K5" s="510"/>
      <c r="L5" s="2127"/>
      <c r="M5" s="2128"/>
      <c r="N5" s="2128"/>
      <c r="O5" s="2128"/>
      <c r="P5" s="3414"/>
      <c r="Q5" s="3415"/>
      <c r="R5" s="3400"/>
      <c r="S5" s="3401"/>
      <c r="T5" s="3400"/>
      <c r="U5" s="3401"/>
      <c r="V5" s="3418"/>
      <c r="W5" s="3418"/>
      <c r="X5" s="1562"/>
      <c r="Y5" s="3400"/>
      <c r="Z5" s="3401"/>
      <c r="AA5" s="3394"/>
      <c r="AB5" s="3394"/>
      <c r="AC5" s="3394"/>
    </row>
    <row r="6" spans="1:29" ht="15.75" thickBot="1">
      <c r="A6" s="513"/>
      <c r="B6" s="514"/>
      <c r="C6" s="3419" t="s">
        <v>2920</v>
      </c>
      <c r="D6" s="3420"/>
      <c r="E6" s="3423" t="s">
        <v>2920</v>
      </c>
      <c r="F6" s="3424"/>
      <c r="G6" s="3419" t="s">
        <v>2920</v>
      </c>
      <c r="H6" s="3420"/>
      <c r="I6" s="3419" t="s">
        <v>2920</v>
      </c>
      <c r="J6" s="3420"/>
      <c r="K6" s="510" t="s">
        <v>527</v>
      </c>
      <c r="L6" s="2127"/>
      <c r="M6" s="2128"/>
      <c r="N6" s="2128"/>
      <c r="O6" s="2128"/>
      <c r="P6" s="3416"/>
      <c r="Q6" s="3417"/>
      <c r="R6" s="3400"/>
      <c r="S6" s="3401"/>
      <c r="T6" s="3402"/>
      <c r="U6" s="3403"/>
      <c r="V6" s="3418"/>
      <c r="W6" s="3418"/>
      <c r="X6" s="1562"/>
      <c r="Y6" s="3402"/>
      <c r="Z6" s="3403"/>
      <c r="AA6" s="3395"/>
      <c r="AB6" s="3395"/>
      <c r="AC6" s="3395"/>
    </row>
    <row r="7" spans="1:29" s="1215" customFormat="1" ht="15.75" thickBot="1">
      <c r="A7" s="2930"/>
      <c r="B7" s="2937" t="s">
        <v>528</v>
      </c>
      <c r="C7" s="515">
        <f>'数据-取费表'!B2</f>
        <v>43182</v>
      </c>
      <c r="D7" s="516">
        <v>100</v>
      </c>
      <c r="E7" s="517"/>
      <c r="F7" s="518">
        <f>SUMIF(48:48,YEAR(E7)&amp;"-"&amp;MONTH(E7),49:49)</f>
        <v>0</v>
      </c>
      <c r="G7" s="519"/>
      <c r="H7" s="516">
        <f>SUMIF(48:48,YEAR(G7)&amp;"-"&amp;MONTH(G7),49:49)</f>
        <v>0</v>
      </c>
      <c r="I7" s="519"/>
      <c r="J7" s="516">
        <f>SUMIF(48:48,YEAR(I7)&amp;"-"&amp;MONTH(I7),49:49)</f>
        <v>0</v>
      </c>
      <c r="K7" s="520"/>
      <c r="L7" s="2129"/>
      <c r="M7" s="2130"/>
      <c r="N7" s="2130"/>
      <c r="O7" s="2130"/>
      <c r="P7" s="3396" t="s">
        <v>529</v>
      </c>
      <c r="Q7" s="3405"/>
      <c r="R7" s="1563" t="s">
        <v>8</v>
      </c>
      <c r="S7" s="1564">
        <f t="shared" ref="S7:S14" si="0">F7</f>
        <v>0</v>
      </c>
      <c r="T7" s="1563" t="s">
        <v>8</v>
      </c>
      <c r="U7" s="1564">
        <f t="shared" ref="U7:U14" si="1">H7</f>
        <v>0</v>
      </c>
      <c r="V7" s="1563" t="s">
        <v>8</v>
      </c>
      <c r="W7" s="1564">
        <f t="shared" ref="W7:W14" si="2">J7</f>
        <v>0</v>
      </c>
      <c r="X7" s="1565"/>
      <c r="Y7" s="3396" t="s">
        <v>529</v>
      </c>
      <c r="Z7" s="3397"/>
      <c r="AA7" s="1566" t="e">
        <f>D7/F7</f>
        <v>#DIV/0!</v>
      </c>
      <c r="AB7" s="1566" t="e">
        <f>D7/H7</f>
        <v>#DIV/0!</v>
      </c>
      <c r="AC7" s="1566" t="e">
        <f>D7/J7</f>
        <v>#DIV/0!</v>
      </c>
    </row>
    <row r="8" spans="1:29" s="1215" customFormat="1" ht="15.75" thickBot="1">
      <c r="A8" s="2931"/>
      <c r="B8" s="2938" t="s">
        <v>530</v>
      </c>
      <c r="C8" s="521" t="s">
        <v>575</v>
      </c>
      <c r="D8" s="516">
        <v>100</v>
      </c>
      <c r="E8" s="521"/>
      <c r="F8" s="518">
        <f>SUMIF(51:51,E8,52:52)-SUMIF(51:51,C8,52:52)+100</f>
        <v>0</v>
      </c>
      <c r="G8" s="521"/>
      <c r="H8" s="516">
        <f>SUMIF(51:51,G8,52:52)-SUMIF(51:51,C8,52:52)+100</f>
        <v>0</v>
      </c>
      <c r="I8" s="521"/>
      <c r="J8" s="516">
        <f>SUMIF(51:51,I8,52:52)-SUMIF(51:51,C8,52:52)+100</f>
        <v>0</v>
      </c>
      <c r="K8" s="520"/>
      <c r="L8" s="2129"/>
      <c r="M8" s="2130"/>
      <c r="N8" s="2130"/>
      <c r="O8" s="2130"/>
      <c r="P8" s="3396" t="s">
        <v>532</v>
      </c>
      <c r="Q8" s="3397"/>
      <c r="R8" s="1563" t="s">
        <v>8</v>
      </c>
      <c r="S8" s="1564">
        <f t="shared" si="0"/>
        <v>0</v>
      </c>
      <c r="T8" s="1563" t="s">
        <v>8</v>
      </c>
      <c r="U8" s="1564">
        <f t="shared" si="1"/>
        <v>0</v>
      </c>
      <c r="V8" s="1563" t="s">
        <v>8</v>
      </c>
      <c r="W8" s="1564">
        <f t="shared" si="2"/>
        <v>0</v>
      </c>
      <c r="X8" s="1565"/>
      <c r="Y8" s="3396" t="s">
        <v>532</v>
      </c>
      <c r="Z8" s="3397"/>
      <c r="AA8" s="1566" t="e">
        <f t="shared" ref="AA8:AA36" si="3">D8/F8</f>
        <v>#DIV/0!</v>
      </c>
      <c r="AB8" s="1566" t="e">
        <f t="shared" ref="AB8:AB36" si="4">D8/H8</f>
        <v>#DIV/0!</v>
      </c>
      <c r="AC8" s="1566" t="e">
        <f t="shared" ref="AC8:AC36" si="5">D8/J8</f>
        <v>#DIV/0!</v>
      </c>
    </row>
    <row r="9" spans="1:29" s="1215" customFormat="1" ht="15">
      <c r="A9" s="2932"/>
      <c r="B9" s="2939" t="s">
        <v>2754</v>
      </c>
      <c r="C9" s="853"/>
      <c r="D9" s="252">
        <v>100</v>
      </c>
      <c r="E9" s="856"/>
      <c r="F9" s="252">
        <f>SUMIF(53:53,E9,54:54)-SUMIF(53:53,C9,54:54)+100</f>
        <v>100</v>
      </c>
      <c r="G9" s="854"/>
      <c r="H9" s="252">
        <f>SUMIF(53:53,G9,54:54)-SUMIF(53:53,C9,54:54)+100</f>
        <v>100</v>
      </c>
      <c r="I9" s="854"/>
      <c r="J9" s="252">
        <f>SUMIF(53:53,I9,54:54)-SUMIF(53:53,C9,54:54)+100</f>
        <v>100</v>
      </c>
      <c r="K9" s="520"/>
      <c r="L9" s="2129"/>
      <c r="M9" s="2130"/>
      <c r="N9" s="2130"/>
      <c r="O9" s="2131"/>
      <c r="P9" s="3404" t="s">
        <v>534</v>
      </c>
      <c r="Q9" s="1146" t="str">
        <f t="shared" ref="Q9:Q14" si="6">B9</f>
        <v>用途</v>
      </c>
      <c r="R9" s="1563" t="s">
        <v>8</v>
      </c>
      <c r="S9" s="1564">
        <f t="shared" si="0"/>
        <v>100</v>
      </c>
      <c r="T9" s="1563" t="s">
        <v>8</v>
      </c>
      <c r="U9" s="1564">
        <f t="shared" si="1"/>
        <v>100</v>
      </c>
      <c r="V9" s="1563" t="s">
        <v>8</v>
      </c>
      <c r="W9" s="1564">
        <f t="shared" si="2"/>
        <v>100</v>
      </c>
      <c r="X9" s="1565"/>
      <c r="Y9" s="3361"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SUMIF(55:55,E10,56:56)-SUMIF(55:55,C10,56:56)+100</f>
        <v>100</v>
      </c>
      <c r="G10" s="858"/>
      <c r="H10" s="253">
        <f>SUMIF(55:55,G10,56:56)-SUMIF(55:55,C10,56:56)+100</f>
        <v>100</v>
      </c>
      <c r="I10" s="857"/>
      <c r="J10" s="253">
        <f>SUMIF(55:55,I10,56:56)-SUMIF(55:55,C10,56:56)+100</f>
        <v>100</v>
      </c>
      <c r="K10" s="580"/>
      <c r="L10" s="2132"/>
      <c r="M10" s="2172"/>
      <c r="N10" s="2172"/>
      <c r="O10" s="2133"/>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
      <c r="A11" s="2935"/>
      <c r="B11" s="2941">
        <v>111</v>
      </c>
      <c r="C11" s="524"/>
      <c r="D11" s="253">
        <v>100</v>
      </c>
      <c r="E11" s="524"/>
      <c r="F11" s="253">
        <f>SUMIF(57:57,E11,58:58)-SUMIF(57:57,C11,58:58)+100</f>
        <v>100</v>
      </c>
      <c r="G11" s="524"/>
      <c r="H11" s="253">
        <f>SUMIF(57:57,G11,58:58)-SUMIF(57:57,C11,58:58)+100</f>
        <v>100</v>
      </c>
      <c r="I11" s="524"/>
      <c r="J11" s="253">
        <f>SUMIF(57:57,I11,58:58)-SUMIF(57:57,C11,58:58)+100</f>
        <v>100</v>
      </c>
      <c r="K11" s="577"/>
      <c r="L11" s="2134"/>
      <c r="M11" s="2128"/>
      <c r="N11" s="2128"/>
      <c r="O11" s="2135"/>
      <c r="P11" s="3404"/>
      <c r="Q11" s="1146">
        <f t="shared" si="6"/>
        <v>111</v>
      </c>
      <c r="R11" s="1563" t="s">
        <v>8</v>
      </c>
      <c r="S11" s="1564">
        <f t="shared" si="0"/>
        <v>100</v>
      </c>
      <c r="T11" s="1563" t="s">
        <v>8</v>
      </c>
      <c r="U11" s="1564">
        <f t="shared" si="1"/>
        <v>100</v>
      </c>
      <c r="V11" s="1563" t="s">
        <v>8</v>
      </c>
      <c r="W11" s="1564">
        <f t="shared" si="2"/>
        <v>100</v>
      </c>
      <c r="X11" s="1565"/>
      <c r="Y11" s="3361"/>
      <c r="Z11" s="1145">
        <f t="shared" si="7"/>
        <v>111</v>
      </c>
      <c r="AA11" s="1566">
        <f t="shared" si="3"/>
        <v>1</v>
      </c>
      <c r="AB11" s="1566">
        <f t="shared" si="4"/>
        <v>1</v>
      </c>
      <c r="AC11" s="1566">
        <f t="shared" si="5"/>
        <v>1</v>
      </c>
    </row>
    <row r="12" spans="1:29" s="1215" customFormat="1" ht="15">
      <c r="A12" s="2935"/>
      <c r="B12" s="2941">
        <v>111</v>
      </c>
      <c r="C12" s="524"/>
      <c r="D12" s="534">
        <v>100</v>
      </c>
      <c r="E12" s="524"/>
      <c r="F12" s="253">
        <f>SUMIF(59:59,E12,60:60)-SUMIF(59:59,C12,60:60)+100</f>
        <v>100</v>
      </c>
      <c r="G12" s="524"/>
      <c r="H12" s="253">
        <f>SUMIF(59:59,G12,60:60)-SUMIF(59:59,C12,60:60)+100</f>
        <v>100</v>
      </c>
      <c r="I12" s="524"/>
      <c r="J12" s="253">
        <f>SUMIF(59:59,I12,60:60)-SUMIF(59:59,C12,60:60)+100</f>
        <v>100</v>
      </c>
      <c r="K12" s="577"/>
      <c r="L12" s="2129"/>
      <c r="M12" s="2130"/>
      <c r="N12" s="2130"/>
      <c r="O12" s="2131"/>
      <c r="P12" s="3404"/>
      <c r="Q12" s="1146">
        <f t="shared" si="6"/>
        <v>111</v>
      </c>
      <c r="R12" s="1563" t="s">
        <v>8</v>
      </c>
      <c r="S12" s="1564">
        <f t="shared" si="0"/>
        <v>100</v>
      </c>
      <c r="T12" s="1563" t="s">
        <v>8</v>
      </c>
      <c r="U12" s="1564">
        <f t="shared" si="1"/>
        <v>100</v>
      </c>
      <c r="V12" s="1563" t="s">
        <v>8</v>
      </c>
      <c r="W12" s="1564">
        <f t="shared" si="2"/>
        <v>100</v>
      </c>
      <c r="X12" s="1565"/>
      <c r="Y12" s="3361"/>
      <c r="Z12" s="1145">
        <f t="shared" si="7"/>
        <v>111</v>
      </c>
      <c r="AA12" s="1566">
        <f>D12/F12</f>
        <v>1</v>
      </c>
      <c r="AB12" s="1566">
        <f>D12/H12</f>
        <v>1</v>
      </c>
      <c r="AC12" s="1566">
        <f>D12/J12</f>
        <v>1</v>
      </c>
    </row>
    <row r="13" spans="1:29" ht="15.75" thickBot="1">
      <c r="A13" s="2936"/>
      <c r="B13" s="2942">
        <v>111</v>
      </c>
      <c r="C13" s="535"/>
      <c r="D13" s="536">
        <v>100</v>
      </c>
      <c r="E13" s="524"/>
      <c r="F13" s="253">
        <f>SUMIF(61:61,E13,62:62)-SUMIF(61:61,C13,62:62)+100</f>
        <v>100</v>
      </c>
      <c r="G13" s="524"/>
      <c r="H13" s="536">
        <f>SUMIF(61:61,G13,62:62)-SUMIF(61:61,C13,62:62)+100</f>
        <v>100</v>
      </c>
      <c r="I13" s="524"/>
      <c r="J13" s="536">
        <f>SUMIF(61:61,I13,62:62)-SUMIF(61:61,C13,62:62)+100</f>
        <v>100</v>
      </c>
      <c r="K13" s="577"/>
      <c r="L13" s="2136"/>
      <c r="M13" s="2128"/>
      <c r="N13" s="2128"/>
      <c r="O13" s="2135"/>
      <c r="P13" s="3404"/>
      <c r="Q13" s="1146">
        <f t="shared" si="6"/>
        <v>111</v>
      </c>
      <c r="R13" s="1563" t="s">
        <v>8</v>
      </c>
      <c r="S13" s="1564">
        <f t="shared" si="0"/>
        <v>100</v>
      </c>
      <c r="T13" s="1563" t="s">
        <v>8</v>
      </c>
      <c r="U13" s="1564">
        <f t="shared" si="1"/>
        <v>100</v>
      </c>
      <c r="V13" s="1563" t="s">
        <v>8</v>
      </c>
      <c r="W13" s="1564">
        <f t="shared" si="2"/>
        <v>100</v>
      </c>
      <c r="X13" s="1565"/>
      <c r="Y13" s="3361"/>
      <c r="Z13" s="1145">
        <f t="shared" si="7"/>
        <v>111</v>
      </c>
      <c r="AA13" s="1566">
        <f t="shared" si="3"/>
        <v>1</v>
      </c>
      <c r="AB13" s="1566">
        <f t="shared" si="4"/>
        <v>1</v>
      </c>
      <c r="AC13" s="1566">
        <f t="shared" si="5"/>
        <v>1</v>
      </c>
    </row>
    <row r="14" spans="1:29" ht="15">
      <c r="A14" s="2928" t="s">
        <v>2752</v>
      </c>
      <c r="B14" s="543" t="s">
        <v>542</v>
      </c>
      <c r="C14" s="916">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3"/>
      <c r="L14" s="2136"/>
      <c r="M14" s="2128"/>
      <c r="N14" s="2128"/>
      <c r="O14" s="2135"/>
      <c r="P14" s="3406" t="s">
        <v>539</v>
      </c>
      <c r="Q14" s="1567" t="str">
        <f t="shared" si="6"/>
        <v>交通便捷度</v>
      </c>
      <c r="R14" s="1568" t="s">
        <v>8</v>
      </c>
      <c r="S14" s="1569">
        <f t="shared" si="0"/>
        <v>100</v>
      </c>
      <c r="T14" s="1568" t="s">
        <v>8</v>
      </c>
      <c r="U14" s="1569">
        <f t="shared" si="1"/>
        <v>100</v>
      </c>
      <c r="V14" s="1568" t="s">
        <v>8</v>
      </c>
      <c r="W14" s="1569">
        <f t="shared" si="2"/>
        <v>100</v>
      </c>
      <c r="X14" s="1562"/>
      <c r="Y14" s="3406"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6"/>
      <c r="M15" s="2128"/>
      <c r="N15" s="2128"/>
      <c r="O15" s="2135"/>
      <c r="P15" s="3407"/>
      <c r="Q15" s="1567"/>
      <c r="R15" s="1568"/>
      <c r="S15" s="1569"/>
      <c r="T15" s="1568"/>
      <c r="U15" s="1569"/>
      <c r="V15" s="1568"/>
      <c r="W15" s="1569"/>
      <c r="X15" s="1562"/>
      <c r="Y15" s="3407"/>
      <c r="Z15" s="1570"/>
      <c r="AA15" s="1571">
        <v>1</v>
      </c>
      <c r="AB15" s="1571">
        <v>1</v>
      </c>
      <c r="AC15" s="1571">
        <v>1</v>
      </c>
    </row>
    <row r="16" spans="1:29" ht="15">
      <c r="A16" s="511"/>
      <c r="B16" s="2621" t="s">
        <v>2544</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3"/>
      <c r="L16" s="2136"/>
      <c r="M16" s="2128"/>
      <c r="N16" s="2128"/>
      <c r="O16" s="2135"/>
      <c r="P16" s="3407"/>
      <c r="Q16" s="1567" t="str">
        <f>B16</f>
        <v>公共配套设施</v>
      </c>
      <c r="R16" s="1568" t="s">
        <v>8</v>
      </c>
      <c r="S16" s="1569">
        <f>F16</f>
        <v>100</v>
      </c>
      <c r="T16" s="1568" t="s">
        <v>8</v>
      </c>
      <c r="U16" s="1569">
        <f>H16</f>
        <v>100</v>
      </c>
      <c r="V16" s="1568" t="s">
        <v>8</v>
      </c>
      <c r="W16" s="1569">
        <f>J16</f>
        <v>100</v>
      </c>
      <c r="X16" s="1562"/>
      <c r="Y16" s="3407"/>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6"/>
      <c r="M17" s="2128"/>
      <c r="N17" s="2128"/>
      <c r="O17" s="2135"/>
      <c r="P17" s="3407"/>
      <c r="Q17" s="1567"/>
      <c r="R17" s="1568"/>
      <c r="S17" s="1569"/>
      <c r="T17" s="1568"/>
      <c r="U17" s="1569"/>
      <c r="V17" s="1568"/>
      <c r="W17" s="1569"/>
      <c r="X17" s="1562"/>
      <c r="Y17" s="3407"/>
      <c r="Z17" s="1570"/>
      <c r="AA17" s="1571">
        <v>1</v>
      </c>
      <c r="AB17" s="1571">
        <v>1</v>
      </c>
      <c r="AC17" s="1571">
        <v>1</v>
      </c>
    </row>
    <row r="18" spans="1:29" ht="15">
      <c r="A18" s="511"/>
      <c r="B18" s="2609" t="s">
        <v>2556</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3"/>
      <c r="L18" s="2136"/>
      <c r="M18" s="2128"/>
      <c r="N18" s="2128"/>
      <c r="O18" s="2135"/>
      <c r="P18" s="3407"/>
      <c r="Q18" s="2597" t="str">
        <f>B18</f>
        <v>基础设施水平</v>
      </c>
      <c r="R18" s="1568" t="s">
        <v>8</v>
      </c>
      <c r="S18" s="1569">
        <f>F18</f>
        <v>100</v>
      </c>
      <c r="T18" s="1568" t="s">
        <v>8</v>
      </c>
      <c r="U18" s="1569">
        <f>H18</f>
        <v>100</v>
      </c>
      <c r="V18" s="1568" t="s">
        <v>8</v>
      </c>
      <c r="W18" s="1569">
        <f>J18</f>
        <v>100</v>
      </c>
      <c r="X18" s="2599"/>
      <c r="Y18" s="3407"/>
      <c r="Z18" s="2598"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0"/>
      <c r="L19" s="2136"/>
      <c r="M19" s="2128"/>
      <c r="N19" s="2128"/>
      <c r="O19" s="2135"/>
      <c r="P19" s="3407"/>
      <c r="Q19" s="2597"/>
      <c r="R19" s="1568"/>
      <c r="S19" s="1569"/>
      <c r="T19" s="1568"/>
      <c r="U19" s="1569"/>
      <c r="V19" s="1568"/>
      <c r="W19" s="1569"/>
      <c r="X19" s="2599"/>
      <c r="Y19" s="3407"/>
      <c r="Z19" s="2598"/>
      <c r="AA19" s="1571">
        <v>1</v>
      </c>
      <c r="AB19" s="1571">
        <v>1</v>
      </c>
      <c r="AC19" s="1571">
        <v>1</v>
      </c>
    </row>
    <row r="20" spans="1:29" ht="15">
      <c r="A20" s="511"/>
      <c r="B20" s="556" t="s">
        <v>803</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3"/>
      <c r="L20" s="2136"/>
      <c r="M20" s="2128"/>
      <c r="N20" s="2128"/>
      <c r="O20" s="2135"/>
      <c r="P20" s="3407"/>
      <c r="Q20" s="1567" t="str">
        <f>B20</f>
        <v>自然及人文环境</v>
      </c>
      <c r="R20" s="1568" t="s">
        <v>8</v>
      </c>
      <c r="S20" s="1569">
        <f>F20</f>
        <v>100</v>
      </c>
      <c r="T20" s="1568" t="s">
        <v>8</v>
      </c>
      <c r="U20" s="1569">
        <f>H20</f>
        <v>100</v>
      </c>
      <c r="V20" s="1568" t="s">
        <v>8</v>
      </c>
      <c r="W20" s="1569">
        <f>J20</f>
        <v>100</v>
      </c>
      <c r="X20" s="1562"/>
      <c r="Y20" s="3407"/>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6"/>
      <c r="M21" s="2128"/>
      <c r="N21" s="2128"/>
      <c r="O21" s="2135"/>
      <c r="P21" s="3407"/>
      <c r="Q21" s="1567"/>
      <c r="R21" s="1568"/>
      <c r="S21" s="1569"/>
      <c r="T21" s="1568"/>
      <c r="U21" s="1569"/>
      <c r="V21" s="1568"/>
      <c r="W21" s="1569"/>
      <c r="X21" s="1562"/>
      <c r="Y21" s="3407"/>
      <c r="Z21" s="1570"/>
      <c r="AA21" s="1571">
        <v>1</v>
      </c>
      <c r="AB21" s="1571">
        <v>1</v>
      </c>
      <c r="AC21" s="1571">
        <v>1</v>
      </c>
    </row>
    <row r="22" spans="1:29" ht="15">
      <c r="A22" s="511"/>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36"/>
      <c r="M22" s="2128"/>
      <c r="N22" s="2128"/>
      <c r="O22" s="2135"/>
      <c r="P22" s="3407"/>
      <c r="Q22" s="1567" t="str">
        <f>B22</f>
        <v>楼层</v>
      </c>
      <c r="R22" s="1568" t="s">
        <v>8</v>
      </c>
      <c r="S22" s="1569">
        <f>F22</f>
        <v>100</v>
      </c>
      <c r="T22" s="1568" t="s">
        <v>8</v>
      </c>
      <c r="U22" s="1569">
        <f>H22</f>
        <v>100</v>
      </c>
      <c r="V22" s="1568" t="s">
        <v>8</v>
      </c>
      <c r="W22" s="1569">
        <f>J22</f>
        <v>100</v>
      </c>
      <c r="X22" s="1562"/>
      <c r="Y22" s="3407"/>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6"/>
      <c r="M23" s="2128"/>
      <c r="N23" s="2128"/>
      <c r="O23" s="2135"/>
      <c r="P23" s="3407"/>
      <c r="Q23" s="1567">
        <f>B23</f>
        <v>111</v>
      </c>
      <c r="R23" s="1568" t="s">
        <v>8</v>
      </c>
      <c r="S23" s="1569">
        <f>F23</f>
        <v>100</v>
      </c>
      <c r="T23" s="1568" t="s">
        <v>8</v>
      </c>
      <c r="U23" s="1569">
        <f>H23</f>
        <v>100</v>
      </c>
      <c r="V23" s="1568" t="s">
        <v>8</v>
      </c>
      <c r="W23" s="1569">
        <f>J23</f>
        <v>100</v>
      </c>
      <c r="X23" s="1562"/>
      <c r="Y23" s="3407"/>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6"/>
      <c r="M24" s="2128"/>
      <c r="N24" s="2128"/>
      <c r="O24" s="2135"/>
      <c r="P24" s="3407"/>
      <c r="Q24" s="1567">
        <f t="shared" ref="Q24:Q36" si="11">B24</f>
        <v>111</v>
      </c>
      <c r="R24" s="1568" t="s">
        <v>8</v>
      </c>
      <c r="S24" s="1569">
        <f>F24</f>
        <v>100</v>
      </c>
      <c r="T24" s="1568" t="s">
        <v>8</v>
      </c>
      <c r="U24" s="1569">
        <f>H24</f>
        <v>100</v>
      </c>
      <c r="V24" s="1568" t="s">
        <v>8</v>
      </c>
      <c r="W24" s="1569">
        <f>J24</f>
        <v>100</v>
      </c>
      <c r="X24" s="1562"/>
      <c r="Y24" s="3407"/>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9"/>
      <c r="M25" s="2130"/>
      <c r="N25" s="2130"/>
      <c r="O25" s="2131"/>
      <c r="P25" s="3407"/>
      <c r="Q25" s="1146">
        <f t="shared" si="11"/>
        <v>111</v>
      </c>
      <c r="R25" s="1563" t="s">
        <v>8</v>
      </c>
      <c r="S25" s="1564">
        <f>F25</f>
        <v>100</v>
      </c>
      <c r="T25" s="1563" t="s">
        <v>8</v>
      </c>
      <c r="U25" s="1564">
        <f>H25</f>
        <v>100</v>
      </c>
      <c r="V25" s="1563" t="s">
        <v>8</v>
      </c>
      <c r="W25" s="1564">
        <f>J25</f>
        <v>100</v>
      </c>
      <c r="X25" s="1565"/>
      <c r="Y25" s="3407"/>
      <c r="Z25" s="1145">
        <f>Q25</f>
        <v>111</v>
      </c>
      <c r="AA25" s="1571">
        <f>D25/F25</f>
        <v>1</v>
      </c>
      <c r="AB25" s="1571">
        <f>D25/H25</f>
        <v>1</v>
      </c>
      <c r="AC25" s="1571">
        <f>D25/J25</f>
        <v>1</v>
      </c>
    </row>
    <row r="26" spans="1:29" ht="15">
      <c r="A26" s="2925" t="s">
        <v>2753</v>
      </c>
      <c r="B26" s="170" t="s">
        <v>805</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6"/>
      <c r="M26" s="2128"/>
      <c r="N26" s="2128"/>
      <c r="O26" s="2135"/>
      <c r="P26" s="3408"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09" t="s">
        <v>549</v>
      </c>
      <c r="Z26" s="1570" t="str">
        <f t="shared" ref="Z26:Z36" si="15">Q26</f>
        <v>配套类型</v>
      </c>
      <c r="AA26" s="1571">
        <f t="shared" si="3"/>
        <v>1</v>
      </c>
      <c r="AB26" s="1571">
        <f t="shared" si="4"/>
        <v>1</v>
      </c>
      <c r="AC26" s="1571">
        <f t="shared" si="5"/>
        <v>1</v>
      </c>
    </row>
    <row r="27" spans="1:29" s="1334" customFormat="1" ht="15">
      <c r="A27" s="924"/>
      <c r="B27" s="578" t="s">
        <v>806</v>
      </c>
      <c r="C27" s="925"/>
      <c r="D27" s="253">
        <v>100</v>
      </c>
      <c r="E27" s="925"/>
      <c r="F27" s="571">
        <f>SUMIF(81:81,E27,82:82)-SUMIF(81:81,C27,82:82)+100</f>
        <v>100</v>
      </c>
      <c r="G27" s="925"/>
      <c r="H27" s="536">
        <f>SUMIF(81:81,G27,82:82)-SUMIF(81:81,C27,82:82)+100</f>
        <v>100</v>
      </c>
      <c r="I27" s="925"/>
      <c r="J27" s="536">
        <f>SUMIF(81:81,I27,82:82)-SUMIF(81:81,C27,82:82)+100</f>
        <v>100</v>
      </c>
      <c r="K27" s="577"/>
      <c r="L27" s="2134"/>
      <c r="M27" s="2165"/>
      <c r="N27" s="2165"/>
      <c r="O27" s="2137"/>
      <c r="P27" s="3409"/>
      <c r="Q27" s="1600" t="str">
        <f t="shared" si="11"/>
        <v>项目停车位配比</v>
      </c>
      <c r="R27" s="1572" t="s">
        <v>8</v>
      </c>
      <c r="S27" s="1573">
        <f t="shared" si="12"/>
        <v>100</v>
      </c>
      <c r="T27" s="1572" t="s">
        <v>8</v>
      </c>
      <c r="U27" s="1573">
        <f t="shared" si="13"/>
        <v>100</v>
      </c>
      <c r="V27" s="1572" t="s">
        <v>8</v>
      </c>
      <c r="W27" s="1573">
        <f t="shared" si="14"/>
        <v>100</v>
      </c>
      <c r="X27" s="1574"/>
      <c r="Y27" s="3409"/>
      <c r="Z27" s="1575" t="str">
        <f t="shared" si="15"/>
        <v>项目停车位配比</v>
      </c>
      <c r="AA27" s="1571">
        <f t="shared" si="3"/>
        <v>1</v>
      </c>
      <c r="AB27" s="1571">
        <f t="shared" si="4"/>
        <v>1</v>
      </c>
      <c r="AC27" s="1571">
        <f t="shared" si="5"/>
        <v>1</v>
      </c>
    </row>
    <row r="28" spans="1:29" ht="15">
      <c r="A28" s="926"/>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36"/>
      <c r="M28" s="2128"/>
      <c r="N28" s="2128"/>
      <c r="O28" s="2135"/>
      <c r="P28" s="3409"/>
      <c r="Q28" s="1567" t="str">
        <f t="shared" si="11"/>
        <v>公共部分装修</v>
      </c>
      <c r="R28" s="1568" t="s">
        <v>8</v>
      </c>
      <c r="S28" s="1569">
        <f t="shared" si="12"/>
        <v>100</v>
      </c>
      <c r="T28" s="1568" t="s">
        <v>8</v>
      </c>
      <c r="U28" s="1569">
        <f t="shared" si="13"/>
        <v>100</v>
      </c>
      <c r="V28" s="1568" t="s">
        <v>8</v>
      </c>
      <c r="W28" s="1569">
        <f t="shared" si="14"/>
        <v>100</v>
      </c>
      <c r="X28" s="1562"/>
      <c r="Y28" s="3409"/>
      <c r="Z28" s="1570" t="str">
        <f t="shared" si="15"/>
        <v>公共部分装修</v>
      </c>
      <c r="AA28" s="1571">
        <f t="shared" si="3"/>
        <v>1</v>
      </c>
      <c r="AB28" s="1571">
        <f t="shared" si="4"/>
        <v>1</v>
      </c>
      <c r="AC28" s="1571">
        <f t="shared" si="5"/>
        <v>1</v>
      </c>
    </row>
    <row r="29" spans="1:29" ht="15">
      <c r="A29" s="926"/>
      <c r="B29" s="578" t="s">
        <v>808</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6"/>
      <c r="M29" s="2128"/>
      <c r="N29" s="2128"/>
      <c r="O29" s="2135"/>
      <c r="P29" s="3409"/>
      <c r="Q29" s="1567" t="str">
        <f t="shared" si="11"/>
        <v>成新率</v>
      </c>
      <c r="R29" s="1568" t="s">
        <v>8</v>
      </c>
      <c r="S29" s="1569" t="e">
        <f t="shared" si="12"/>
        <v>#N/A</v>
      </c>
      <c r="T29" s="1568" t="s">
        <v>8</v>
      </c>
      <c r="U29" s="1569" t="e">
        <f t="shared" si="13"/>
        <v>#N/A</v>
      </c>
      <c r="V29" s="1568" t="s">
        <v>8</v>
      </c>
      <c r="W29" s="1569" t="e">
        <f t="shared" si="14"/>
        <v>#N/A</v>
      </c>
      <c r="X29" s="1562"/>
      <c r="Y29" s="3409"/>
      <c r="Z29" s="1570" t="str">
        <f t="shared" si="15"/>
        <v>成新率</v>
      </c>
      <c r="AA29" s="1571" t="e">
        <f t="shared" si="3"/>
        <v>#N/A</v>
      </c>
      <c r="AB29" s="1571" t="e">
        <f t="shared" si="4"/>
        <v>#N/A</v>
      </c>
      <c r="AC29" s="1571" t="e">
        <f t="shared" si="5"/>
        <v>#N/A</v>
      </c>
    </row>
    <row r="30" spans="1:29" ht="15">
      <c r="A30" s="926"/>
      <c r="B30" s="578" t="s">
        <v>809</v>
      </c>
      <c r="C30" s="927"/>
      <c r="D30" s="536">
        <v>100</v>
      </c>
      <c r="E30" s="927"/>
      <c r="F30" s="571">
        <f>SUMIF(88:88,E30,89:89)-SUMIF(88:88,C30,89:89)+100</f>
        <v>100</v>
      </c>
      <c r="G30" s="927"/>
      <c r="H30" s="536">
        <f>SUMIF(88:88,E30,89:89)-SUMIF(88:88,C30,89:89)+100</f>
        <v>100</v>
      </c>
      <c r="I30" s="927"/>
      <c r="J30" s="536">
        <f>SUMIF(88:88,E30,89:89)-SUMIF(88:88,C30,89:89)+100</f>
        <v>100</v>
      </c>
      <c r="K30" s="580"/>
      <c r="L30" s="2136"/>
      <c r="M30" s="2128"/>
      <c r="N30" s="2128"/>
      <c r="O30" s="2135"/>
      <c r="P30" s="3409"/>
      <c r="Q30" s="1567" t="str">
        <f t="shared" si="11"/>
        <v>物业等级</v>
      </c>
      <c r="R30" s="1568" t="s">
        <v>8</v>
      </c>
      <c r="S30" s="1569">
        <f t="shared" si="12"/>
        <v>100</v>
      </c>
      <c r="T30" s="1568" t="s">
        <v>8</v>
      </c>
      <c r="U30" s="1569">
        <f t="shared" si="13"/>
        <v>100</v>
      </c>
      <c r="V30" s="1568" t="s">
        <v>8</v>
      </c>
      <c r="W30" s="1569">
        <f t="shared" si="14"/>
        <v>100</v>
      </c>
      <c r="X30" s="1562"/>
      <c r="Y30" s="3409"/>
      <c r="Z30" s="1570" t="str">
        <f t="shared" si="15"/>
        <v>物业等级</v>
      </c>
      <c r="AA30" s="1571">
        <f t="shared" si="3"/>
        <v>1</v>
      </c>
      <c r="AB30" s="1571">
        <f t="shared" si="4"/>
        <v>1</v>
      </c>
      <c r="AC30" s="1571">
        <f t="shared" si="5"/>
        <v>1</v>
      </c>
    </row>
    <row r="31" spans="1:29" s="1215" customFormat="1" ht="15">
      <c r="A31" s="928"/>
      <c r="B31" s="578" t="s">
        <v>810</v>
      </c>
      <c r="C31" s="875"/>
      <c r="D31" s="253">
        <v>100</v>
      </c>
      <c r="E31" s="875"/>
      <c r="F31" s="571" t="e">
        <f>LOOKUP(E31,91:91,92:92)-LOOKUP(C31,91:91,92:92)+100</f>
        <v>#N/A</v>
      </c>
      <c r="G31" s="875"/>
      <c r="H31" s="536" t="e">
        <f>LOOKUP(G31,91:91,92:92)-LOOKUP(C31,91:91,92:92)+100</f>
        <v>#N/A</v>
      </c>
      <c r="I31" s="875"/>
      <c r="J31" s="536" t="e">
        <f>LOOKUP(I31,91:91,92:92)-LOOKUP(C31,91:91,92:92)+100</f>
        <v>#N/A</v>
      </c>
      <c r="K31" s="580"/>
      <c r="L31" s="2129"/>
      <c r="M31" s="2130"/>
      <c r="N31" s="2130"/>
      <c r="O31" s="2131"/>
      <c r="P31" s="3409"/>
      <c r="Q31" s="1146" t="str">
        <f t="shared" si="11"/>
        <v>停车位面积</v>
      </c>
      <c r="R31" s="1563" t="s">
        <v>8</v>
      </c>
      <c r="S31" s="1564" t="e">
        <f t="shared" si="12"/>
        <v>#N/A</v>
      </c>
      <c r="T31" s="1563" t="s">
        <v>8</v>
      </c>
      <c r="U31" s="1564" t="e">
        <f t="shared" si="13"/>
        <v>#N/A</v>
      </c>
      <c r="V31" s="1563" t="s">
        <v>8</v>
      </c>
      <c r="W31" s="1564" t="e">
        <f t="shared" si="14"/>
        <v>#N/A</v>
      </c>
      <c r="X31" s="1565"/>
      <c r="Y31" s="3409"/>
      <c r="Z31" s="1145" t="str">
        <f t="shared" si="15"/>
        <v>停车位面积</v>
      </c>
      <c r="AA31" s="1566" t="e">
        <f t="shared" si="3"/>
        <v>#N/A</v>
      </c>
      <c r="AB31" s="1566" t="e">
        <f t="shared" si="4"/>
        <v>#N/A</v>
      </c>
      <c r="AC31" s="1566" t="e">
        <f t="shared" si="5"/>
        <v>#N/A</v>
      </c>
    </row>
    <row r="32" spans="1:29" ht="15">
      <c r="A32" s="926"/>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36"/>
      <c r="M32" s="2128"/>
      <c r="N32" s="2128"/>
      <c r="O32" s="2135"/>
      <c r="P32" s="3409" t="s">
        <v>549</v>
      </c>
      <c r="Q32" s="1567" t="str">
        <f t="shared" si="11"/>
        <v>车位类型</v>
      </c>
      <c r="R32" s="1568" t="s">
        <v>8</v>
      </c>
      <c r="S32" s="1569">
        <f t="shared" si="12"/>
        <v>100</v>
      </c>
      <c r="T32" s="1568" t="s">
        <v>8</v>
      </c>
      <c r="U32" s="1569">
        <f t="shared" si="13"/>
        <v>100</v>
      </c>
      <c r="V32" s="1568" t="s">
        <v>8</v>
      </c>
      <c r="W32" s="1569">
        <f t="shared" si="14"/>
        <v>100</v>
      </c>
      <c r="X32" s="1562"/>
      <c r="Y32" s="3409" t="s">
        <v>549</v>
      </c>
      <c r="Z32" s="1570" t="str">
        <f t="shared" si="15"/>
        <v>车位类型</v>
      </c>
      <c r="AA32" s="1571">
        <f t="shared" si="3"/>
        <v>1</v>
      </c>
      <c r="AB32" s="1571">
        <f t="shared" si="4"/>
        <v>1</v>
      </c>
      <c r="AC32" s="1571">
        <f t="shared" si="5"/>
        <v>1</v>
      </c>
    </row>
    <row r="33" spans="1:29" ht="15">
      <c r="A33" s="926"/>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36"/>
      <c r="M33" s="2128"/>
      <c r="N33" s="2128"/>
      <c r="O33" s="2135"/>
      <c r="P33" s="3409"/>
      <c r="Q33" s="1567" t="str">
        <f t="shared" si="11"/>
        <v>是否直接入户</v>
      </c>
      <c r="R33" s="1568" t="s">
        <v>8</v>
      </c>
      <c r="S33" s="1569">
        <f t="shared" si="12"/>
        <v>100</v>
      </c>
      <c r="T33" s="1568" t="s">
        <v>8</v>
      </c>
      <c r="U33" s="1569">
        <f t="shared" si="13"/>
        <v>100</v>
      </c>
      <c r="V33" s="1568" t="s">
        <v>8</v>
      </c>
      <c r="W33" s="1569">
        <f t="shared" si="14"/>
        <v>100</v>
      </c>
      <c r="X33" s="1562"/>
      <c r="Y33" s="3409"/>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6"/>
      <c r="M34" s="2128"/>
      <c r="N34" s="2128"/>
      <c r="O34" s="2135"/>
      <c r="P34" s="3409"/>
      <c r="Q34" s="1567">
        <f t="shared" si="11"/>
        <v>111</v>
      </c>
      <c r="R34" s="1568" t="s">
        <v>8</v>
      </c>
      <c r="S34" s="1569">
        <f t="shared" si="12"/>
        <v>100</v>
      </c>
      <c r="T34" s="1568" t="s">
        <v>8</v>
      </c>
      <c r="U34" s="1569">
        <f t="shared" si="13"/>
        <v>100</v>
      </c>
      <c r="V34" s="1568" t="s">
        <v>8</v>
      </c>
      <c r="W34" s="1569">
        <f t="shared" si="14"/>
        <v>100</v>
      </c>
      <c r="X34" s="1562"/>
      <c r="Y34" s="3409"/>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4"/>
      <c r="M35" s="2165"/>
      <c r="N35" s="2165"/>
      <c r="O35" s="2137"/>
      <c r="P35" s="3409"/>
      <c r="Q35" s="1600">
        <f t="shared" si="11"/>
        <v>111</v>
      </c>
      <c r="R35" s="1572" t="s">
        <v>8</v>
      </c>
      <c r="S35" s="1573">
        <f t="shared" si="12"/>
        <v>100</v>
      </c>
      <c r="T35" s="1572" t="s">
        <v>8</v>
      </c>
      <c r="U35" s="1573">
        <f t="shared" si="13"/>
        <v>100</v>
      </c>
      <c r="V35" s="1572" t="s">
        <v>8</v>
      </c>
      <c r="W35" s="1573">
        <f t="shared" si="14"/>
        <v>100</v>
      </c>
      <c r="X35" s="1574"/>
      <c r="Y35" s="3409"/>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6"/>
      <c r="M36" s="2128"/>
      <c r="N36" s="2128"/>
      <c r="O36" s="2135"/>
      <c r="P36" s="3409"/>
      <c r="Q36" s="1567">
        <f t="shared" si="11"/>
        <v>111</v>
      </c>
      <c r="R36" s="1568" t="s">
        <v>8</v>
      </c>
      <c r="S36" s="1569">
        <f t="shared" si="12"/>
        <v>100</v>
      </c>
      <c r="T36" s="1568" t="s">
        <v>8</v>
      </c>
      <c r="U36" s="1569">
        <f t="shared" si="13"/>
        <v>100</v>
      </c>
      <c r="V36" s="1568" t="s">
        <v>8</v>
      </c>
      <c r="W36" s="1569">
        <f t="shared" si="14"/>
        <v>100</v>
      </c>
      <c r="X36" s="1562"/>
      <c r="Y36" s="3409"/>
      <c r="Z36" s="1570">
        <f t="shared" si="15"/>
        <v>111</v>
      </c>
      <c r="AA36" s="1571">
        <f t="shared" si="3"/>
        <v>1</v>
      </c>
      <c r="AB36" s="1571">
        <f t="shared" si="4"/>
        <v>1</v>
      </c>
      <c r="AC36" s="1571">
        <f t="shared" si="5"/>
        <v>1</v>
      </c>
    </row>
    <row r="37" spans="1:29" ht="15">
      <c r="A37" s="1840" t="s">
        <v>2076</v>
      </c>
      <c r="B37" s="1841" t="s">
        <v>2077</v>
      </c>
      <c r="C37" s="2645" t="s">
        <v>1</v>
      </c>
      <c r="D37" s="2646"/>
      <c r="E37" s="2647"/>
      <c r="F37" s="2648"/>
      <c r="G37" s="2649"/>
      <c r="H37" s="2650"/>
      <c r="I37" s="2647"/>
      <c r="J37" s="2650"/>
      <c r="K37" s="1605"/>
      <c r="L37" s="2138"/>
      <c r="M37" s="2139"/>
      <c r="N37" s="2128"/>
      <c r="O37" s="2139"/>
      <c r="P37" s="3404" t="str">
        <f>A37</f>
        <v>成交单价</v>
      </c>
      <c r="Q37" s="3404"/>
      <c r="R37" s="3485">
        <f>E37</f>
        <v>0</v>
      </c>
      <c r="S37" s="3485"/>
      <c r="T37" s="3485">
        <f>G37</f>
        <v>0</v>
      </c>
      <c r="U37" s="3485"/>
      <c r="V37" s="3485">
        <f>I37</f>
        <v>0</v>
      </c>
      <c r="W37" s="3485"/>
      <c r="X37" s="1554"/>
      <c r="Y37" s="1576"/>
      <c r="Z37" s="1554"/>
      <c r="AA37" s="1554"/>
      <c r="AB37" s="1554"/>
      <c r="AC37" s="1554"/>
    </row>
    <row r="38" spans="1:29" ht="15.75" thickBot="1">
      <c r="A38" s="611" t="s">
        <v>2758</v>
      </c>
      <c r="B38" s="883"/>
      <c r="C38" s="2651" t="e">
        <f>R39</f>
        <v>#DIV/0!</v>
      </c>
      <c r="D38" s="2652"/>
      <c r="E38" s="2653" t="e">
        <f>R38</f>
        <v>#DIV/0!</v>
      </c>
      <c r="F38" s="2653"/>
      <c r="G38" s="2651" t="e">
        <f>T38</f>
        <v>#DIV/0!</v>
      </c>
      <c r="H38" s="2652"/>
      <c r="I38" s="2653" t="e">
        <f>V38</f>
        <v>#DIV/0!</v>
      </c>
      <c r="J38" s="2652"/>
      <c r="K38" s="1606"/>
      <c r="L38" s="2138"/>
      <c r="M38" s="2139"/>
      <c r="N38" s="2139"/>
      <c r="O38" s="2139"/>
      <c r="P38" s="3404" t="str">
        <f>A38</f>
        <v>比较价格（元/平方米）</v>
      </c>
      <c r="Q38" s="340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4"/>
      <c r="Y38" s="1554"/>
      <c r="Z38" s="1554"/>
      <c r="AA38" s="1554"/>
      <c r="AB38" s="1554"/>
      <c r="AC38" s="1554"/>
    </row>
    <row r="39" spans="1:29" ht="15.75" thickBot="1">
      <c r="A39" s="617" t="s">
        <v>2922</v>
      </c>
      <c r="B39" s="618"/>
      <c r="C39" s="2654" t="e">
        <f>R39</f>
        <v>#DIV/0!</v>
      </c>
      <c r="D39" s="2654"/>
      <c r="E39" s="2654"/>
      <c r="F39" s="2654"/>
      <c r="G39" s="2654"/>
      <c r="H39" s="2654"/>
      <c r="I39" s="2654"/>
      <c r="J39" s="2654"/>
      <c r="K39" s="1607"/>
      <c r="L39" s="2138"/>
      <c r="M39" s="2139"/>
      <c r="N39" s="2139"/>
      <c r="O39" s="2139"/>
      <c r="P39" s="3425" t="str">
        <f>A39</f>
        <v>估价对象XX用房的比较价格（楼面单价，元/平方米）</v>
      </c>
      <c r="Q39" s="3426"/>
      <c r="R39" s="3484" t="e">
        <f>IF(F1="售价",ROUND(AVERAGE(R38:V38),0),ROUND(AVERAGE(R38:V38),1))</f>
        <v>#DIV/0!</v>
      </c>
      <c r="S39" s="3484"/>
      <c r="T39" s="3484"/>
      <c r="U39" s="3484"/>
      <c r="V39" s="3484"/>
      <c r="W39" s="3484"/>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573</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1" t="s">
        <v>528</v>
      </c>
      <c r="B48" s="642"/>
      <c r="C48" s="2820" t="str">
        <f>YEAR(C7)&amp;"-"&amp;MONTH(C7)</f>
        <v>2018-3</v>
      </c>
      <c r="D48" s="2822">
        <f>EDATE(C48,-1)</f>
        <v>43132</v>
      </c>
      <c r="E48" s="2822">
        <f t="shared" ref="E48:O48" si="16">EDATE(D48,-1)</f>
        <v>43101</v>
      </c>
      <c r="F48" s="2822">
        <f t="shared" si="16"/>
        <v>43070</v>
      </c>
      <c r="G48" s="2822">
        <f t="shared" si="16"/>
        <v>43040</v>
      </c>
      <c r="H48" s="2822">
        <f t="shared" si="16"/>
        <v>43009</v>
      </c>
      <c r="I48" s="2822">
        <f t="shared" si="16"/>
        <v>42979</v>
      </c>
      <c r="J48" s="2822">
        <f t="shared" si="16"/>
        <v>42948</v>
      </c>
      <c r="K48" s="2822">
        <f t="shared" si="16"/>
        <v>42917</v>
      </c>
      <c r="L48" s="2822">
        <f t="shared" si="16"/>
        <v>42887</v>
      </c>
      <c r="M48" s="2822">
        <f t="shared" si="16"/>
        <v>42856</v>
      </c>
      <c r="N48" s="2822">
        <f t="shared" si="16"/>
        <v>42826</v>
      </c>
      <c r="O48" s="2822">
        <f t="shared" si="16"/>
        <v>42795</v>
      </c>
      <c r="P48" s="2154"/>
      <c r="Q48" s="2155"/>
      <c r="R48" s="2155"/>
      <c r="S48" s="2155"/>
      <c r="T48" s="2155"/>
      <c r="U48" s="2155"/>
      <c r="V48" s="2155"/>
      <c r="W48" s="2155"/>
      <c r="X48" s="2155"/>
      <c r="Y48" s="2155"/>
      <c r="Z48" s="2155"/>
      <c r="AA48" s="2155"/>
      <c r="AB48" s="2155"/>
      <c r="AC48" s="2155"/>
    </row>
    <row r="49" spans="1:29" s="1215" customFormat="1" ht="15">
      <c r="A49" s="643"/>
      <c r="B49" s="644"/>
      <c r="C49" s="2821">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5" customFormat="1" ht="15.75" thickBot="1">
      <c r="A50" s="649" t="s">
        <v>574</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5" customFormat="1" ht="15">
      <c r="A51" s="655" t="s">
        <v>530</v>
      </c>
      <c r="B51" s="644"/>
      <c r="C51" s="656" t="s">
        <v>575</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576</v>
      </c>
      <c r="B53" s="661" t="s">
        <v>533</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536</v>
      </c>
      <c r="C55" s="670" t="s">
        <v>736</v>
      </c>
      <c r="D55" s="670" t="s">
        <v>737</v>
      </c>
      <c r="E55" s="670" t="s">
        <v>738</v>
      </c>
      <c r="F55" s="670" t="s">
        <v>739</v>
      </c>
      <c r="G55" s="670" t="s">
        <v>740</v>
      </c>
      <c r="H55" s="670" t="s">
        <v>741</v>
      </c>
      <c r="I55" s="670" t="s">
        <v>742</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0">
        <f>B11</f>
        <v>111</v>
      </c>
      <c r="C57" s="537"/>
      <c r="D57" s="537"/>
      <c r="E57" s="537"/>
      <c r="F57" s="537"/>
      <c r="G57" s="537"/>
      <c r="H57" s="537"/>
      <c r="I57" s="537"/>
      <c r="J57" s="537"/>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3"/>
      <c r="B59" s="669">
        <f>B12</f>
        <v>111</v>
      </c>
      <c r="C59" s="537"/>
      <c r="D59" s="537"/>
      <c r="E59" s="537"/>
      <c r="F59" s="537"/>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2555</v>
      </c>
      <c r="C65" s="704" t="s">
        <v>578</v>
      </c>
      <c r="D65" s="704" t="s">
        <v>579</v>
      </c>
      <c r="E65" s="704" t="s">
        <v>580</v>
      </c>
      <c r="F65" s="704" t="s">
        <v>581</v>
      </c>
      <c r="G65" s="704" t="s">
        <v>582</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2556</v>
      </c>
      <c r="C67" s="2616" t="s">
        <v>2557</v>
      </c>
      <c r="D67" s="2616" t="s">
        <v>2558</v>
      </c>
      <c r="E67" s="2616" t="s">
        <v>2559</v>
      </c>
      <c r="F67" s="2616" t="s">
        <v>2560</v>
      </c>
      <c r="G67" s="2616" t="s">
        <v>2561</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743</v>
      </c>
      <c r="C69" s="704" t="s">
        <v>578</v>
      </c>
      <c r="D69" s="704" t="s">
        <v>579</v>
      </c>
      <c r="E69" s="704" t="s">
        <v>580</v>
      </c>
      <c r="F69" s="704" t="s">
        <v>581</v>
      </c>
      <c r="G69" s="704" t="s">
        <v>582</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744</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5"/>
      <c r="B73" s="669">
        <f>B23</f>
        <v>111</v>
      </c>
      <c r="C73" s="537"/>
      <c r="D73" s="537"/>
      <c r="E73" s="537"/>
      <c r="F73" s="537"/>
      <c r="G73" s="684"/>
      <c r="H73" s="684"/>
      <c r="I73" s="684"/>
      <c r="J73" s="684"/>
      <c r="K73" s="684"/>
      <c r="L73" s="885"/>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5"/>
      <c r="B75" s="669">
        <f>B24</f>
        <v>111</v>
      </c>
      <c r="C75" s="537"/>
      <c r="D75" s="537"/>
      <c r="E75" s="537"/>
      <c r="F75" s="537"/>
      <c r="G75" s="684"/>
      <c r="H75" s="684"/>
      <c r="I75" s="684"/>
      <c r="J75" s="684"/>
      <c r="K75" s="684"/>
      <c r="L75" s="684"/>
      <c r="M75" s="886"/>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550</v>
      </c>
      <c r="B79" s="661" t="s">
        <v>813</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814</v>
      </c>
      <c r="C81" s="931"/>
      <c r="D81" s="931"/>
      <c r="E81" s="931"/>
      <c r="F81" s="931"/>
      <c r="G81" s="931"/>
      <c r="H81" s="931"/>
      <c r="I81" s="931"/>
      <c r="J81" s="931"/>
      <c r="K81" s="932"/>
      <c r="L81" s="933"/>
      <c r="M81" s="934"/>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750</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89">
        <v>0.5</v>
      </c>
      <c r="D86" s="889">
        <v>0.6</v>
      </c>
      <c r="E86" s="889">
        <v>0.7</v>
      </c>
      <c r="F86" s="889">
        <v>0.8</v>
      </c>
      <c r="G86" s="889">
        <v>0.9</v>
      </c>
      <c r="H86" s="889">
        <v>1.0001</v>
      </c>
      <c r="I86" s="900"/>
      <c r="J86" s="900"/>
      <c r="K86" s="901"/>
      <c r="L86" s="902"/>
      <c r="M86" s="903"/>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818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819</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2">
        <f>B34</f>
        <v>111</v>
      </c>
      <c r="C97" s="537"/>
      <c r="D97" s="537"/>
      <c r="E97" s="537"/>
      <c r="F97" s="537"/>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4" customFormat="1" ht="15" thickTop="1">
      <c r="A99" s="724"/>
      <c r="B99" s="669">
        <f>B35</f>
        <v>111</v>
      </c>
      <c r="C99" s="537"/>
      <c r="D99" s="537"/>
      <c r="E99" s="537"/>
      <c r="F99" s="537"/>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C37</f>
        <v>#DIV/0!</v>
      </c>
      <c r="C3" s="848" t="s">
        <v>795</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410" t="s">
        <v>797</v>
      </c>
      <c r="D4" s="3411"/>
      <c r="E4" s="3434" t="s">
        <v>798</v>
      </c>
      <c r="F4" s="3435"/>
      <c r="G4" s="3410" t="s">
        <v>799</v>
      </c>
      <c r="H4" s="3411"/>
      <c r="I4" s="3410" t="s">
        <v>800</v>
      </c>
      <c r="J4" s="3411"/>
      <c r="K4" s="510" t="s">
        <v>801</v>
      </c>
      <c r="L4" s="2127"/>
      <c r="M4" s="2128"/>
      <c r="N4" s="2128"/>
      <c r="O4" s="2128"/>
      <c r="P4" s="3412" t="s">
        <v>802</v>
      </c>
      <c r="Q4" s="3413"/>
      <c r="R4" s="3398" t="s">
        <v>798</v>
      </c>
      <c r="S4" s="3399"/>
      <c r="T4" s="3398" t="s">
        <v>799</v>
      </c>
      <c r="U4" s="3399"/>
      <c r="V4" s="3418" t="s">
        <v>800</v>
      </c>
      <c r="W4" s="3418"/>
      <c r="X4" s="1562"/>
      <c r="Y4" s="3398" t="s">
        <v>802</v>
      </c>
      <c r="Z4" s="3399"/>
      <c r="AA4" s="3393" t="s">
        <v>798</v>
      </c>
      <c r="AB4" s="3394" t="s">
        <v>799</v>
      </c>
      <c r="AC4" s="3393" t="s">
        <v>800</v>
      </c>
    </row>
    <row r="5" spans="1:29" ht="15">
      <c r="A5" s="511"/>
      <c r="B5" s="512"/>
      <c r="C5" s="3421" t="s">
        <v>2916</v>
      </c>
      <c r="D5" s="3422"/>
      <c r="E5" s="3436" t="s">
        <v>2917</v>
      </c>
      <c r="F5" s="3437"/>
      <c r="G5" s="3421" t="s">
        <v>2918</v>
      </c>
      <c r="H5" s="3422"/>
      <c r="I5" s="3421" t="s">
        <v>2919</v>
      </c>
      <c r="J5" s="3422"/>
      <c r="K5" s="510"/>
      <c r="L5" s="2127"/>
      <c r="M5" s="2128"/>
      <c r="N5" s="2128"/>
      <c r="O5" s="2128"/>
      <c r="P5" s="3414"/>
      <c r="Q5" s="3415"/>
      <c r="R5" s="3400"/>
      <c r="S5" s="3401"/>
      <c r="T5" s="3400"/>
      <c r="U5" s="3401"/>
      <c r="V5" s="3418"/>
      <c r="W5" s="3418"/>
      <c r="X5" s="1562"/>
      <c r="Y5" s="3400"/>
      <c r="Z5" s="3401"/>
      <c r="AA5" s="3394"/>
      <c r="AB5" s="3394"/>
      <c r="AC5" s="3394"/>
    </row>
    <row r="6" spans="1:29" ht="15.75" thickBot="1">
      <c r="A6" s="513"/>
      <c r="B6" s="514"/>
      <c r="C6" s="3419" t="s">
        <v>2920</v>
      </c>
      <c r="D6" s="3420"/>
      <c r="E6" s="3438" t="s">
        <v>2920</v>
      </c>
      <c r="F6" s="3439"/>
      <c r="G6" s="3419" t="s">
        <v>2920</v>
      </c>
      <c r="H6" s="3420"/>
      <c r="I6" s="3419" t="s">
        <v>2920</v>
      </c>
      <c r="J6" s="3420"/>
      <c r="K6" s="510" t="s">
        <v>527</v>
      </c>
      <c r="L6" s="2127"/>
      <c r="M6" s="2128"/>
      <c r="N6" s="2128"/>
      <c r="O6" s="2128"/>
      <c r="P6" s="3416"/>
      <c r="Q6" s="3417"/>
      <c r="R6" s="3400"/>
      <c r="S6" s="3401"/>
      <c r="T6" s="3402"/>
      <c r="U6" s="3403"/>
      <c r="V6" s="3418"/>
      <c r="W6" s="3418"/>
      <c r="X6" s="1562"/>
      <c r="Y6" s="3402"/>
      <c r="Z6" s="3403"/>
      <c r="AA6" s="3395"/>
      <c r="AB6" s="3395"/>
      <c r="AC6" s="3395"/>
    </row>
    <row r="7" spans="1:29" s="1215" customFormat="1" ht="15.75" thickBot="1">
      <c r="A7" s="2930"/>
      <c r="B7" s="2937" t="s">
        <v>528</v>
      </c>
      <c r="C7" s="515">
        <f>'数据-取费表'!B2</f>
        <v>43182</v>
      </c>
      <c r="D7" s="516">
        <v>100</v>
      </c>
      <c r="E7" s="517"/>
      <c r="F7" s="518">
        <f>SUMIF(46:46,YEAR(E7)&amp;"-"&amp;MONTH(E7),47:47)</f>
        <v>0</v>
      </c>
      <c r="G7" s="519"/>
      <c r="H7" s="516">
        <f>SUMIF(46:46,YEAR(G7)&amp;"-"&amp;MONTH(G7),47:47)</f>
        <v>0</v>
      </c>
      <c r="I7" s="519"/>
      <c r="J7" s="516">
        <f>SUMIF(46:46,YEAR(I7)&amp;"-"&amp;MONTH(I7),47:47)</f>
        <v>0</v>
      </c>
      <c r="K7" s="520"/>
      <c r="L7" s="2129"/>
      <c r="M7" s="2130"/>
      <c r="N7" s="2130"/>
      <c r="O7" s="2130"/>
      <c r="P7" s="3396" t="s">
        <v>529</v>
      </c>
      <c r="Q7" s="3405"/>
      <c r="R7" s="1563" t="s">
        <v>8</v>
      </c>
      <c r="S7" s="1564">
        <f t="shared" ref="S7:S14" si="0">F7</f>
        <v>0</v>
      </c>
      <c r="T7" s="1563" t="s">
        <v>8</v>
      </c>
      <c r="U7" s="1564">
        <f t="shared" ref="U7:U14" si="1">H7</f>
        <v>0</v>
      </c>
      <c r="V7" s="1563" t="s">
        <v>8</v>
      </c>
      <c r="W7" s="1564">
        <f t="shared" ref="W7:W14" si="2">J7</f>
        <v>0</v>
      </c>
      <c r="X7" s="1565"/>
      <c r="Y7" s="3396" t="s">
        <v>529</v>
      </c>
      <c r="Z7" s="3397"/>
      <c r="AA7" s="1566" t="e">
        <f>D7/F7</f>
        <v>#DIV/0!</v>
      </c>
      <c r="AB7" s="1566" t="e">
        <f>D7/H7</f>
        <v>#DIV/0!</v>
      </c>
      <c r="AC7" s="1566" t="e">
        <f>D7/J7</f>
        <v>#DIV/0!</v>
      </c>
    </row>
    <row r="8" spans="1:29" s="1215" customFormat="1" ht="15.75" thickBot="1">
      <c r="A8" s="2931"/>
      <c r="B8" s="2938" t="s">
        <v>530</v>
      </c>
      <c r="C8" s="521" t="s">
        <v>575</v>
      </c>
      <c r="D8" s="516">
        <v>100</v>
      </c>
      <c r="E8" s="521"/>
      <c r="F8" s="518">
        <f>SUMIF(49:49,E8,50:50)-SUMIF(49:49,C8,50:50)+100</f>
        <v>0</v>
      </c>
      <c r="G8" s="521"/>
      <c r="H8" s="516">
        <f>SUMIF(49:49,G8,50:50)-SUMIF(49:49,C8,50:50)+100</f>
        <v>0</v>
      </c>
      <c r="I8" s="521"/>
      <c r="J8" s="516">
        <f>SUMIF(49:49,I8,50:50)-SUMIF(49:49,C8,50:50)+100</f>
        <v>0</v>
      </c>
      <c r="K8" s="520"/>
      <c r="L8" s="2129"/>
      <c r="M8" s="2130"/>
      <c r="N8" s="2130"/>
      <c r="O8" s="2130"/>
      <c r="P8" s="3396" t="s">
        <v>532</v>
      </c>
      <c r="Q8" s="3397"/>
      <c r="R8" s="1563" t="s">
        <v>8</v>
      </c>
      <c r="S8" s="1564">
        <f t="shared" si="0"/>
        <v>0</v>
      </c>
      <c r="T8" s="1563" t="s">
        <v>8</v>
      </c>
      <c r="U8" s="1564">
        <f t="shared" si="1"/>
        <v>0</v>
      </c>
      <c r="V8" s="1563" t="s">
        <v>8</v>
      </c>
      <c r="W8" s="1564">
        <f t="shared" si="2"/>
        <v>0</v>
      </c>
      <c r="X8" s="1565"/>
      <c r="Y8" s="3396" t="s">
        <v>532</v>
      </c>
      <c r="Z8" s="3397"/>
      <c r="AA8" s="1566" t="e">
        <f t="shared" ref="AA8:AA34" si="3">D8/F8</f>
        <v>#DIV/0!</v>
      </c>
      <c r="AB8" s="1566" t="e">
        <f t="shared" ref="AB8:AB34" si="4">D8/H8</f>
        <v>#DIV/0!</v>
      </c>
      <c r="AC8" s="1566" t="e">
        <f t="shared" ref="AC8:AC34" si="5">D8/J8</f>
        <v>#DIV/0!</v>
      </c>
    </row>
    <row r="9" spans="1:29" s="1215" customFormat="1" ht="15">
      <c r="A9" s="2932"/>
      <c r="B9" s="2939" t="s">
        <v>2754</v>
      </c>
      <c r="C9" s="853"/>
      <c r="D9" s="252">
        <v>100</v>
      </c>
      <c r="E9" s="856"/>
      <c r="F9" s="252">
        <f>SUMIF(51:51,E9,52:52)-SUMIF(51:51,C9,52:52)+100</f>
        <v>100</v>
      </c>
      <c r="G9" s="856"/>
      <c r="H9" s="252">
        <f>SUMIF(51:51,G9,52:52)-SUMIF(51:51,C9,52:52)+100</f>
        <v>100</v>
      </c>
      <c r="I9" s="856"/>
      <c r="J9" s="252">
        <f>SUMIF(51:51,I9,52:52)-SUMIF(51:51,C9,52:52)+100</f>
        <v>100</v>
      </c>
      <c r="K9" s="520"/>
      <c r="L9" s="2129"/>
      <c r="M9" s="2130"/>
      <c r="N9" s="2130"/>
      <c r="O9" s="2131"/>
      <c r="P9" s="3404" t="s">
        <v>534</v>
      </c>
      <c r="Q9" s="1146" t="str">
        <f t="shared" ref="Q9:Q14" si="6">B9</f>
        <v>用途</v>
      </c>
      <c r="R9" s="1563" t="s">
        <v>8</v>
      </c>
      <c r="S9" s="1564">
        <f t="shared" si="0"/>
        <v>100</v>
      </c>
      <c r="T9" s="1563" t="s">
        <v>8</v>
      </c>
      <c r="U9" s="1564">
        <f t="shared" si="1"/>
        <v>100</v>
      </c>
      <c r="V9" s="1563" t="s">
        <v>8</v>
      </c>
      <c r="W9" s="1564">
        <f t="shared" si="2"/>
        <v>100</v>
      </c>
      <c r="X9" s="1565"/>
      <c r="Y9" s="3361"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SUMIF(53:53,E10,54:54)-SUMIF(53:53,C10,54:54)+100</f>
        <v>100</v>
      </c>
      <c r="G10" s="858"/>
      <c r="H10" s="253">
        <f>SUMIF(53:53,G10,54:54)-SUMIF(53:53,C10,54:54)+100</f>
        <v>100</v>
      </c>
      <c r="I10" s="857"/>
      <c r="J10" s="253">
        <f>SUMIF(53:53,I10,54:54)-SUMIF(53:53,C10,54:54)+100</f>
        <v>100</v>
      </c>
      <c r="K10" s="580"/>
      <c r="L10" s="2132"/>
      <c r="M10" s="2172"/>
      <c r="N10" s="2172"/>
      <c r="O10" s="2133"/>
      <c r="P10" s="3404"/>
      <c r="Q10" s="1146" t="str">
        <f t="shared" si="6"/>
        <v>土地使用年限（年）</v>
      </c>
      <c r="R10" s="1563" t="s">
        <v>8</v>
      </c>
      <c r="S10" s="1564">
        <f t="shared" si="0"/>
        <v>100</v>
      </c>
      <c r="T10" s="1563" t="s">
        <v>8</v>
      </c>
      <c r="U10" s="1564">
        <f t="shared" si="1"/>
        <v>100</v>
      </c>
      <c r="V10" s="1563" t="s">
        <v>8</v>
      </c>
      <c r="W10" s="1564">
        <f t="shared" si="2"/>
        <v>100</v>
      </c>
      <c r="X10" s="1565"/>
      <c r="Y10" s="3361"/>
      <c r="Z10" s="1145" t="str">
        <f t="shared" si="7"/>
        <v>土地使用年限（年）</v>
      </c>
      <c r="AA10" s="1566">
        <f t="shared" si="3"/>
        <v>1</v>
      </c>
      <c r="AB10" s="1566">
        <f t="shared" si="4"/>
        <v>1</v>
      </c>
      <c r="AC10" s="1566">
        <f t="shared" si="5"/>
        <v>1</v>
      </c>
    </row>
    <row r="11" spans="1:29" ht="15">
      <c r="A11" s="2935"/>
      <c r="B11" s="2941">
        <v>111</v>
      </c>
      <c r="C11" s="524"/>
      <c r="D11" s="253">
        <v>100</v>
      </c>
      <c r="E11" s="875"/>
      <c r="F11" s="253">
        <f>SUMIF(55:55,E11,56:56)-SUMIF(55:55,C11,56:56)+100</f>
        <v>100</v>
      </c>
      <c r="G11" s="875"/>
      <c r="H11" s="253">
        <f>SUMIF(55:55,G11,56:56)-SUMIF(55:55,C11,56:56)+100</f>
        <v>100</v>
      </c>
      <c r="I11" s="875"/>
      <c r="J11" s="253">
        <f>SUMIF(55:55,I11,56:56)-SUMIF(55:55,C11,56:56)+100</f>
        <v>100</v>
      </c>
      <c r="K11" s="577"/>
      <c r="L11" s="2134"/>
      <c r="M11" s="2128"/>
      <c r="N11" s="2128"/>
      <c r="O11" s="2135"/>
      <c r="P11" s="3404"/>
      <c r="Q11" s="1146">
        <f t="shared" si="6"/>
        <v>111</v>
      </c>
      <c r="R11" s="1563" t="s">
        <v>8</v>
      </c>
      <c r="S11" s="1564">
        <f t="shared" si="0"/>
        <v>100</v>
      </c>
      <c r="T11" s="1563" t="s">
        <v>8</v>
      </c>
      <c r="U11" s="1564">
        <f t="shared" si="1"/>
        <v>100</v>
      </c>
      <c r="V11" s="1563" t="s">
        <v>8</v>
      </c>
      <c r="W11" s="1564">
        <f t="shared" si="2"/>
        <v>100</v>
      </c>
      <c r="X11" s="1565"/>
      <c r="Y11" s="3361"/>
      <c r="Z11" s="1145">
        <f t="shared" si="7"/>
        <v>111</v>
      </c>
      <c r="AA11" s="1566">
        <f t="shared" si="3"/>
        <v>1</v>
      </c>
      <c r="AB11" s="1566">
        <f t="shared" si="4"/>
        <v>1</v>
      </c>
      <c r="AC11" s="1566">
        <f t="shared" si="5"/>
        <v>1</v>
      </c>
    </row>
    <row r="12" spans="1:29" s="1215" customFormat="1" ht="15">
      <c r="A12" s="2935"/>
      <c r="B12" s="2941">
        <v>111</v>
      </c>
      <c r="C12" s="524"/>
      <c r="D12" s="534">
        <v>100</v>
      </c>
      <c r="E12" s="875"/>
      <c r="F12" s="253">
        <f>SUMIF(57:57,E12,58:58)-SUMIF(57:57,C12,58:58)+100</f>
        <v>100</v>
      </c>
      <c r="G12" s="875"/>
      <c r="H12" s="253">
        <f>SUMIF(57:57,G12,58:58)-SUMIF(57:57,C12,58:58)+100</f>
        <v>100</v>
      </c>
      <c r="I12" s="875"/>
      <c r="J12" s="253">
        <f>SUMIF(57:57,I12,58:58)-SUMIF(57:57,C12,58:58)+100</f>
        <v>100</v>
      </c>
      <c r="K12" s="577"/>
      <c r="L12" s="2129"/>
      <c r="M12" s="2130"/>
      <c r="N12" s="2130"/>
      <c r="O12" s="2131"/>
      <c r="P12" s="3404"/>
      <c r="Q12" s="1146">
        <f t="shared" si="6"/>
        <v>111</v>
      </c>
      <c r="R12" s="1563" t="s">
        <v>8</v>
      </c>
      <c r="S12" s="1564">
        <f t="shared" si="0"/>
        <v>100</v>
      </c>
      <c r="T12" s="1563" t="s">
        <v>8</v>
      </c>
      <c r="U12" s="1564">
        <f t="shared" si="1"/>
        <v>100</v>
      </c>
      <c r="V12" s="1563" t="s">
        <v>8</v>
      </c>
      <c r="W12" s="1564">
        <f t="shared" si="2"/>
        <v>100</v>
      </c>
      <c r="X12" s="1565"/>
      <c r="Y12" s="3361"/>
      <c r="Z12" s="1145">
        <f t="shared" si="7"/>
        <v>111</v>
      </c>
      <c r="AA12" s="1566">
        <f>D12/F12</f>
        <v>1</v>
      </c>
      <c r="AB12" s="1566">
        <f>D12/H12</f>
        <v>1</v>
      </c>
      <c r="AC12" s="1566">
        <f>D12/J12</f>
        <v>1</v>
      </c>
    </row>
    <row r="13" spans="1:29" ht="15.75" thickBot="1">
      <c r="A13" s="2936"/>
      <c r="B13" s="2942">
        <v>111</v>
      </c>
      <c r="C13" s="535"/>
      <c r="D13" s="536">
        <v>100</v>
      </c>
      <c r="E13" s="875"/>
      <c r="F13" s="253">
        <f>SUMIF(59:59,E13,60:60)-SUMIF(59:59,C13,60:60)+100</f>
        <v>100</v>
      </c>
      <c r="G13" s="875"/>
      <c r="H13" s="536">
        <f>SUMIF(59:59,G13,60:60)-SUMIF(59:59,C13,60:60)+100</f>
        <v>100</v>
      </c>
      <c r="I13" s="875"/>
      <c r="J13" s="536">
        <f>SUMIF(59:59,I13,60:60)-SUMIF(59:59,C13,60:60)+100</f>
        <v>100</v>
      </c>
      <c r="K13" s="577"/>
      <c r="L13" s="2136"/>
      <c r="M13" s="2128"/>
      <c r="N13" s="2128"/>
      <c r="O13" s="2135"/>
      <c r="P13" s="3404"/>
      <c r="Q13" s="1146">
        <f t="shared" si="6"/>
        <v>111</v>
      </c>
      <c r="R13" s="1563" t="s">
        <v>8</v>
      </c>
      <c r="S13" s="1564">
        <f t="shared" si="0"/>
        <v>100</v>
      </c>
      <c r="T13" s="1563" t="s">
        <v>8</v>
      </c>
      <c r="U13" s="1564">
        <f t="shared" si="1"/>
        <v>100</v>
      </c>
      <c r="V13" s="1563" t="s">
        <v>8</v>
      </c>
      <c r="W13" s="1564">
        <f t="shared" si="2"/>
        <v>100</v>
      </c>
      <c r="X13" s="1565"/>
      <c r="Y13" s="3361"/>
      <c r="Z13" s="1145">
        <f t="shared" si="7"/>
        <v>111</v>
      </c>
      <c r="AA13" s="1566">
        <f t="shared" si="3"/>
        <v>1</v>
      </c>
      <c r="AB13" s="1566">
        <f t="shared" si="4"/>
        <v>1</v>
      </c>
      <c r="AC13" s="1566">
        <f t="shared" si="5"/>
        <v>1</v>
      </c>
    </row>
    <row r="14" spans="1:29" ht="15">
      <c r="A14" s="2928" t="s">
        <v>2752</v>
      </c>
      <c r="B14" s="166" t="s">
        <v>542</v>
      </c>
      <c r="C14" s="916">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3"/>
      <c r="L14" s="2136"/>
      <c r="M14" s="2128"/>
      <c r="N14" s="2128"/>
      <c r="O14" s="2135"/>
      <c r="P14" s="3406" t="s">
        <v>539</v>
      </c>
      <c r="Q14" s="1567" t="str">
        <f t="shared" si="6"/>
        <v>交通便捷度</v>
      </c>
      <c r="R14" s="1568" t="s">
        <v>8</v>
      </c>
      <c r="S14" s="1569">
        <f t="shared" si="0"/>
        <v>100</v>
      </c>
      <c r="T14" s="1568" t="s">
        <v>8</v>
      </c>
      <c r="U14" s="1569">
        <f t="shared" si="1"/>
        <v>100</v>
      </c>
      <c r="V14" s="1568" t="s">
        <v>8</v>
      </c>
      <c r="W14" s="1569">
        <f t="shared" si="2"/>
        <v>100</v>
      </c>
      <c r="X14" s="1562"/>
      <c r="Y14" s="3406"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6"/>
      <c r="M15" s="2128"/>
      <c r="N15" s="2128"/>
      <c r="O15" s="2135"/>
      <c r="P15" s="3407"/>
      <c r="Q15" s="1567"/>
      <c r="R15" s="1568"/>
      <c r="S15" s="1569"/>
      <c r="T15" s="1568"/>
      <c r="U15" s="1569"/>
      <c r="V15" s="1568"/>
      <c r="W15" s="1569"/>
      <c r="X15" s="1562"/>
      <c r="Y15" s="3407"/>
      <c r="Z15" s="1570"/>
      <c r="AA15" s="1571">
        <v>1</v>
      </c>
      <c r="AB15" s="1571">
        <v>1</v>
      </c>
      <c r="AC15" s="1571">
        <v>1</v>
      </c>
    </row>
    <row r="16" spans="1:29" ht="15">
      <c r="A16" s="528"/>
      <c r="B16" s="2621" t="s">
        <v>2544</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3"/>
      <c r="L16" s="2136"/>
      <c r="M16" s="2128"/>
      <c r="N16" s="2128"/>
      <c r="O16" s="2135"/>
      <c r="P16" s="3407"/>
      <c r="Q16" s="1567" t="str">
        <f>B16</f>
        <v>公共配套设施</v>
      </c>
      <c r="R16" s="1568" t="s">
        <v>8</v>
      </c>
      <c r="S16" s="1569">
        <f>F16</f>
        <v>100</v>
      </c>
      <c r="T16" s="1568" t="s">
        <v>8</v>
      </c>
      <c r="U16" s="1569">
        <f>H16</f>
        <v>100</v>
      </c>
      <c r="V16" s="1568" t="s">
        <v>8</v>
      </c>
      <c r="W16" s="1569">
        <f>J16</f>
        <v>100</v>
      </c>
      <c r="X16" s="1562"/>
      <c r="Y16" s="3407"/>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6"/>
      <c r="M17" s="2128"/>
      <c r="N17" s="2128"/>
      <c r="O17" s="2135"/>
      <c r="P17" s="3407"/>
      <c r="Q17" s="1567"/>
      <c r="R17" s="1568"/>
      <c r="S17" s="1569"/>
      <c r="T17" s="1568"/>
      <c r="U17" s="1569"/>
      <c r="V17" s="1568"/>
      <c r="W17" s="1569"/>
      <c r="X17" s="1562"/>
      <c r="Y17" s="3407"/>
      <c r="Z17" s="1570"/>
      <c r="AA17" s="1571">
        <v>1</v>
      </c>
      <c r="AB17" s="1571">
        <v>1</v>
      </c>
      <c r="AC17" s="1571">
        <v>1</v>
      </c>
    </row>
    <row r="18" spans="1:29" ht="15">
      <c r="A18" s="528"/>
      <c r="B18" s="2609" t="s">
        <v>2556</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3"/>
      <c r="L18" s="2136"/>
      <c r="M18" s="2128"/>
      <c r="N18" s="2128"/>
      <c r="O18" s="2135"/>
      <c r="P18" s="3407"/>
      <c r="Q18" s="2597" t="str">
        <f>B18</f>
        <v>基础设施水平</v>
      </c>
      <c r="R18" s="1568" t="s">
        <v>8</v>
      </c>
      <c r="S18" s="1569">
        <f>F18</f>
        <v>100</v>
      </c>
      <c r="T18" s="1568" t="s">
        <v>8</v>
      </c>
      <c r="U18" s="1569">
        <f>H18</f>
        <v>100</v>
      </c>
      <c r="V18" s="1568" t="s">
        <v>8</v>
      </c>
      <c r="W18" s="1569">
        <f>J18</f>
        <v>100</v>
      </c>
      <c r="X18" s="2599"/>
      <c r="Y18" s="3407"/>
      <c r="Z18" s="2598"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0"/>
      <c r="L19" s="2136"/>
      <c r="M19" s="2128"/>
      <c r="N19" s="2128"/>
      <c r="O19" s="2135"/>
      <c r="P19" s="3407"/>
      <c r="Q19" s="2597"/>
      <c r="R19" s="1568"/>
      <c r="S19" s="1569"/>
      <c r="T19" s="1568"/>
      <c r="U19" s="1569"/>
      <c r="V19" s="1568"/>
      <c r="W19" s="1569"/>
      <c r="X19" s="2599"/>
      <c r="Y19" s="3407"/>
      <c r="Z19" s="2598"/>
      <c r="AA19" s="1571">
        <v>1</v>
      </c>
      <c r="AB19" s="1571">
        <v>1</v>
      </c>
      <c r="AC19" s="1571">
        <v>1</v>
      </c>
    </row>
    <row r="20" spans="1:29" ht="15">
      <c r="A20" s="528"/>
      <c r="B20" s="867" t="s">
        <v>803</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3"/>
      <c r="L20" s="2136"/>
      <c r="M20" s="2128"/>
      <c r="N20" s="2128"/>
      <c r="O20" s="2135"/>
      <c r="P20" s="3407"/>
      <c r="Q20" s="1567" t="str">
        <f>B20</f>
        <v>自然及人文环境</v>
      </c>
      <c r="R20" s="1568" t="s">
        <v>8</v>
      </c>
      <c r="S20" s="1569">
        <f>F20</f>
        <v>100</v>
      </c>
      <c r="T20" s="1568" t="s">
        <v>8</v>
      </c>
      <c r="U20" s="1569">
        <f>H20</f>
        <v>100</v>
      </c>
      <c r="V20" s="1568" t="s">
        <v>8</v>
      </c>
      <c r="W20" s="1569">
        <f>J20</f>
        <v>100</v>
      </c>
      <c r="X20" s="1562"/>
      <c r="Y20" s="3407"/>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6"/>
      <c r="M21" s="2128"/>
      <c r="N21" s="2128"/>
      <c r="O21" s="2135"/>
      <c r="P21" s="3407"/>
      <c r="Q21" s="1567"/>
      <c r="R21" s="1568"/>
      <c r="S21" s="1569"/>
      <c r="T21" s="1568"/>
      <c r="U21" s="1569"/>
      <c r="V21" s="1568"/>
      <c r="W21" s="1569"/>
      <c r="X21" s="1562"/>
      <c r="Y21" s="3407"/>
      <c r="Z21" s="1570"/>
      <c r="AA21" s="1571">
        <v>1</v>
      </c>
      <c r="AB21" s="1571">
        <v>1</v>
      </c>
      <c r="AC21" s="1571">
        <v>1</v>
      </c>
    </row>
    <row r="22" spans="1:29" ht="15">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36"/>
      <c r="M22" s="2128"/>
      <c r="N22" s="2128"/>
      <c r="O22" s="2135"/>
      <c r="P22" s="3407"/>
      <c r="Q22" s="1567" t="str">
        <f>B22</f>
        <v>楼层</v>
      </c>
      <c r="R22" s="1568" t="s">
        <v>8</v>
      </c>
      <c r="S22" s="1569">
        <f>F22</f>
        <v>100</v>
      </c>
      <c r="T22" s="1568" t="s">
        <v>8</v>
      </c>
      <c r="U22" s="1569">
        <f>H22</f>
        <v>100</v>
      </c>
      <c r="V22" s="1568" t="s">
        <v>8</v>
      </c>
      <c r="W22" s="1569">
        <f>J22</f>
        <v>100</v>
      </c>
      <c r="X22" s="1562"/>
      <c r="Y22" s="3407"/>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6"/>
      <c r="M23" s="2128"/>
      <c r="N23" s="2128"/>
      <c r="O23" s="2135"/>
      <c r="P23" s="3407"/>
      <c r="Q23" s="1567">
        <f>B23</f>
        <v>111</v>
      </c>
      <c r="R23" s="1568" t="s">
        <v>8</v>
      </c>
      <c r="S23" s="1569">
        <f>F23</f>
        <v>100</v>
      </c>
      <c r="T23" s="1568" t="s">
        <v>8</v>
      </c>
      <c r="U23" s="1569">
        <f>H23</f>
        <v>100</v>
      </c>
      <c r="V23" s="1568" t="s">
        <v>8</v>
      </c>
      <c r="W23" s="1569">
        <f>J23</f>
        <v>100</v>
      </c>
      <c r="X23" s="1562"/>
      <c r="Y23" s="3407"/>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6"/>
      <c r="M24" s="2128"/>
      <c r="N24" s="2128"/>
      <c r="O24" s="2135"/>
      <c r="P24" s="3407"/>
      <c r="Q24" s="1567">
        <f t="shared" ref="Q24:Q34" si="11">B24</f>
        <v>111</v>
      </c>
      <c r="R24" s="1568" t="s">
        <v>8</v>
      </c>
      <c r="S24" s="1569">
        <f>F24</f>
        <v>100</v>
      </c>
      <c r="T24" s="1568" t="s">
        <v>8</v>
      </c>
      <c r="U24" s="1569">
        <f>H24</f>
        <v>100</v>
      </c>
      <c r="V24" s="1568" t="s">
        <v>8</v>
      </c>
      <c r="W24" s="1569">
        <f>J24</f>
        <v>100</v>
      </c>
      <c r="X24" s="1562"/>
      <c r="Y24" s="3407"/>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9"/>
      <c r="M25" s="2130"/>
      <c r="N25" s="2130"/>
      <c r="O25" s="2131"/>
      <c r="P25" s="3407"/>
      <c r="Q25" s="1146">
        <f t="shared" si="11"/>
        <v>111</v>
      </c>
      <c r="R25" s="1563" t="s">
        <v>8</v>
      </c>
      <c r="S25" s="1564">
        <f>F25</f>
        <v>100</v>
      </c>
      <c r="T25" s="1563" t="s">
        <v>8</v>
      </c>
      <c r="U25" s="1564">
        <f>H25</f>
        <v>100</v>
      </c>
      <c r="V25" s="1563" t="s">
        <v>8</v>
      </c>
      <c r="W25" s="1564">
        <f>J25</f>
        <v>100</v>
      </c>
      <c r="X25" s="1565"/>
      <c r="Y25" s="3407"/>
      <c r="Z25" s="1145">
        <f>Q25</f>
        <v>111</v>
      </c>
      <c r="AA25" s="1571">
        <f>D25/F25</f>
        <v>1</v>
      </c>
      <c r="AB25" s="1571">
        <f>D25/H25</f>
        <v>1</v>
      </c>
      <c r="AC25" s="1571">
        <f>D25/J25</f>
        <v>1</v>
      </c>
    </row>
    <row r="26" spans="1:29" ht="15">
      <c r="A26" s="2925" t="s">
        <v>2753</v>
      </c>
      <c r="B26" s="172" t="s">
        <v>807</v>
      </c>
      <c r="C26" s="911"/>
      <c r="D26" s="593">
        <v>100</v>
      </c>
      <c r="E26" s="911"/>
      <c r="F26" s="938">
        <f>SUMIF(77:77,E26,78:78)-SUMIF(77:77,C26,78:78)+100</f>
        <v>100</v>
      </c>
      <c r="G26" s="911"/>
      <c r="H26" s="593">
        <f>SUMIF(77:77,G26,78:78)-SUMIF(77:77,C26,78:78)+100</f>
        <v>100</v>
      </c>
      <c r="I26" s="911"/>
      <c r="J26" s="593">
        <f>SUMIF(77:77,I26,78:78)-SUMIF(77:77,C26,78:78)+100</f>
        <v>100</v>
      </c>
      <c r="K26" s="580"/>
      <c r="L26" s="2136"/>
      <c r="M26" s="2128"/>
      <c r="N26" s="2128"/>
      <c r="O26" s="2135"/>
      <c r="P26" s="3408"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09" t="s">
        <v>820</v>
      </c>
      <c r="Z26" s="1570" t="str">
        <f t="shared" ref="Z26:Z34" si="15">Q26</f>
        <v>公共部分装修</v>
      </c>
      <c r="AA26" s="1571">
        <f t="shared" si="3"/>
        <v>1</v>
      </c>
      <c r="AB26" s="1571">
        <f t="shared" si="4"/>
        <v>1</v>
      </c>
      <c r="AC26" s="1571">
        <f t="shared" si="5"/>
        <v>1</v>
      </c>
    </row>
    <row r="27" spans="1:29" s="1334" customFormat="1" ht="15">
      <c r="A27" s="599"/>
      <c r="B27" s="523" t="s">
        <v>808</v>
      </c>
      <c r="C27" s="878"/>
      <c r="D27" s="253">
        <v>100</v>
      </c>
      <c r="E27" s="879"/>
      <c r="F27" s="571" t="e">
        <f>LOOKUP(E27,80:80,81:81)-LOOKUP(C27,80:80,81:81)+100</f>
        <v>#N/A</v>
      </c>
      <c r="G27" s="880"/>
      <c r="H27" s="536" t="e">
        <f>LOOKUP(G27,80:80,81:81)-LOOKUP(C27,80:80,81:81)+100</f>
        <v>#N/A</v>
      </c>
      <c r="I27" s="880"/>
      <c r="J27" s="536" t="e">
        <f>LOOKUP(I27,80:80,81:81)-LOOKUP(C27,80:80,81:81)+100</f>
        <v>#N/A</v>
      </c>
      <c r="K27" s="580"/>
      <c r="L27" s="2134"/>
      <c r="M27" s="2165"/>
      <c r="N27" s="2165"/>
      <c r="O27" s="2137"/>
      <c r="P27" s="3409"/>
      <c r="Q27" s="1600" t="str">
        <f t="shared" si="11"/>
        <v>成新率</v>
      </c>
      <c r="R27" s="1572" t="s">
        <v>8</v>
      </c>
      <c r="S27" s="1573" t="e">
        <f t="shared" si="12"/>
        <v>#N/A</v>
      </c>
      <c r="T27" s="1572" t="s">
        <v>8</v>
      </c>
      <c r="U27" s="1573" t="e">
        <f t="shared" si="13"/>
        <v>#N/A</v>
      </c>
      <c r="V27" s="1572" t="s">
        <v>8</v>
      </c>
      <c r="W27" s="1573" t="e">
        <f t="shared" si="14"/>
        <v>#N/A</v>
      </c>
      <c r="X27" s="1574"/>
      <c r="Y27" s="3409"/>
      <c r="Z27" s="1575" t="str">
        <f t="shared" si="15"/>
        <v>成新率</v>
      </c>
      <c r="AA27" s="1571" t="e">
        <f t="shared" si="3"/>
        <v>#N/A</v>
      </c>
      <c r="AB27" s="1571" t="e">
        <f t="shared" si="4"/>
        <v>#N/A</v>
      </c>
      <c r="AC27" s="1571" t="e">
        <f t="shared" si="5"/>
        <v>#N/A</v>
      </c>
    </row>
    <row r="28" spans="1:29" ht="15">
      <c r="A28" s="590"/>
      <c r="B28" s="523" t="s">
        <v>809</v>
      </c>
      <c r="C28" s="570"/>
      <c r="D28" s="536">
        <v>100</v>
      </c>
      <c r="E28" s="570"/>
      <c r="F28" s="571">
        <f>SUMIF(82:82,E28,83:83)-SUMIF(82:82,C28,83:83)+100</f>
        <v>100</v>
      </c>
      <c r="G28" s="570"/>
      <c r="H28" s="536">
        <f>SUMIF(82:82,G28,83:83)-SUMIF(82:82,C28,83:83)+100</f>
        <v>100</v>
      </c>
      <c r="I28" s="570"/>
      <c r="J28" s="536">
        <f>SUMIF(82:82,I28,83:83)-SUMIF(82:82,C28,83:83)+100</f>
        <v>100</v>
      </c>
      <c r="K28" s="580"/>
      <c r="L28" s="2136"/>
      <c r="M28" s="2128"/>
      <c r="N28" s="2128"/>
      <c r="O28" s="2135"/>
      <c r="P28" s="3409"/>
      <c r="Q28" s="1567" t="str">
        <f t="shared" si="11"/>
        <v>物业等级</v>
      </c>
      <c r="R28" s="1568" t="s">
        <v>8</v>
      </c>
      <c r="S28" s="1569">
        <f t="shared" si="12"/>
        <v>100</v>
      </c>
      <c r="T28" s="1568" t="s">
        <v>8</v>
      </c>
      <c r="U28" s="1569">
        <f t="shared" si="13"/>
        <v>100</v>
      </c>
      <c r="V28" s="1568" t="s">
        <v>8</v>
      </c>
      <c r="W28" s="1569">
        <f t="shared" si="14"/>
        <v>100</v>
      </c>
      <c r="X28" s="1562"/>
      <c r="Y28" s="3409"/>
      <c r="Z28" s="1570" t="str">
        <f t="shared" si="15"/>
        <v>物业等级</v>
      </c>
      <c r="AA28" s="1571">
        <f t="shared" si="3"/>
        <v>1</v>
      </c>
      <c r="AB28" s="1571">
        <f t="shared" si="4"/>
        <v>1</v>
      </c>
      <c r="AC28" s="1571">
        <f t="shared" si="5"/>
        <v>1</v>
      </c>
    </row>
    <row r="29" spans="1:29" ht="15">
      <c r="A29" s="590"/>
      <c r="B29" s="523" t="s">
        <v>821</v>
      </c>
      <c r="C29" s="927"/>
      <c r="D29" s="536">
        <v>100</v>
      </c>
      <c r="E29" s="927"/>
      <c r="F29" s="571">
        <f>SUMIF(84:84,E29,85:85)-SUMIF(84:84,C29,85:85)+100</f>
        <v>100</v>
      </c>
      <c r="G29" s="927"/>
      <c r="H29" s="536">
        <f>SUMIF(84:84,G29,85:85)-SUMIF(84:84,C29,85:85)+100</f>
        <v>100</v>
      </c>
      <c r="I29" s="927"/>
      <c r="J29" s="536">
        <f>SUMIF(84:84,I29,85:85)-SUMIF(84:84,C29,85:85)+100</f>
        <v>100</v>
      </c>
      <c r="K29" s="580"/>
      <c r="L29" s="2136"/>
      <c r="M29" s="2128"/>
      <c r="N29" s="2128"/>
      <c r="O29" s="2135"/>
      <c r="P29" s="3409"/>
      <c r="Q29" s="1567" t="str">
        <f t="shared" si="11"/>
        <v>有无电梯</v>
      </c>
      <c r="R29" s="1568" t="s">
        <v>8</v>
      </c>
      <c r="S29" s="1569">
        <f t="shared" si="12"/>
        <v>100</v>
      </c>
      <c r="T29" s="1568" t="s">
        <v>8</v>
      </c>
      <c r="U29" s="1569">
        <f t="shared" si="13"/>
        <v>100</v>
      </c>
      <c r="V29" s="1568" t="s">
        <v>8</v>
      </c>
      <c r="W29" s="1569">
        <f t="shared" si="14"/>
        <v>100</v>
      </c>
      <c r="X29" s="1562"/>
      <c r="Y29" s="3409"/>
      <c r="Z29" s="1570" t="str">
        <f t="shared" si="15"/>
        <v>有无电梯</v>
      </c>
      <c r="AA29" s="1571">
        <f t="shared" si="3"/>
        <v>1</v>
      </c>
      <c r="AB29" s="1571">
        <f t="shared" si="4"/>
        <v>1</v>
      </c>
      <c r="AC29" s="1571">
        <f t="shared" si="5"/>
        <v>1</v>
      </c>
    </row>
    <row r="30" spans="1:29" ht="15">
      <c r="A30" s="590"/>
      <c r="B30" s="523" t="s">
        <v>822</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6"/>
      <c r="M30" s="2128"/>
      <c r="N30" s="2128"/>
      <c r="O30" s="2135"/>
      <c r="P30" s="3409"/>
      <c r="Q30" s="1567" t="str">
        <f t="shared" si="11"/>
        <v>建筑面积</v>
      </c>
      <c r="R30" s="1568" t="s">
        <v>8</v>
      </c>
      <c r="S30" s="1569" t="e">
        <f t="shared" si="12"/>
        <v>#N/A</v>
      </c>
      <c r="T30" s="1568" t="s">
        <v>8</v>
      </c>
      <c r="U30" s="1569" t="e">
        <f t="shared" si="13"/>
        <v>#N/A</v>
      </c>
      <c r="V30" s="1568" t="s">
        <v>8</v>
      </c>
      <c r="W30" s="1569" t="e">
        <f t="shared" si="14"/>
        <v>#N/A</v>
      </c>
      <c r="X30" s="1562"/>
      <c r="Y30" s="3409"/>
      <c r="Z30" s="1570" t="str">
        <f t="shared" si="15"/>
        <v>建筑面积</v>
      </c>
      <c r="AA30" s="1571" t="e">
        <f t="shared" si="3"/>
        <v>#N/A</v>
      </c>
      <c r="AB30" s="1571" t="e">
        <f t="shared" si="4"/>
        <v>#N/A</v>
      </c>
      <c r="AC30" s="1571" t="e">
        <f t="shared" si="5"/>
        <v>#N/A</v>
      </c>
    </row>
    <row r="31" spans="1:29" s="1215" customFormat="1" ht="15">
      <c r="A31" s="596"/>
      <c r="B31" s="523" t="s">
        <v>823</v>
      </c>
      <c r="C31" s="927"/>
      <c r="D31" s="253">
        <v>100</v>
      </c>
      <c r="E31" s="927"/>
      <c r="F31" s="571">
        <f>SUMIF(89:89,E31,90:90)-SUMIF(89:89,C31,90:90)+100</f>
        <v>100</v>
      </c>
      <c r="G31" s="927"/>
      <c r="H31" s="536">
        <f>SUMIF(89:89,G31,90:90)-SUMIF(89:89,C31,90:90)+100</f>
        <v>100</v>
      </c>
      <c r="I31" s="927"/>
      <c r="J31" s="536">
        <f>SUMIF(89:89,I31,90:90)-SUMIF(89:89,C31,90:90)+100</f>
        <v>100</v>
      </c>
      <c r="K31" s="580"/>
      <c r="L31" s="2129"/>
      <c r="M31" s="2130"/>
      <c r="N31" s="2130"/>
      <c r="O31" s="2131"/>
      <c r="P31" s="3409"/>
      <c r="Q31" s="1146" t="str">
        <f t="shared" si="11"/>
        <v>是否封闭</v>
      </c>
      <c r="R31" s="1563" t="s">
        <v>8</v>
      </c>
      <c r="S31" s="1564">
        <f t="shared" si="12"/>
        <v>100</v>
      </c>
      <c r="T31" s="1563" t="s">
        <v>8</v>
      </c>
      <c r="U31" s="1564">
        <f t="shared" si="13"/>
        <v>100</v>
      </c>
      <c r="V31" s="1563" t="s">
        <v>8</v>
      </c>
      <c r="W31" s="1564">
        <f t="shared" si="14"/>
        <v>100</v>
      </c>
      <c r="X31" s="1565"/>
      <c r="Y31" s="3409"/>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6"/>
      <c r="M32" s="2128"/>
      <c r="N32" s="2128"/>
      <c r="O32" s="2135"/>
      <c r="P32" s="3409" t="s">
        <v>549</v>
      </c>
      <c r="Q32" s="1567">
        <f t="shared" si="11"/>
        <v>111</v>
      </c>
      <c r="R32" s="1568" t="s">
        <v>8</v>
      </c>
      <c r="S32" s="1569">
        <f t="shared" si="12"/>
        <v>100</v>
      </c>
      <c r="T32" s="1568" t="s">
        <v>8</v>
      </c>
      <c r="U32" s="1569">
        <f t="shared" si="13"/>
        <v>100</v>
      </c>
      <c r="V32" s="1568" t="s">
        <v>8</v>
      </c>
      <c r="W32" s="1569">
        <f t="shared" si="14"/>
        <v>100</v>
      </c>
      <c r="X32" s="1562"/>
      <c r="Y32" s="3409"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6"/>
      <c r="M33" s="2128"/>
      <c r="N33" s="2128"/>
      <c r="O33" s="2135"/>
      <c r="P33" s="3409"/>
      <c r="Q33" s="1567">
        <f t="shared" si="11"/>
        <v>111</v>
      </c>
      <c r="R33" s="1568" t="s">
        <v>8</v>
      </c>
      <c r="S33" s="1569">
        <f t="shared" si="12"/>
        <v>100</v>
      </c>
      <c r="T33" s="1568" t="s">
        <v>8</v>
      </c>
      <c r="U33" s="1569">
        <f t="shared" si="13"/>
        <v>100</v>
      </c>
      <c r="V33" s="1568" t="s">
        <v>8</v>
      </c>
      <c r="W33" s="1569">
        <f t="shared" si="14"/>
        <v>100</v>
      </c>
      <c r="X33" s="1562"/>
      <c r="Y33" s="3409"/>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6"/>
      <c r="M34" s="2128"/>
      <c r="N34" s="2128"/>
      <c r="O34" s="2135"/>
      <c r="P34" s="3409"/>
      <c r="Q34" s="1567">
        <f t="shared" si="11"/>
        <v>111</v>
      </c>
      <c r="R34" s="1568" t="s">
        <v>8</v>
      </c>
      <c r="S34" s="1569">
        <f t="shared" si="12"/>
        <v>100</v>
      </c>
      <c r="T34" s="1568" t="s">
        <v>8</v>
      </c>
      <c r="U34" s="1569">
        <f t="shared" si="13"/>
        <v>100</v>
      </c>
      <c r="V34" s="1568" t="s">
        <v>8</v>
      </c>
      <c r="W34" s="1569">
        <f t="shared" si="14"/>
        <v>100</v>
      </c>
      <c r="X34" s="1562"/>
      <c r="Y34" s="3409"/>
      <c r="Z34" s="1570">
        <f t="shared" si="15"/>
        <v>111</v>
      </c>
      <c r="AA34" s="1571">
        <f t="shared" si="3"/>
        <v>1</v>
      </c>
      <c r="AB34" s="1571">
        <f t="shared" si="4"/>
        <v>1</v>
      </c>
      <c r="AC34" s="1571">
        <f t="shared" si="5"/>
        <v>1</v>
      </c>
    </row>
    <row r="35" spans="1:29" ht="15">
      <c r="A35" s="603" t="s">
        <v>735</v>
      </c>
      <c r="B35" s="882"/>
      <c r="C35" s="2645" t="s">
        <v>1</v>
      </c>
      <c r="D35" s="2646"/>
      <c r="E35" s="2647"/>
      <c r="F35" s="2648"/>
      <c r="G35" s="2649"/>
      <c r="H35" s="2650"/>
      <c r="I35" s="2647"/>
      <c r="J35" s="2650"/>
      <c r="K35" s="1605"/>
      <c r="L35" s="2138"/>
      <c r="M35" s="2139"/>
      <c r="N35" s="2128"/>
      <c r="O35" s="2139"/>
      <c r="P35" s="3404" t="str">
        <f>A35</f>
        <v>成交单价（元/平方米）</v>
      </c>
      <c r="Q35" s="3404"/>
      <c r="R35" s="3485">
        <f>E35</f>
        <v>0</v>
      </c>
      <c r="S35" s="3485"/>
      <c r="T35" s="3485">
        <f>G35</f>
        <v>0</v>
      </c>
      <c r="U35" s="3485"/>
      <c r="V35" s="3485">
        <f>I35</f>
        <v>0</v>
      </c>
      <c r="W35" s="3485"/>
      <c r="X35" s="1554"/>
      <c r="Y35" s="1576"/>
      <c r="Z35" s="1554"/>
      <c r="AA35" s="1554"/>
      <c r="AB35" s="1554"/>
      <c r="AC35" s="1554"/>
    </row>
    <row r="36" spans="1:29" ht="15.75" thickBot="1">
      <c r="A36" s="611" t="s">
        <v>2758</v>
      </c>
      <c r="B36" s="883"/>
      <c r="C36" s="2651" t="e">
        <f>R37</f>
        <v>#DIV/0!</v>
      </c>
      <c r="D36" s="2652"/>
      <c r="E36" s="2653" t="e">
        <f>R36</f>
        <v>#DIV/0!</v>
      </c>
      <c r="F36" s="2653"/>
      <c r="G36" s="2651" t="e">
        <f>T36</f>
        <v>#DIV/0!</v>
      </c>
      <c r="H36" s="2652"/>
      <c r="I36" s="2653" t="e">
        <f>V36</f>
        <v>#DIV/0!</v>
      </c>
      <c r="J36" s="2652"/>
      <c r="K36" s="1606"/>
      <c r="L36" s="2138"/>
      <c r="M36" s="2139"/>
      <c r="N36" s="2128"/>
      <c r="O36" s="2139"/>
      <c r="P36" s="3404" t="str">
        <f>A36</f>
        <v>比较价格（元/平方米）</v>
      </c>
      <c r="Q36" s="340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4"/>
      <c r="Y36" s="1554"/>
      <c r="Z36" s="1554"/>
      <c r="AA36" s="1554"/>
      <c r="AB36" s="1554"/>
      <c r="AC36" s="1554"/>
    </row>
    <row r="37" spans="1:29" ht="15.75" thickBot="1">
      <c r="A37" s="617" t="s">
        <v>2922</v>
      </c>
      <c r="B37" s="618"/>
      <c r="C37" s="2654" t="e">
        <f>R37</f>
        <v>#DIV/0!</v>
      </c>
      <c r="D37" s="2654"/>
      <c r="E37" s="2654"/>
      <c r="F37" s="2654"/>
      <c r="G37" s="2654"/>
      <c r="H37" s="2654"/>
      <c r="I37" s="2654"/>
      <c r="J37" s="2654"/>
      <c r="K37" s="1607"/>
      <c r="L37" s="2138"/>
      <c r="M37" s="2139"/>
      <c r="N37" s="2139"/>
      <c r="O37" s="2139"/>
      <c r="P37" s="3425" t="str">
        <f>A37</f>
        <v>估价对象XX用房的比较价格（楼面单价，元/平方米）</v>
      </c>
      <c r="Q37" s="3426"/>
      <c r="R37" s="3484" t="e">
        <f>IF(F1="售价",ROUND(AVERAGE(R36:V36),0),ROUND(AVERAGE(R36:V36),1))</f>
        <v>#DIV/0!</v>
      </c>
      <c r="S37" s="3484"/>
      <c r="T37" s="3484"/>
      <c r="U37" s="3484"/>
      <c r="V37" s="3484"/>
      <c r="W37" s="3484"/>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573</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2" customFormat="1" ht="15">
      <c r="A46" s="641" t="s">
        <v>528</v>
      </c>
      <c r="B46" s="642"/>
      <c r="C46" s="2820" t="str">
        <f>YEAR(C7)&amp;"-"&amp;MONTH(C7)</f>
        <v>2018-3</v>
      </c>
      <c r="D46" s="2822">
        <f>EDATE(C46,-1)</f>
        <v>43132</v>
      </c>
      <c r="E46" s="2822">
        <f t="shared" ref="E46:O46" si="16">EDATE(D46,-1)</f>
        <v>43101</v>
      </c>
      <c r="F46" s="2822">
        <f t="shared" si="16"/>
        <v>43070</v>
      </c>
      <c r="G46" s="2822">
        <f t="shared" si="16"/>
        <v>43040</v>
      </c>
      <c r="H46" s="2822">
        <f t="shared" si="16"/>
        <v>43009</v>
      </c>
      <c r="I46" s="2822">
        <f t="shared" si="16"/>
        <v>42979</v>
      </c>
      <c r="J46" s="2822">
        <f t="shared" si="16"/>
        <v>42948</v>
      </c>
      <c r="K46" s="2822">
        <f t="shared" si="16"/>
        <v>42917</v>
      </c>
      <c r="L46" s="2822">
        <f t="shared" si="16"/>
        <v>42887</v>
      </c>
      <c r="M46" s="2822">
        <f t="shared" si="16"/>
        <v>42856</v>
      </c>
      <c r="N46" s="2822">
        <f t="shared" si="16"/>
        <v>42826</v>
      </c>
      <c r="O46" s="2822">
        <f t="shared" si="16"/>
        <v>42795</v>
      </c>
      <c r="P46" s="2154"/>
      <c r="Q46" s="2155"/>
      <c r="R46" s="2155"/>
      <c r="S46" s="2155"/>
      <c r="T46" s="2155"/>
      <c r="U46" s="2155"/>
      <c r="V46" s="2155"/>
      <c r="W46" s="2155"/>
      <c r="X46" s="2155"/>
      <c r="Y46" s="2155"/>
      <c r="Z46" s="2155"/>
      <c r="AA46" s="2155"/>
      <c r="AB46" s="2155"/>
      <c r="AC46" s="2155"/>
    </row>
    <row r="47" spans="1:29" s="1215"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5" customFormat="1" ht="15.75" thickBot="1">
      <c r="A48" s="649" t="s">
        <v>574</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5" customFormat="1" ht="15">
      <c r="A49" s="655" t="s">
        <v>530</v>
      </c>
      <c r="B49" s="644"/>
      <c r="C49" s="656" t="s">
        <v>575</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576</v>
      </c>
      <c r="B51" s="661" t="s">
        <v>533</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536</v>
      </c>
      <c r="C53" s="670" t="s">
        <v>736</v>
      </c>
      <c r="D53" s="670" t="s">
        <v>737</v>
      </c>
      <c r="E53" s="670" t="s">
        <v>738</v>
      </c>
      <c r="F53" s="670" t="s">
        <v>739</v>
      </c>
      <c r="G53" s="670" t="s">
        <v>740</v>
      </c>
      <c r="H53" s="670" t="s">
        <v>741</v>
      </c>
      <c r="I53" s="670" t="s">
        <v>742</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0">
        <f>B11</f>
        <v>111</v>
      </c>
      <c r="C55" s="537"/>
      <c r="D55" s="537"/>
      <c r="E55" s="537"/>
      <c r="F55" s="537"/>
      <c r="G55" s="537"/>
      <c r="H55" s="537"/>
      <c r="I55" s="537"/>
      <c r="J55" s="537"/>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3"/>
      <c r="B57" s="669">
        <f>B12</f>
        <v>111</v>
      </c>
      <c r="C57" s="537"/>
      <c r="D57" s="537"/>
      <c r="E57" s="537"/>
      <c r="F57" s="537"/>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3"/>
      <c r="B59" s="669">
        <f>B13</f>
        <v>111</v>
      </c>
      <c r="C59" s="537"/>
      <c r="D59" s="537"/>
      <c r="E59" s="537"/>
      <c r="F59" s="537"/>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2555</v>
      </c>
      <c r="C63" s="704" t="s">
        <v>578</v>
      </c>
      <c r="D63" s="704" t="s">
        <v>579</v>
      </c>
      <c r="E63" s="704" t="s">
        <v>580</v>
      </c>
      <c r="F63" s="704" t="s">
        <v>581</v>
      </c>
      <c r="G63" s="704" t="s">
        <v>582</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2556</v>
      </c>
      <c r="C65" s="2616" t="s">
        <v>2557</v>
      </c>
      <c r="D65" s="2616" t="s">
        <v>2558</v>
      </c>
      <c r="E65" s="2616" t="s">
        <v>2559</v>
      </c>
      <c r="F65" s="2616" t="s">
        <v>2560</v>
      </c>
      <c r="G65" s="2616" t="s">
        <v>2561</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743</v>
      </c>
      <c r="C67" s="704" t="s">
        <v>578</v>
      </c>
      <c r="D67" s="704" t="s">
        <v>579</v>
      </c>
      <c r="E67" s="704" t="s">
        <v>580</v>
      </c>
      <c r="F67" s="704" t="s">
        <v>581</v>
      </c>
      <c r="G67" s="704" t="s">
        <v>582</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744</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5"/>
      <c r="B71" s="669">
        <f>B23</f>
        <v>111</v>
      </c>
      <c r="C71" s="537"/>
      <c r="D71" s="537"/>
      <c r="E71" s="537"/>
      <c r="F71" s="537"/>
      <c r="G71" s="684"/>
      <c r="H71" s="684"/>
      <c r="I71" s="684"/>
      <c r="J71" s="684"/>
      <c r="K71" s="684"/>
      <c r="L71" s="885"/>
      <c r="M71" s="886"/>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5"/>
      <c r="B73" s="669">
        <f>B24</f>
        <v>111</v>
      </c>
      <c r="C73" s="537"/>
      <c r="D73" s="537"/>
      <c r="E73" s="537"/>
      <c r="F73" s="537"/>
      <c r="G73" s="684"/>
      <c r="H73" s="684"/>
      <c r="I73" s="684"/>
      <c r="J73" s="684"/>
      <c r="K73" s="684"/>
      <c r="L73" s="684"/>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3"/>
      <c r="B75" s="669">
        <f>B25</f>
        <v>111</v>
      </c>
      <c r="C75" s="537"/>
      <c r="D75" s="537"/>
      <c r="E75" s="537"/>
      <c r="F75" s="537"/>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550</v>
      </c>
      <c r="B77" s="661" t="s">
        <v>750</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89">
        <v>0.5</v>
      </c>
      <c r="D80" s="889">
        <v>0.6</v>
      </c>
      <c r="E80" s="889">
        <v>0.7</v>
      </c>
      <c r="F80" s="889">
        <v>0.8</v>
      </c>
      <c r="G80" s="889">
        <v>0.9</v>
      </c>
      <c r="H80" s="889">
        <v>1.0001</v>
      </c>
      <c r="I80" s="930"/>
      <c r="J80" s="930"/>
      <c r="K80" s="940"/>
      <c r="L80" s="941"/>
      <c r="M80" s="942"/>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816</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824</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4" customFormat="1" ht="15" thickTop="1">
      <c r="A89" s="724"/>
      <c r="B89" s="669" t="s">
        <v>826</v>
      </c>
      <c r="C89" s="684"/>
      <c r="D89" s="684"/>
      <c r="E89" s="684"/>
      <c r="F89" s="684"/>
      <c r="G89" s="684"/>
      <c r="H89" s="684"/>
      <c r="I89" s="684"/>
      <c r="J89" s="684"/>
      <c r="K89" s="684"/>
      <c r="L89" s="684"/>
      <c r="M89" s="886"/>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7"/>
      <c r="D91" s="537"/>
      <c r="E91" s="537"/>
      <c r="F91" s="537"/>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7"/>
      <c r="D93" s="537"/>
      <c r="E93" s="537"/>
      <c r="F93" s="537"/>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2">
        <f>B34</f>
        <v>111</v>
      </c>
      <c r="C95" s="537"/>
      <c r="D95" s="537"/>
      <c r="E95" s="537"/>
      <c r="F95" s="537"/>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5"/>
    <col min="36" max="16384" width="9" style="1245"/>
  </cols>
  <sheetData>
    <row r="1" spans="1:45" s="255" customFormat="1" ht="14.25" customHeight="1" thickBot="1">
      <c r="A1" s="361"/>
      <c r="B1" s="2228" t="s">
        <v>2302</v>
      </c>
      <c r="C1" s="3517" t="s">
        <v>2303</v>
      </c>
      <c r="D1" s="3518"/>
      <c r="E1" s="3518"/>
      <c r="F1" s="3518"/>
      <c r="G1" s="3518"/>
      <c r="H1" s="3518"/>
      <c r="I1" s="3518"/>
      <c r="J1" s="3518"/>
      <c r="K1" s="3518"/>
      <c r="L1" s="3518"/>
      <c r="M1" s="3518"/>
      <c r="N1" s="3518"/>
      <c r="O1" s="3518"/>
      <c r="P1" s="3518"/>
      <c r="Q1" s="3518"/>
      <c r="R1" s="3518"/>
      <c r="S1" s="3519"/>
      <c r="T1" s="2228" t="s">
        <v>2304</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0" t="str">
        <f>S3&amp;"(含)"&amp;"-"</f>
        <v>(含)-</v>
      </c>
      <c r="T2" s="947"/>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8"/>
      <c r="C3" s="949"/>
      <c r="D3" s="950"/>
      <c r="E3" s="950"/>
      <c r="F3" s="950"/>
      <c r="G3" s="950"/>
      <c r="H3" s="950"/>
      <c r="I3" s="950"/>
      <c r="J3" s="951"/>
      <c r="K3" s="951"/>
      <c r="L3" s="952"/>
      <c r="M3" s="2233"/>
      <c r="N3" s="2234"/>
      <c r="O3" s="950"/>
      <c r="P3" s="950"/>
      <c r="Q3" s="950"/>
      <c r="R3" s="950"/>
      <c r="S3" s="2235"/>
      <c r="T3" s="953"/>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8" t="s">
        <v>2915</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0" t="s">
        <v>2914</v>
      </c>
      <c r="C7" s="1955"/>
      <c r="D7" s="1956"/>
      <c r="E7" s="1956"/>
      <c r="F7" s="1956"/>
      <c r="G7" s="1956"/>
      <c r="H7" s="1956"/>
      <c r="I7" s="1956"/>
      <c r="J7" s="1956"/>
      <c r="K7" s="1956"/>
      <c r="L7" s="1956"/>
      <c r="M7" s="2253"/>
      <c r="N7" s="2254"/>
      <c r="O7" s="2255"/>
      <c r="P7" s="2256"/>
      <c r="Q7" s="2257"/>
      <c r="R7" s="2258"/>
      <c r="S7" s="2259"/>
      <c r="T7" s="954"/>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0" t="s">
        <v>2913</v>
      </c>
      <c r="C9" s="1955"/>
      <c r="D9" s="1956"/>
      <c r="E9" s="1956"/>
      <c r="F9" s="1956"/>
      <c r="G9" s="1956"/>
      <c r="H9" s="1956"/>
      <c r="I9" s="1956"/>
      <c r="J9" s="1956"/>
      <c r="K9" s="1956"/>
      <c r="L9" s="1957"/>
      <c r="M9" s="2253"/>
      <c r="N9" s="2254"/>
      <c r="O9" s="2255"/>
      <c r="P9" s="2256"/>
      <c r="Q9" s="2257"/>
      <c r="R9" s="2258"/>
      <c r="S9" s="2259"/>
      <c r="T9" s="954"/>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9"/>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8" t="s">
        <v>2928</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8" t="s">
        <v>2912</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8" t="s">
        <v>2911</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2306</v>
      </c>
      <c r="B17" s="2272" t="s">
        <v>2307</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3"/>
      <c r="C19" s="1984"/>
      <c r="D19" s="1984"/>
      <c r="E19" s="1984"/>
      <c r="F19" s="1984"/>
      <c r="G19" s="1984"/>
      <c r="H19" s="1984"/>
      <c r="I19" s="1984"/>
      <c r="J19" s="1984"/>
      <c r="K19" s="1984"/>
      <c r="L19" s="1984"/>
      <c r="M19" s="1984"/>
      <c r="N19" s="1984"/>
      <c r="O19" s="1984"/>
      <c r="P19" s="1984"/>
      <c r="Q19" s="1984"/>
      <c r="R19" s="2219"/>
      <c r="S19" s="2022"/>
    </row>
    <row r="20" spans="1:45" ht="15.75">
      <c r="A20" s="955" t="s">
        <v>827</v>
      </c>
      <c r="B20" s="771">
        <f>S22</f>
        <v>0</v>
      </c>
      <c r="C20" s="1984"/>
      <c r="D20" s="1984"/>
      <c r="E20" s="1984"/>
      <c r="F20" s="1984"/>
      <c r="G20" s="1984"/>
      <c r="H20" s="1984"/>
      <c r="I20" s="1984"/>
      <c r="J20" s="1984"/>
      <c r="K20" s="1984"/>
      <c r="L20" s="1984"/>
      <c r="M20" s="1984"/>
      <c r="N20" s="1984"/>
      <c r="O20" s="1984"/>
      <c r="P20" s="1984"/>
      <c r="Q20" s="1984"/>
      <c r="R20" s="2219"/>
      <c r="S20" s="2022"/>
    </row>
    <row r="21" spans="1:45" ht="15.75">
      <c r="A21" s="955" t="s">
        <v>828</v>
      </c>
      <c r="B21" s="771" t="e">
        <f>R22</f>
        <v>#DIV/0!</v>
      </c>
      <c r="C21" s="1984"/>
      <c r="D21" s="1984"/>
      <c r="E21" s="1984"/>
      <c r="F21" s="1984"/>
      <c r="G21" s="1984"/>
      <c r="H21" s="1984"/>
      <c r="I21" s="1984"/>
      <c r="J21" s="1984"/>
      <c r="K21" s="1984"/>
      <c r="L21" s="1984"/>
      <c r="M21" s="1984"/>
      <c r="N21" s="1984"/>
      <c r="O21" s="1984"/>
      <c r="P21" s="1984"/>
      <c r="Q21" s="1984"/>
      <c r="R21" s="2219"/>
      <c r="S21" s="2022"/>
    </row>
    <row r="22" spans="1:45">
      <c r="A22" s="795" t="s">
        <v>829</v>
      </c>
      <c r="B22" s="53">
        <f>SUM(B24:B10000)</f>
        <v>0</v>
      </c>
      <c r="C22" s="3514" t="s">
        <v>20</v>
      </c>
      <c r="D22" s="3515"/>
      <c r="E22" s="3515"/>
      <c r="F22" s="3515"/>
      <c r="G22" s="3515"/>
      <c r="H22" s="3515"/>
      <c r="I22" s="3515"/>
      <c r="J22" s="3515"/>
      <c r="K22" s="3515"/>
      <c r="L22" s="3515"/>
      <c r="M22" s="3515"/>
      <c r="N22" s="3515"/>
      <c r="O22" s="3515"/>
      <c r="P22" s="3515"/>
      <c r="Q22" s="3516"/>
      <c r="R22" s="486" t="e">
        <f>ROUND(S22*10000/B22,0)</f>
        <v>#DIV/0!</v>
      </c>
      <c r="S22" s="53">
        <f>SUM(S24:S10000)</f>
        <v>0</v>
      </c>
    </row>
    <row r="23" spans="1:45" s="160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7" t="s">
        <v>833</v>
      </c>
      <c r="S23" s="17" t="s">
        <v>834</v>
      </c>
      <c r="T23" s="18"/>
      <c r="U23" s="18"/>
      <c r="V23" s="18"/>
      <c r="W23" s="18"/>
      <c r="X23" s="18"/>
      <c r="Y23" s="18"/>
      <c r="Z23" s="18"/>
      <c r="AA23" s="18"/>
      <c r="AB23" s="18"/>
      <c r="AC23" s="18"/>
      <c r="AD23" s="18"/>
      <c r="AE23" s="18"/>
      <c r="AF23" s="18"/>
      <c r="AG23" s="18"/>
      <c r="AH23" s="18"/>
      <c r="AI23" s="18"/>
    </row>
    <row r="24" spans="1:45" s="1609"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93.75">
      <c r="A7" s="2891" t="s">
        <v>2746</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2070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3" t="s">
        <v>2747</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2786</v>
      </c>
      <c r="C1" s="3022">
        <f>项目基本情况!D3</f>
        <v>43182</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2817</v>
      </c>
      <c r="C2" s="3023">
        <f>'数据-取费表'!B22</f>
        <v>2.5</v>
      </c>
      <c r="D2" s="3018" t="s">
        <v>2787</v>
      </c>
      <c r="E2" s="3021">
        <f ca="1">INDIRECT("I"&amp;$I$1)/100</f>
        <v>4.7500000000000001E-2</v>
      </c>
      <c r="G2" s="2958"/>
      <c r="H2" s="2958"/>
      <c r="I2" s="2958" t="s">
        <v>2788</v>
      </c>
      <c r="K2" s="2958"/>
      <c r="L2" s="2958"/>
      <c r="M2" s="2958"/>
      <c r="N2" s="2958" t="s">
        <v>2789</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2819</v>
      </c>
      <c r="C3" s="3020">
        <f>'数据-取费表'!B19</f>
        <v>0</v>
      </c>
      <c r="D3" s="3018" t="s">
        <v>2787</v>
      </c>
      <c r="E3" s="3021">
        <f ca="1">INDIRECT("J"&amp;$J$1)/100</f>
        <v>0</v>
      </c>
      <c r="G3" s="2960" t="s">
        <v>2790</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2818</v>
      </c>
      <c r="C4" s="3021">
        <f ca="1">N4/100</f>
        <v>1.4999999999999999E-2</v>
      </c>
      <c r="G4" s="2966" t="s">
        <v>2791</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2792</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2793</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2794</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2795</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2796</v>
      </c>
      <c r="C10" s="2985"/>
      <c r="D10" s="2985"/>
      <c r="E10" s="2985"/>
      <c r="F10" s="2985"/>
      <c r="G10" s="2985"/>
      <c r="H10" s="2985"/>
      <c r="I10" s="2959"/>
      <c r="J10" s="2959"/>
      <c r="K10" s="2985"/>
      <c r="L10" s="2986" t="s">
        <v>2797</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2798</v>
      </c>
      <c r="C11" s="2990" t="s">
        <v>2799</v>
      </c>
      <c r="D11" s="2991" t="s">
        <v>2800</v>
      </c>
      <c r="E11" s="2992"/>
      <c r="F11" s="2991" t="s">
        <v>2801</v>
      </c>
      <c r="G11" s="2993"/>
      <c r="H11" s="2992"/>
      <c r="I11" s="2991" t="s">
        <v>2802</v>
      </c>
      <c r="J11" s="2992"/>
      <c r="K11" s="2988"/>
      <c r="L11" s="2989" t="s">
        <v>2798</v>
      </c>
      <c r="M11" s="2990" t="s">
        <v>2799</v>
      </c>
      <c r="N11" s="2989" t="s">
        <v>2803</v>
      </c>
      <c r="O11" s="2991" t="s">
        <v>2804</v>
      </c>
      <c r="P11" s="2993"/>
      <c r="Q11" s="2993"/>
      <c r="R11" s="2993"/>
      <c r="S11" s="2993"/>
      <c r="T11" s="2992"/>
      <c r="U11" s="2991" t="s">
        <v>2805</v>
      </c>
      <c r="V11" s="2993"/>
      <c r="W11" s="2992"/>
      <c r="X11" s="2989" t="s">
        <v>2806</v>
      </c>
      <c r="Y11" s="2989" t="s">
        <v>2807</v>
      </c>
      <c r="Z11" s="2989" t="s">
        <v>2808</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2809</v>
      </c>
      <c r="E12" s="2998" t="s">
        <v>2810</v>
      </c>
      <c r="F12" s="2998" t="s">
        <v>2811</v>
      </c>
      <c r="G12" s="2998" t="s">
        <v>2812</v>
      </c>
      <c r="H12" s="2998" t="s">
        <v>2794</v>
      </c>
      <c r="I12" s="2999" t="s">
        <v>2813</v>
      </c>
      <c r="J12" s="2999" t="s">
        <v>2813</v>
      </c>
      <c r="K12" s="2995"/>
      <c r="L12" s="2996"/>
      <c r="M12" s="2997"/>
      <c r="N12" s="2996"/>
      <c r="O12" s="2999" t="s">
        <v>2814</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2815</v>
      </c>
      <c r="C13" s="3003">
        <v>42301</v>
      </c>
      <c r="D13" s="3004">
        <v>4.3499999999999996</v>
      </c>
      <c r="E13" s="3004">
        <v>4.3499999999999996</v>
      </c>
      <c r="F13" s="3004">
        <v>4.75</v>
      </c>
      <c r="G13" s="3004">
        <v>4.75</v>
      </c>
      <c r="H13" s="3004">
        <v>4.9000000000000004</v>
      </c>
      <c r="I13" s="3004">
        <v>2.75</v>
      </c>
      <c r="J13" s="3004">
        <v>3.25</v>
      </c>
      <c r="K13" s="3001"/>
      <c r="L13" s="3002" t="s">
        <v>2815</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2816</v>
      </c>
      <c r="Y42" s="3008" t="s">
        <v>2816</v>
      </c>
      <c r="Z42" s="3008" t="s">
        <v>2816</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2816</v>
      </c>
      <c r="Y43" s="3008" t="s">
        <v>2816</v>
      </c>
      <c r="Z43" s="3008" t="s">
        <v>2816</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2816</v>
      </c>
      <c r="Y44" s="3008" t="s">
        <v>2816</v>
      </c>
      <c r="Z44" s="3008" t="s">
        <v>2816</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2816</v>
      </c>
      <c r="Y45" s="3008" t="s">
        <v>2816</v>
      </c>
      <c r="Z45" s="3008" t="s">
        <v>2816</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2816</v>
      </c>
      <c r="Y46" s="3008" t="s">
        <v>2816</v>
      </c>
      <c r="Z46" s="3008" t="s">
        <v>2816</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2816</v>
      </c>
      <c r="Y47" s="3008" t="s">
        <v>2816</v>
      </c>
      <c r="Z47" s="3008" t="s">
        <v>2816</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2816</v>
      </c>
      <c r="Y48" s="3008" t="s">
        <v>2816</v>
      </c>
      <c r="Z48" s="3008" t="s">
        <v>2816</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2816</v>
      </c>
      <c r="Y49" s="3008" t="s">
        <v>2816</v>
      </c>
      <c r="Z49" s="3008" t="s">
        <v>2816</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2816</v>
      </c>
      <c r="Y50" s="3008" t="s">
        <v>2816</v>
      </c>
      <c r="Z50" s="3008" t="s">
        <v>2816</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2816</v>
      </c>
      <c r="V51" s="3008" t="s">
        <v>2816</v>
      </c>
      <c r="W51" s="3008" t="s">
        <v>2816</v>
      </c>
      <c r="X51" s="3008" t="s">
        <v>2816</v>
      </c>
      <c r="Y51" s="3008" t="s">
        <v>2816</v>
      </c>
      <c r="Z51" s="3008" t="s">
        <v>2816</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2816</v>
      </c>
      <c r="J55" s="3008" t="s">
        <v>2816</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 sqref="D2"/>
    </sheetView>
  </sheetViews>
  <sheetFormatPr defaultRowHeight="14.25"/>
  <cols>
    <col min="1" max="1" width="24.5" style="3186" customWidth="1"/>
    <col min="2" max="3" width="7.875" style="3186" customWidth="1"/>
    <col min="4" max="4" width="13.75" style="3186" bestFit="1" customWidth="1"/>
    <col min="5" max="6" width="13.875" style="3186" customWidth="1"/>
    <col min="7" max="7" width="11.875" style="3186" bestFit="1" customWidth="1"/>
    <col min="8" max="8" width="10.875" style="3186" bestFit="1" customWidth="1"/>
    <col min="9" max="9" width="24.5" style="3186" customWidth="1"/>
    <col min="10" max="10" width="10.625" style="3186" customWidth="1"/>
    <col min="11" max="11" width="14.375" style="3186" customWidth="1"/>
    <col min="12" max="12" width="6.25" style="3186" customWidth="1"/>
    <col min="13" max="13" width="8" style="3186" customWidth="1"/>
    <col min="14" max="255" width="9" style="3186"/>
    <col min="256" max="256" width="24.5" style="3186" customWidth="1"/>
    <col min="257" max="257" width="6.25" style="3186" customWidth="1"/>
    <col min="258" max="259" width="7.875" style="3186" customWidth="1"/>
    <col min="260" max="260" width="10.875" style="3186" customWidth="1"/>
    <col min="261" max="262" width="13.875" style="3186" customWidth="1"/>
    <col min="263" max="263" width="8.375" style="3186" customWidth="1"/>
    <col min="264" max="264" width="9" style="3186" customWidth="1"/>
    <col min="265" max="265" width="24.5" style="3186" customWidth="1"/>
    <col min="266" max="266" width="10.625" style="3186" customWidth="1"/>
    <col min="267" max="267" width="14.375" style="3186" customWidth="1"/>
    <col min="268" max="268" width="6.25" style="3186" customWidth="1"/>
    <col min="269" max="269" width="8" style="3186" customWidth="1"/>
    <col min="270" max="511" width="9" style="3186"/>
    <col min="512" max="512" width="24.5" style="3186" customWidth="1"/>
    <col min="513" max="513" width="6.25" style="3186" customWidth="1"/>
    <col min="514" max="515" width="7.875" style="3186" customWidth="1"/>
    <col min="516" max="516" width="10.875" style="3186" customWidth="1"/>
    <col min="517" max="518" width="13.875" style="3186" customWidth="1"/>
    <col min="519" max="519" width="8.375" style="3186" customWidth="1"/>
    <col min="520" max="520" width="9" style="3186" customWidth="1"/>
    <col min="521" max="521" width="24.5" style="3186" customWidth="1"/>
    <col min="522" max="522" width="10.625" style="3186" customWidth="1"/>
    <col min="523" max="523" width="14.375" style="3186" customWidth="1"/>
    <col min="524" max="524" width="6.25" style="3186" customWidth="1"/>
    <col min="525" max="525" width="8" style="3186" customWidth="1"/>
    <col min="526" max="767" width="9" style="3186"/>
    <col min="768" max="768" width="24.5" style="3186" customWidth="1"/>
    <col min="769" max="769" width="6.25" style="3186" customWidth="1"/>
    <col min="770" max="771" width="7.875" style="3186" customWidth="1"/>
    <col min="772" max="772" width="10.875" style="3186" customWidth="1"/>
    <col min="773" max="774" width="13.875" style="3186" customWidth="1"/>
    <col min="775" max="775" width="8.375" style="3186" customWidth="1"/>
    <col min="776" max="776" width="9" style="3186" customWidth="1"/>
    <col min="777" max="777" width="24.5" style="3186" customWidth="1"/>
    <col min="778" max="778" width="10.625" style="3186" customWidth="1"/>
    <col min="779" max="779" width="14.375" style="3186" customWidth="1"/>
    <col min="780" max="780" width="6.25" style="3186" customWidth="1"/>
    <col min="781" max="781" width="8" style="3186" customWidth="1"/>
    <col min="782" max="1023" width="9" style="3186"/>
    <col min="1024" max="1024" width="24.5" style="3186" customWidth="1"/>
    <col min="1025" max="1025" width="6.25" style="3186" customWidth="1"/>
    <col min="1026" max="1027" width="7.875" style="3186" customWidth="1"/>
    <col min="1028" max="1028" width="10.875" style="3186" customWidth="1"/>
    <col min="1029" max="1030" width="13.875" style="3186" customWidth="1"/>
    <col min="1031" max="1031" width="8.375" style="3186" customWidth="1"/>
    <col min="1032" max="1032" width="9" style="3186" customWidth="1"/>
    <col min="1033" max="1033" width="24.5" style="3186" customWidth="1"/>
    <col min="1034" max="1034" width="10.625" style="3186" customWidth="1"/>
    <col min="1035" max="1035" width="14.375" style="3186" customWidth="1"/>
    <col min="1036" max="1036" width="6.25" style="3186" customWidth="1"/>
    <col min="1037" max="1037" width="8" style="3186" customWidth="1"/>
    <col min="1038" max="1279" width="9" style="3186"/>
    <col min="1280" max="1280" width="24.5" style="3186" customWidth="1"/>
    <col min="1281" max="1281" width="6.25" style="3186" customWidth="1"/>
    <col min="1282" max="1283" width="7.875" style="3186" customWidth="1"/>
    <col min="1284" max="1284" width="10.875" style="3186" customWidth="1"/>
    <col min="1285" max="1286" width="13.875" style="3186" customWidth="1"/>
    <col min="1287" max="1287" width="8.375" style="3186" customWidth="1"/>
    <col min="1288" max="1288" width="9" style="3186" customWidth="1"/>
    <col min="1289" max="1289" width="24.5" style="3186" customWidth="1"/>
    <col min="1290" max="1290" width="10.625" style="3186" customWidth="1"/>
    <col min="1291" max="1291" width="14.375" style="3186" customWidth="1"/>
    <col min="1292" max="1292" width="6.25" style="3186" customWidth="1"/>
    <col min="1293" max="1293" width="8" style="3186" customWidth="1"/>
    <col min="1294" max="1535" width="9" style="3186"/>
    <col min="1536" max="1536" width="24.5" style="3186" customWidth="1"/>
    <col min="1537" max="1537" width="6.25" style="3186" customWidth="1"/>
    <col min="1538" max="1539" width="7.875" style="3186" customWidth="1"/>
    <col min="1540" max="1540" width="10.875" style="3186" customWidth="1"/>
    <col min="1541" max="1542" width="13.875" style="3186" customWidth="1"/>
    <col min="1543" max="1543" width="8.375" style="3186" customWidth="1"/>
    <col min="1544" max="1544" width="9" style="3186" customWidth="1"/>
    <col min="1545" max="1545" width="24.5" style="3186" customWidth="1"/>
    <col min="1546" max="1546" width="10.625" style="3186" customWidth="1"/>
    <col min="1547" max="1547" width="14.375" style="3186" customWidth="1"/>
    <col min="1548" max="1548" width="6.25" style="3186" customWidth="1"/>
    <col min="1549" max="1549" width="8" style="3186" customWidth="1"/>
    <col min="1550" max="1791" width="9" style="3186"/>
    <col min="1792" max="1792" width="24.5" style="3186" customWidth="1"/>
    <col min="1793" max="1793" width="6.25" style="3186" customWidth="1"/>
    <col min="1794" max="1795" width="7.875" style="3186" customWidth="1"/>
    <col min="1796" max="1796" width="10.875" style="3186" customWidth="1"/>
    <col min="1797" max="1798" width="13.875" style="3186" customWidth="1"/>
    <col min="1799" max="1799" width="8.375" style="3186" customWidth="1"/>
    <col min="1800" max="1800" width="9" style="3186" customWidth="1"/>
    <col min="1801" max="1801" width="24.5" style="3186" customWidth="1"/>
    <col min="1802" max="1802" width="10.625" style="3186" customWidth="1"/>
    <col min="1803" max="1803" width="14.375" style="3186" customWidth="1"/>
    <col min="1804" max="1804" width="6.25" style="3186" customWidth="1"/>
    <col min="1805" max="1805" width="8" style="3186" customWidth="1"/>
    <col min="1806" max="2047" width="9" style="3186"/>
    <col min="2048" max="2048" width="24.5" style="3186" customWidth="1"/>
    <col min="2049" max="2049" width="6.25" style="3186" customWidth="1"/>
    <col min="2050" max="2051" width="7.875" style="3186" customWidth="1"/>
    <col min="2052" max="2052" width="10.875" style="3186" customWidth="1"/>
    <col min="2053" max="2054" width="13.875" style="3186" customWidth="1"/>
    <col min="2055" max="2055" width="8.375" style="3186" customWidth="1"/>
    <col min="2056" max="2056" width="9" style="3186" customWidth="1"/>
    <col min="2057" max="2057" width="24.5" style="3186" customWidth="1"/>
    <col min="2058" max="2058" width="10.625" style="3186" customWidth="1"/>
    <col min="2059" max="2059" width="14.375" style="3186" customWidth="1"/>
    <col min="2060" max="2060" width="6.25" style="3186" customWidth="1"/>
    <col min="2061" max="2061" width="8" style="3186" customWidth="1"/>
    <col min="2062" max="2303" width="9" style="3186"/>
    <col min="2304" max="2304" width="24.5" style="3186" customWidth="1"/>
    <col min="2305" max="2305" width="6.25" style="3186" customWidth="1"/>
    <col min="2306" max="2307" width="7.875" style="3186" customWidth="1"/>
    <col min="2308" max="2308" width="10.875" style="3186" customWidth="1"/>
    <col min="2309" max="2310" width="13.875" style="3186" customWidth="1"/>
    <col min="2311" max="2311" width="8.375" style="3186" customWidth="1"/>
    <col min="2312" max="2312" width="9" style="3186" customWidth="1"/>
    <col min="2313" max="2313" width="24.5" style="3186" customWidth="1"/>
    <col min="2314" max="2314" width="10.625" style="3186" customWidth="1"/>
    <col min="2315" max="2315" width="14.375" style="3186" customWidth="1"/>
    <col min="2316" max="2316" width="6.25" style="3186" customWidth="1"/>
    <col min="2317" max="2317" width="8" style="3186" customWidth="1"/>
    <col min="2318" max="2559" width="9" style="3186"/>
    <col min="2560" max="2560" width="24.5" style="3186" customWidth="1"/>
    <col min="2561" max="2561" width="6.25" style="3186" customWidth="1"/>
    <col min="2562" max="2563" width="7.875" style="3186" customWidth="1"/>
    <col min="2564" max="2564" width="10.875" style="3186" customWidth="1"/>
    <col min="2565" max="2566" width="13.875" style="3186" customWidth="1"/>
    <col min="2567" max="2567" width="8.375" style="3186" customWidth="1"/>
    <col min="2568" max="2568" width="9" style="3186" customWidth="1"/>
    <col min="2569" max="2569" width="24.5" style="3186" customWidth="1"/>
    <col min="2570" max="2570" width="10.625" style="3186" customWidth="1"/>
    <col min="2571" max="2571" width="14.375" style="3186" customWidth="1"/>
    <col min="2572" max="2572" width="6.25" style="3186" customWidth="1"/>
    <col min="2573" max="2573" width="8" style="3186" customWidth="1"/>
    <col min="2574" max="2815" width="9" style="3186"/>
    <col min="2816" max="2816" width="24.5" style="3186" customWidth="1"/>
    <col min="2817" max="2817" width="6.25" style="3186" customWidth="1"/>
    <col min="2818" max="2819" width="7.875" style="3186" customWidth="1"/>
    <col min="2820" max="2820" width="10.875" style="3186" customWidth="1"/>
    <col min="2821" max="2822" width="13.875" style="3186" customWidth="1"/>
    <col min="2823" max="2823" width="8.375" style="3186" customWidth="1"/>
    <col min="2824" max="2824" width="9" style="3186" customWidth="1"/>
    <col min="2825" max="2825" width="24.5" style="3186" customWidth="1"/>
    <col min="2826" max="2826" width="10.625" style="3186" customWidth="1"/>
    <col min="2827" max="2827" width="14.375" style="3186" customWidth="1"/>
    <col min="2828" max="2828" width="6.25" style="3186" customWidth="1"/>
    <col min="2829" max="2829" width="8" style="3186" customWidth="1"/>
    <col min="2830" max="3071" width="9" style="3186"/>
    <col min="3072" max="3072" width="24.5" style="3186" customWidth="1"/>
    <col min="3073" max="3073" width="6.25" style="3186" customWidth="1"/>
    <col min="3074" max="3075" width="7.875" style="3186" customWidth="1"/>
    <col min="3076" max="3076" width="10.875" style="3186" customWidth="1"/>
    <col min="3077" max="3078" width="13.875" style="3186" customWidth="1"/>
    <col min="3079" max="3079" width="8.375" style="3186" customWidth="1"/>
    <col min="3080" max="3080" width="9" style="3186" customWidth="1"/>
    <col min="3081" max="3081" width="24.5" style="3186" customWidth="1"/>
    <col min="3082" max="3082" width="10.625" style="3186" customWidth="1"/>
    <col min="3083" max="3083" width="14.375" style="3186" customWidth="1"/>
    <col min="3084" max="3084" width="6.25" style="3186" customWidth="1"/>
    <col min="3085" max="3085" width="8" style="3186" customWidth="1"/>
    <col min="3086" max="3327" width="9" style="3186"/>
    <col min="3328" max="3328" width="24.5" style="3186" customWidth="1"/>
    <col min="3329" max="3329" width="6.25" style="3186" customWidth="1"/>
    <col min="3330" max="3331" width="7.875" style="3186" customWidth="1"/>
    <col min="3332" max="3332" width="10.875" style="3186" customWidth="1"/>
    <col min="3333" max="3334" width="13.875" style="3186" customWidth="1"/>
    <col min="3335" max="3335" width="8.375" style="3186" customWidth="1"/>
    <col min="3336" max="3336" width="9" style="3186" customWidth="1"/>
    <col min="3337" max="3337" width="24.5" style="3186" customWidth="1"/>
    <col min="3338" max="3338" width="10.625" style="3186" customWidth="1"/>
    <col min="3339" max="3339" width="14.375" style="3186" customWidth="1"/>
    <col min="3340" max="3340" width="6.25" style="3186" customWidth="1"/>
    <col min="3341" max="3341" width="8" style="3186" customWidth="1"/>
    <col min="3342" max="3583" width="9" style="3186"/>
    <col min="3584" max="3584" width="24.5" style="3186" customWidth="1"/>
    <col min="3585" max="3585" width="6.25" style="3186" customWidth="1"/>
    <col min="3586" max="3587" width="7.875" style="3186" customWidth="1"/>
    <col min="3588" max="3588" width="10.875" style="3186" customWidth="1"/>
    <col min="3589" max="3590" width="13.875" style="3186" customWidth="1"/>
    <col min="3591" max="3591" width="8.375" style="3186" customWidth="1"/>
    <col min="3592" max="3592" width="9" style="3186" customWidth="1"/>
    <col min="3593" max="3593" width="24.5" style="3186" customWidth="1"/>
    <col min="3594" max="3594" width="10.625" style="3186" customWidth="1"/>
    <col min="3595" max="3595" width="14.375" style="3186" customWidth="1"/>
    <col min="3596" max="3596" width="6.25" style="3186" customWidth="1"/>
    <col min="3597" max="3597" width="8" style="3186" customWidth="1"/>
    <col min="3598" max="3839" width="9" style="3186"/>
    <col min="3840" max="3840" width="24.5" style="3186" customWidth="1"/>
    <col min="3841" max="3841" width="6.25" style="3186" customWidth="1"/>
    <col min="3842" max="3843" width="7.875" style="3186" customWidth="1"/>
    <col min="3844" max="3844" width="10.875" style="3186" customWidth="1"/>
    <col min="3845" max="3846" width="13.875" style="3186" customWidth="1"/>
    <col min="3847" max="3847" width="8.375" style="3186" customWidth="1"/>
    <col min="3848" max="3848" width="9" style="3186" customWidth="1"/>
    <col min="3849" max="3849" width="24.5" style="3186" customWidth="1"/>
    <col min="3850" max="3850" width="10.625" style="3186" customWidth="1"/>
    <col min="3851" max="3851" width="14.375" style="3186" customWidth="1"/>
    <col min="3852" max="3852" width="6.25" style="3186" customWidth="1"/>
    <col min="3853" max="3853" width="8" style="3186" customWidth="1"/>
    <col min="3854" max="4095" width="9" style="3186"/>
    <col min="4096" max="4096" width="24.5" style="3186" customWidth="1"/>
    <col min="4097" max="4097" width="6.25" style="3186" customWidth="1"/>
    <col min="4098" max="4099" width="7.875" style="3186" customWidth="1"/>
    <col min="4100" max="4100" width="10.875" style="3186" customWidth="1"/>
    <col min="4101" max="4102" width="13.875" style="3186" customWidth="1"/>
    <col min="4103" max="4103" width="8.375" style="3186" customWidth="1"/>
    <col min="4104" max="4104" width="9" style="3186" customWidth="1"/>
    <col min="4105" max="4105" width="24.5" style="3186" customWidth="1"/>
    <col min="4106" max="4106" width="10.625" style="3186" customWidth="1"/>
    <col min="4107" max="4107" width="14.375" style="3186" customWidth="1"/>
    <col min="4108" max="4108" width="6.25" style="3186" customWidth="1"/>
    <col min="4109" max="4109" width="8" style="3186" customWidth="1"/>
    <col min="4110" max="4351" width="9" style="3186"/>
    <col min="4352" max="4352" width="24.5" style="3186" customWidth="1"/>
    <col min="4353" max="4353" width="6.25" style="3186" customWidth="1"/>
    <col min="4354" max="4355" width="7.875" style="3186" customWidth="1"/>
    <col min="4356" max="4356" width="10.875" style="3186" customWidth="1"/>
    <col min="4357" max="4358" width="13.875" style="3186" customWidth="1"/>
    <col min="4359" max="4359" width="8.375" style="3186" customWidth="1"/>
    <col min="4360" max="4360" width="9" style="3186" customWidth="1"/>
    <col min="4361" max="4361" width="24.5" style="3186" customWidth="1"/>
    <col min="4362" max="4362" width="10.625" style="3186" customWidth="1"/>
    <col min="4363" max="4363" width="14.375" style="3186" customWidth="1"/>
    <col min="4364" max="4364" width="6.25" style="3186" customWidth="1"/>
    <col min="4365" max="4365" width="8" style="3186" customWidth="1"/>
    <col min="4366" max="4607" width="9" style="3186"/>
    <col min="4608" max="4608" width="24.5" style="3186" customWidth="1"/>
    <col min="4609" max="4609" width="6.25" style="3186" customWidth="1"/>
    <col min="4610" max="4611" width="7.875" style="3186" customWidth="1"/>
    <col min="4612" max="4612" width="10.875" style="3186" customWidth="1"/>
    <col min="4613" max="4614" width="13.875" style="3186" customWidth="1"/>
    <col min="4615" max="4615" width="8.375" style="3186" customWidth="1"/>
    <col min="4616" max="4616" width="9" style="3186" customWidth="1"/>
    <col min="4617" max="4617" width="24.5" style="3186" customWidth="1"/>
    <col min="4618" max="4618" width="10.625" style="3186" customWidth="1"/>
    <col min="4619" max="4619" width="14.375" style="3186" customWidth="1"/>
    <col min="4620" max="4620" width="6.25" style="3186" customWidth="1"/>
    <col min="4621" max="4621" width="8" style="3186" customWidth="1"/>
    <col min="4622" max="4863" width="9" style="3186"/>
    <col min="4864" max="4864" width="24.5" style="3186" customWidth="1"/>
    <col min="4865" max="4865" width="6.25" style="3186" customWidth="1"/>
    <col min="4866" max="4867" width="7.875" style="3186" customWidth="1"/>
    <col min="4868" max="4868" width="10.875" style="3186" customWidth="1"/>
    <col min="4869" max="4870" width="13.875" style="3186" customWidth="1"/>
    <col min="4871" max="4871" width="8.375" style="3186" customWidth="1"/>
    <col min="4872" max="4872" width="9" style="3186" customWidth="1"/>
    <col min="4873" max="4873" width="24.5" style="3186" customWidth="1"/>
    <col min="4874" max="4874" width="10.625" style="3186" customWidth="1"/>
    <col min="4875" max="4875" width="14.375" style="3186" customWidth="1"/>
    <col min="4876" max="4876" width="6.25" style="3186" customWidth="1"/>
    <col min="4877" max="4877" width="8" style="3186" customWidth="1"/>
    <col min="4878" max="5119" width="9" style="3186"/>
    <col min="5120" max="5120" width="24.5" style="3186" customWidth="1"/>
    <col min="5121" max="5121" width="6.25" style="3186" customWidth="1"/>
    <col min="5122" max="5123" width="7.875" style="3186" customWidth="1"/>
    <col min="5124" max="5124" width="10.875" style="3186" customWidth="1"/>
    <col min="5125" max="5126" width="13.875" style="3186" customWidth="1"/>
    <col min="5127" max="5127" width="8.375" style="3186" customWidth="1"/>
    <col min="5128" max="5128" width="9" style="3186" customWidth="1"/>
    <col min="5129" max="5129" width="24.5" style="3186" customWidth="1"/>
    <col min="5130" max="5130" width="10.625" style="3186" customWidth="1"/>
    <col min="5131" max="5131" width="14.375" style="3186" customWidth="1"/>
    <col min="5132" max="5132" width="6.25" style="3186" customWidth="1"/>
    <col min="5133" max="5133" width="8" style="3186" customWidth="1"/>
    <col min="5134" max="5375" width="9" style="3186"/>
    <col min="5376" max="5376" width="24.5" style="3186" customWidth="1"/>
    <col min="5377" max="5377" width="6.25" style="3186" customWidth="1"/>
    <col min="5378" max="5379" width="7.875" style="3186" customWidth="1"/>
    <col min="5380" max="5380" width="10.875" style="3186" customWidth="1"/>
    <col min="5381" max="5382" width="13.875" style="3186" customWidth="1"/>
    <col min="5383" max="5383" width="8.375" style="3186" customWidth="1"/>
    <col min="5384" max="5384" width="9" style="3186" customWidth="1"/>
    <col min="5385" max="5385" width="24.5" style="3186" customWidth="1"/>
    <col min="5386" max="5386" width="10.625" style="3186" customWidth="1"/>
    <col min="5387" max="5387" width="14.375" style="3186" customWidth="1"/>
    <col min="5388" max="5388" width="6.25" style="3186" customWidth="1"/>
    <col min="5389" max="5389" width="8" style="3186" customWidth="1"/>
    <col min="5390" max="5631" width="9" style="3186"/>
    <col min="5632" max="5632" width="24.5" style="3186" customWidth="1"/>
    <col min="5633" max="5633" width="6.25" style="3186" customWidth="1"/>
    <col min="5634" max="5635" width="7.875" style="3186" customWidth="1"/>
    <col min="5636" max="5636" width="10.875" style="3186" customWidth="1"/>
    <col min="5637" max="5638" width="13.875" style="3186" customWidth="1"/>
    <col min="5639" max="5639" width="8.375" style="3186" customWidth="1"/>
    <col min="5640" max="5640" width="9" style="3186" customWidth="1"/>
    <col min="5641" max="5641" width="24.5" style="3186" customWidth="1"/>
    <col min="5642" max="5642" width="10.625" style="3186" customWidth="1"/>
    <col min="5643" max="5643" width="14.375" style="3186" customWidth="1"/>
    <col min="5644" max="5644" width="6.25" style="3186" customWidth="1"/>
    <col min="5645" max="5645" width="8" style="3186" customWidth="1"/>
    <col min="5646" max="5887" width="9" style="3186"/>
    <col min="5888" max="5888" width="24.5" style="3186" customWidth="1"/>
    <col min="5889" max="5889" width="6.25" style="3186" customWidth="1"/>
    <col min="5890" max="5891" width="7.875" style="3186" customWidth="1"/>
    <col min="5892" max="5892" width="10.875" style="3186" customWidth="1"/>
    <col min="5893" max="5894" width="13.875" style="3186" customWidth="1"/>
    <col min="5895" max="5895" width="8.375" style="3186" customWidth="1"/>
    <col min="5896" max="5896" width="9" style="3186" customWidth="1"/>
    <col min="5897" max="5897" width="24.5" style="3186" customWidth="1"/>
    <col min="5898" max="5898" width="10.625" style="3186" customWidth="1"/>
    <col min="5899" max="5899" width="14.375" style="3186" customWidth="1"/>
    <col min="5900" max="5900" width="6.25" style="3186" customWidth="1"/>
    <col min="5901" max="5901" width="8" style="3186" customWidth="1"/>
    <col min="5902" max="6143" width="9" style="3186"/>
    <col min="6144" max="6144" width="24.5" style="3186" customWidth="1"/>
    <col min="6145" max="6145" width="6.25" style="3186" customWidth="1"/>
    <col min="6146" max="6147" width="7.875" style="3186" customWidth="1"/>
    <col min="6148" max="6148" width="10.875" style="3186" customWidth="1"/>
    <col min="6149" max="6150" width="13.875" style="3186" customWidth="1"/>
    <col min="6151" max="6151" width="8.375" style="3186" customWidth="1"/>
    <col min="6152" max="6152" width="9" style="3186" customWidth="1"/>
    <col min="6153" max="6153" width="24.5" style="3186" customWidth="1"/>
    <col min="6154" max="6154" width="10.625" style="3186" customWidth="1"/>
    <col min="6155" max="6155" width="14.375" style="3186" customWidth="1"/>
    <col min="6156" max="6156" width="6.25" style="3186" customWidth="1"/>
    <col min="6157" max="6157" width="8" style="3186" customWidth="1"/>
    <col min="6158" max="6399" width="9" style="3186"/>
    <col min="6400" max="6400" width="24.5" style="3186" customWidth="1"/>
    <col min="6401" max="6401" width="6.25" style="3186" customWidth="1"/>
    <col min="6402" max="6403" width="7.875" style="3186" customWidth="1"/>
    <col min="6404" max="6404" width="10.875" style="3186" customWidth="1"/>
    <col min="6405" max="6406" width="13.875" style="3186" customWidth="1"/>
    <col min="6407" max="6407" width="8.375" style="3186" customWidth="1"/>
    <col min="6408" max="6408" width="9" style="3186" customWidth="1"/>
    <col min="6409" max="6409" width="24.5" style="3186" customWidth="1"/>
    <col min="6410" max="6410" width="10.625" style="3186" customWidth="1"/>
    <col min="6411" max="6411" width="14.375" style="3186" customWidth="1"/>
    <col min="6412" max="6412" width="6.25" style="3186" customWidth="1"/>
    <col min="6413" max="6413" width="8" style="3186" customWidth="1"/>
    <col min="6414" max="6655" width="9" style="3186"/>
    <col min="6656" max="6656" width="24.5" style="3186" customWidth="1"/>
    <col min="6657" max="6657" width="6.25" style="3186" customWidth="1"/>
    <col min="6658" max="6659" width="7.875" style="3186" customWidth="1"/>
    <col min="6660" max="6660" width="10.875" style="3186" customWidth="1"/>
    <col min="6661" max="6662" width="13.875" style="3186" customWidth="1"/>
    <col min="6663" max="6663" width="8.375" style="3186" customWidth="1"/>
    <col min="6664" max="6664" width="9" style="3186" customWidth="1"/>
    <col min="6665" max="6665" width="24.5" style="3186" customWidth="1"/>
    <col min="6666" max="6666" width="10.625" style="3186" customWidth="1"/>
    <col min="6667" max="6667" width="14.375" style="3186" customWidth="1"/>
    <col min="6668" max="6668" width="6.25" style="3186" customWidth="1"/>
    <col min="6669" max="6669" width="8" style="3186" customWidth="1"/>
    <col min="6670" max="6911" width="9" style="3186"/>
    <col min="6912" max="6912" width="24.5" style="3186" customWidth="1"/>
    <col min="6913" max="6913" width="6.25" style="3186" customWidth="1"/>
    <col min="6914" max="6915" width="7.875" style="3186" customWidth="1"/>
    <col min="6916" max="6916" width="10.875" style="3186" customWidth="1"/>
    <col min="6917" max="6918" width="13.875" style="3186" customWidth="1"/>
    <col min="6919" max="6919" width="8.375" style="3186" customWidth="1"/>
    <col min="6920" max="6920" width="9" style="3186" customWidth="1"/>
    <col min="6921" max="6921" width="24.5" style="3186" customWidth="1"/>
    <col min="6922" max="6922" width="10.625" style="3186" customWidth="1"/>
    <col min="6923" max="6923" width="14.375" style="3186" customWidth="1"/>
    <col min="6924" max="6924" width="6.25" style="3186" customWidth="1"/>
    <col min="6925" max="6925" width="8" style="3186" customWidth="1"/>
    <col min="6926" max="7167" width="9" style="3186"/>
    <col min="7168" max="7168" width="24.5" style="3186" customWidth="1"/>
    <col min="7169" max="7169" width="6.25" style="3186" customWidth="1"/>
    <col min="7170" max="7171" width="7.875" style="3186" customWidth="1"/>
    <col min="7172" max="7172" width="10.875" style="3186" customWidth="1"/>
    <col min="7173" max="7174" width="13.875" style="3186" customWidth="1"/>
    <col min="7175" max="7175" width="8.375" style="3186" customWidth="1"/>
    <col min="7176" max="7176" width="9" style="3186" customWidth="1"/>
    <col min="7177" max="7177" width="24.5" style="3186" customWidth="1"/>
    <col min="7178" max="7178" width="10.625" style="3186" customWidth="1"/>
    <col min="7179" max="7179" width="14.375" style="3186" customWidth="1"/>
    <col min="7180" max="7180" width="6.25" style="3186" customWidth="1"/>
    <col min="7181" max="7181" width="8" style="3186" customWidth="1"/>
    <col min="7182" max="7423" width="9" style="3186"/>
    <col min="7424" max="7424" width="24.5" style="3186" customWidth="1"/>
    <col min="7425" max="7425" width="6.25" style="3186" customWidth="1"/>
    <col min="7426" max="7427" width="7.875" style="3186" customWidth="1"/>
    <col min="7428" max="7428" width="10.875" style="3186" customWidth="1"/>
    <col min="7429" max="7430" width="13.875" style="3186" customWidth="1"/>
    <col min="7431" max="7431" width="8.375" style="3186" customWidth="1"/>
    <col min="7432" max="7432" width="9" style="3186" customWidth="1"/>
    <col min="7433" max="7433" width="24.5" style="3186" customWidth="1"/>
    <col min="7434" max="7434" width="10.625" style="3186" customWidth="1"/>
    <col min="7435" max="7435" width="14.375" style="3186" customWidth="1"/>
    <col min="7436" max="7436" width="6.25" style="3186" customWidth="1"/>
    <col min="7437" max="7437" width="8" style="3186" customWidth="1"/>
    <col min="7438" max="7679" width="9" style="3186"/>
    <col min="7680" max="7680" width="24.5" style="3186" customWidth="1"/>
    <col min="7681" max="7681" width="6.25" style="3186" customWidth="1"/>
    <col min="7682" max="7683" width="7.875" style="3186" customWidth="1"/>
    <col min="7684" max="7684" width="10.875" style="3186" customWidth="1"/>
    <col min="7685" max="7686" width="13.875" style="3186" customWidth="1"/>
    <col min="7687" max="7687" width="8.375" style="3186" customWidth="1"/>
    <col min="7688" max="7688" width="9" style="3186" customWidth="1"/>
    <col min="7689" max="7689" width="24.5" style="3186" customWidth="1"/>
    <col min="7690" max="7690" width="10.625" style="3186" customWidth="1"/>
    <col min="7691" max="7691" width="14.375" style="3186" customWidth="1"/>
    <col min="7692" max="7692" width="6.25" style="3186" customWidth="1"/>
    <col min="7693" max="7693" width="8" style="3186" customWidth="1"/>
    <col min="7694" max="7935" width="9" style="3186"/>
    <col min="7936" max="7936" width="24.5" style="3186" customWidth="1"/>
    <col min="7937" max="7937" width="6.25" style="3186" customWidth="1"/>
    <col min="7938" max="7939" width="7.875" style="3186" customWidth="1"/>
    <col min="7940" max="7940" width="10.875" style="3186" customWidth="1"/>
    <col min="7941" max="7942" width="13.875" style="3186" customWidth="1"/>
    <col min="7943" max="7943" width="8.375" style="3186" customWidth="1"/>
    <col min="7944" max="7944" width="9" style="3186" customWidth="1"/>
    <col min="7945" max="7945" width="24.5" style="3186" customWidth="1"/>
    <col min="7946" max="7946" width="10.625" style="3186" customWidth="1"/>
    <col min="7947" max="7947" width="14.375" style="3186" customWidth="1"/>
    <col min="7948" max="7948" width="6.25" style="3186" customWidth="1"/>
    <col min="7949" max="7949" width="8" style="3186" customWidth="1"/>
    <col min="7950" max="8191" width="9" style="3186"/>
    <col min="8192" max="8192" width="24.5" style="3186" customWidth="1"/>
    <col min="8193" max="8193" width="6.25" style="3186" customWidth="1"/>
    <col min="8194" max="8195" width="7.875" style="3186" customWidth="1"/>
    <col min="8196" max="8196" width="10.875" style="3186" customWidth="1"/>
    <col min="8197" max="8198" width="13.875" style="3186" customWidth="1"/>
    <col min="8199" max="8199" width="8.375" style="3186" customWidth="1"/>
    <col min="8200" max="8200" width="9" style="3186" customWidth="1"/>
    <col min="8201" max="8201" width="24.5" style="3186" customWidth="1"/>
    <col min="8202" max="8202" width="10.625" style="3186" customWidth="1"/>
    <col min="8203" max="8203" width="14.375" style="3186" customWidth="1"/>
    <col min="8204" max="8204" width="6.25" style="3186" customWidth="1"/>
    <col min="8205" max="8205" width="8" style="3186" customWidth="1"/>
    <col min="8206" max="8447" width="9" style="3186"/>
    <col min="8448" max="8448" width="24.5" style="3186" customWidth="1"/>
    <col min="8449" max="8449" width="6.25" style="3186" customWidth="1"/>
    <col min="8450" max="8451" width="7.875" style="3186" customWidth="1"/>
    <col min="8452" max="8452" width="10.875" style="3186" customWidth="1"/>
    <col min="8453" max="8454" width="13.875" style="3186" customWidth="1"/>
    <col min="8455" max="8455" width="8.375" style="3186" customWidth="1"/>
    <col min="8456" max="8456" width="9" style="3186" customWidth="1"/>
    <col min="8457" max="8457" width="24.5" style="3186" customWidth="1"/>
    <col min="8458" max="8458" width="10.625" style="3186" customWidth="1"/>
    <col min="8459" max="8459" width="14.375" style="3186" customWidth="1"/>
    <col min="8460" max="8460" width="6.25" style="3186" customWidth="1"/>
    <col min="8461" max="8461" width="8" style="3186" customWidth="1"/>
    <col min="8462" max="8703" width="9" style="3186"/>
    <col min="8704" max="8704" width="24.5" style="3186" customWidth="1"/>
    <col min="8705" max="8705" width="6.25" style="3186" customWidth="1"/>
    <col min="8706" max="8707" width="7.875" style="3186" customWidth="1"/>
    <col min="8708" max="8708" width="10.875" style="3186" customWidth="1"/>
    <col min="8709" max="8710" width="13.875" style="3186" customWidth="1"/>
    <col min="8711" max="8711" width="8.375" style="3186" customWidth="1"/>
    <col min="8712" max="8712" width="9" style="3186" customWidth="1"/>
    <col min="8713" max="8713" width="24.5" style="3186" customWidth="1"/>
    <col min="8714" max="8714" width="10.625" style="3186" customWidth="1"/>
    <col min="8715" max="8715" width="14.375" style="3186" customWidth="1"/>
    <col min="8716" max="8716" width="6.25" style="3186" customWidth="1"/>
    <col min="8717" max="8717" width="8" style="3186" customWidth="1"/>
    <col min="8718" max="8959" width="9" style="3186"/>
    <col min="8960" max="8960" width="24.5" style="3186" customWidth="1"/>
    <col min="8961" max="8961" width="6.25" style="3186" customWidth="1"/>
    <col min="8962" max="8963" width="7.875" style="3186" customWidth="1"/>
    <col min="8964" max="8964" width="10.875" style="3186" customWidth="1"/>
    <col min="8965" max="8966" width="13.875" style="3186" customWidth="1"/>
    <col min="8967" max="8967" width="8.375" style="3186" customWidth="1"/>
    <col min="8968" max="8968" width="9" style="3186" customWidth="1"/>
    <col min="8969" max="8969" width="24.5" style="3186" customWidth="1"/>
    <col min="8970" max="8970" width="10.625" style="3186" customWidth="1"/>
    <col min="8971" max="8971" width="14.375" style="3186" customWidth="1"/>
    <col min="8972" max="8972" width="6.25" style="3186" customWidth="1"/>
    <col min="8973" max="8973" width="8" style="3186" customWidth="1"/>
    <col min="8974" max="9215" width="9" style="3186"/>
    <col min="9216" max="9216" width="24.5" style="3186" customWidth="1"/>
    <col min="9217" max="9217" width="6.25" style="3186" customWidth="1"/>
    <col min="9218" max="9219" width="7.875" style="3186" customWidth="1"/>
    <col min="9220" max="9220" width="10.875" style="3186" customWidth="1"/>
    <col min="9221" max="9222" width="13.875" style="3186" customWidth="1"/>
    <col min="9223" max="9223" width="8.375" style="3186" customWidth="1"/>
    <col min="9224" max="9224" width="9" style="3186" customWidth="1"/>
    <col min="9225" max="9225" width="24.5" style="3186" customWidth="1"/>
    <col min="9226" max="9226" width="10.625" style="3186" customWidth="1"/>
    <col min="9227" max="9227" width="14.375" style="3186" customWidth="1"/>
    <col min="9228" max="9228" width="6.25" style="3186" customWidth="1"/>
    <col min="9229" max="9229" width="8" style="3186" customWidth="1"/>
    <col min="9230" max="9471" width="9" style="3186"/>
    <col min="9472" max="9472" width="24.5" style="3186" customWidth="1"/>
    <col min="9473" max="9473" width="6.25" style="3186" customWidth="1"/>
    <col min="9474" max="9475" width="7.875" style="3186" customWidth="1"/>
    <col min="9476" max="9476" width="10.875" style="3186" customWidth="1"/>
    <col min="9477" max="9478" width="13.875" style="3186" customWidth="1"/>
    <col min="9479" max="9479" width="8.375" style="3186" customWidth="1"/>
    <col min="9480" max="9480" width="9" style="3186" customWidth="1"/>
    <col min="9481" max="9481" width="24.5" style="3186" customWidth="1"/>
    <col min="9482" max="9482" width="10.625" style="3186" customWidth="1"/>
    <col min="9483" max="9483" width="14.375" style="3186" customWidth="1"/>
    <col min="9484" max="9484" width="6.25" style="3186" customWidth="1"/>
    <col min="9485" max="9485" width="8" style="3186" customWidth="1"/>
    <col min="9486" max="9727" width="9" style="3186"/>
    <col min="9728" max="9728" width="24.5" style="3186" customWidth="1"/>
    <col min="9729" max="9729" width="6.25" style="3186" customWidth="1"/>
    <col min="9730" max="9731" width="7.875" style="3186" customWidth="1"/>
    <col min="9732" max="9732" width="10.875" style="3186" customWidth="1"/>
    <col min="9733" max="9734" width="13.875" style="3186" customWidth="1"/>
    <col min="9735" max="9735" width="8.375" style="3186" customWidth="1"/>
    <col min="9736" max="9736" width="9" style="3186" customWidth="1"/>
    <col min="9737" max="9737" width="24.5" style="3186" customWidth="1"/>
    <col min="9738" max="9738" width="10.625" style="3186" customWidth="1"/>
    <col min="9739" max="9739" width="14.375" style="3186" customWidth="1"/>
    <col min="9740" max="9740" width="6.25" style="3186" customWidth="1"/>
    <col min="9741" max="9741" width="8" style="3186" customWidth="1"/>
    <col min="9742" max="9983" width="9" style="3186"/>
    <col min="9984" max="9984" width="24.5" style="3186" customWidth="1"/>
    <col min="9985" max="9985" width="6.25" style="3186" customWidth="1"/>
    <col min="9986" max="9987" width="7.875" style="3186" customWidth="1"/>
    <col min="9988" max="9988" width="10.875" style="3186" customWidth="1"/>
    <col min="9989" max="9990" width="13.875" style="3186" customWidth="1"/>
    <col min="9991" max="9991" width="8.375" style="3186" customWidth="1"/>
    <col min="9992" max="9992" width="9" style="3186" customWidth="1"/>
    <col min="9993" max="9993" width="24.5" style="3186" customWidth="1"/>
    <col min="9994" max="9994" width="10.625" style="3186" customWidth="1"/>
    <col min="9995" max="9995" width="14.375" style="3186" customWidth="1"/>
    <col min="9996" max="9996" width="6.25" style="3186" customWidth="1"/>
    <col min="9997" max="9997" width="8" style="3186" customWidth="1"/>
    <col min="9998" max="10239" width="9" style="3186"/>
    <col min="10240" max="10240" width="24.5" style="3186" customWidth="1"/>
    <col min="10241" max="10241" width="6.25" style="3186" customWidth="1"/>
    <col min="10242" max="10243" width="7.875" style="3186" customWidth="1"/>
    <col min="10244" max="10244" width="10.875" style="3186" customWidth="1"/>
    <col min="10245" max="10246" width="13.875" style="3186" customWidth="1"/>
    <col min="10247" max="10247" width="8.375" style="3186" customWidth="1"/>
    <col min="10248" max="10248" width="9" style="3186" customWidth="1"/>
    <col min="10249" max="10249" width="24.5" style="3186" customWidth="1"/>
    <col min="10250" max="10250" width="10.625" style="3186" customWidth="1"/>
    <col min="10251" max="10251" width="14.375" style="3186" customWidth="1"/>
    <col min="10252" max="10252" width="6.25" style="3186" customWidth="1"/>
    <col min="10253" max="10253" width="8" style="3186" customWidth="1"/>
    <col min="10254" max="10495" width="9" style="3186"/>
    <col min="10496" max="10496" width="24.5" style="3186" customWidth="1"/>
    <col min="10497" max="10497" width="6.25" style="3186" customWidth="1"/>
    <col min="10498" max="10499" width="7.875" style="3186" customWidth="1"/>
    <col min="10500" max="10500" width="10.875" style="3186" customWidth="1"/>
    <col min="10501" max="10502" width="13.875" style="3186" customWidth="1"/>
    <col min="10503" max="10503" width="8.375" style="3186" customWidth="1"/>
    <col min="10504" max="10504" width="9" style="3186" customWidth="1"/>
    <col min="10505" max="10505" width="24.5" style="3186" customWidth="1"/>
    <col min="10506" max="10506" width="10.625" style="3186" customWidth="1"/>
    <col min="10507" max="10507" width="14.375" style="3186" customWidth="1"/>
    <col min="10508" max="10508" width="6.25" style="3186" customWidth="1"/>
    <col min="10509" max="10509" width="8" style="3186" customWidth="1"/>
    <col min="10510" max="10751" width="9" style="3186"/>
    <col min="10752" max="10752" width="24.5" style="3186" customWidth="1"/>
    <col min="10753" max="10753" width="6.25" style="3186" customWidth="1"/>
    <col min="10754" max="10755" width="7.875" style="3186" customWidth="1"/>
    <col min="10756" max="10756" width="10.875" style="3186" customWidth="1"/>
    <col min="10757" max="10758" width="13.875" style="3186" customWidth="1"/>
    <col min="10759" max="10759" width="8.375" style="3186" customWidth="1"/>
    <col min="10760" max="10760" width="9" style="3186" customWidth="1"/>
    <col min="10761" max="10761" width="24.5" style="3186" customWidth="1"/>
    <col min="10762" max="10762" width="10.625" style="3186" customWidth="1"/>
    <col min="10763" max="10763" width="14.375" style="3186" customWidth="1"/>
    <col min="10764" max="10764" width="6.25" style="3186" customWidth="1"/>
    <col min="10765" max="10765" width="8" style="3186" customWidth="1"/>
    <col min="10766" max="11007" width="9" style="3186"/>
    <col min="11008" max="11008" width="24.5" style="3186" customWidth="1"/>
    <col min="11009" max="11009" width="6.25" style="3186" customWidth="1"/>
    <col min="11010" max="11011" width="7.875" style="3186" customWidth="1"/>
    <col min="11012" max="11012" width="10.875" style="3186" customWidth="1"/>
    <col min="11013" max="11014" width="13.875" style="3186" customWidth="1"/>
    <col min="11015" max="11015" width="8.375" style="3186" customWidth="1"/>
    <col min="11016" max="11016" width="9" style="3186" customWidth="1"/>
    <col min="11017" max="11017" width="24.5" style="3186" customWidth="1"/>
    <col min="11018" max="11018" width="10.625" style="3186" customWidth="1"/>
    <col min="11019" max="11019" width="14.375" style="3186" customWidth="1"/>
    <col min="11020" max="11020" width="6.25" style="3186" customWidth="1"/>
    <col min="11021" max="11021" width="8" style="3186" customWidth="1"/>
    <col min="11022" max="11263" width="9" style="3186"/>
    <col min="11264" max="11264" width="24.5" style="3186" customWidth="1"/>
    <col min="11265" max="11265" width="6.25" style="3186" customWidth="1"/>
    <col min="11266" max="11267" width="7.875" style="3186" customWidth="1"/>
    <col min="11268" max="11268" width="10.875" style="3186" customWidth="1"/>
    <col min="11269" max="11270" width="13.875" style="3186" customWidth="1"/>
    <col min="11271" max="11271" width="8.375" style="3186" customWidth="1"/>
    <col min="11272" max="11272" width="9" style="3186" customWidth="1"/>
    <col min="11273" max="11273" width="24.5" style="3186" customWidth="1"/>
    <col min="11274" max="11274" width="10.625" style="3186" customWidth="1"/>
    <col min="11275" max="11275" width="14.375" style="3186" customWidth="1"/>
    <col min="11276" max="11276" width="6.25" style="3186" customWidth="1"/>
    <col min="11277" max="11277" width="8" style="3186" customWidth="1"/>
    <col min="11278" max="11519" width="9" style="3186"/>
    <col min="11520" max="11520" width="24.5" style="3186" customWidth="1"/>
    <col min="11521" max="11521" width="6.25" style="3186" customWidth="1"/>
    <col min="11522" max="11523" width="7.875" style="3186" customWidth="1"/>
    <col min="11524" max="11524" width="10.875" style="3186" customWidth="1"/>
    <col min="11525" max="11526" width="13.875" style="3186" customWidth="1"/>
    <col min="11527" max="11527" width="8.375" style="3186" customWidth="1"/>
    <col min="11528" max="11528" width="9" style="3186" customWidth="1"/>
    <col min="11529" max="11529" width="24.5" style="3186" customWidth="1"/>
    <col min="11530" max="11530" width="10.625" style="3186" customWidth="1"/>
    <col min="11531" max="11531" width="14.375" style="3186" customWidth="1"/>
    <col min="11532" max="11532" width="6.25" style="3186" customWidth="1"/>
    <col min="11533" max="11533" width="8" style="3186" customWidth="1"/>
    <col min="11534" max="11775" width="9" style="3186"/>
    <col min="11776" max="11776" width="24.5" style="3186" customWidth="1"/>
    <col min="11777" max="11777" width="6.25" style="3186" customWidth="1"/>
    <col min="11778" max="11779" width="7.875" style="3186" customWidth="1"/>
    <col min="11780" max="11780" width="10.875" style="3186" customWidth="1"/>
    <col min="11781" max="11782" width="13.875" style="3186" customWidth="1"/>
    <col min="11783" max="11783" width="8.375" style="3186" customWidth="1"/>
    <col min="11784" max="11784" width="9" style="3186" customWidth="1"/>
    <col min="11785" max="11785" width="24.5" style="3186" customWidth="1"/>
    <col min="11786" max="11786" width="10.625" style="3186" customWidth="1"/>
    <col min="11787" max="11787" width="14.375" style="3186" customWidth="1"/>
    <col min="11788" max="11788" width="6.25" style="3186" customWidth="1"/>
    <col min="11789" max="11789" width="8" style="3186" customWidth="1"/>
    <col min="11790" max="12031" width="9" style="3186"/>
    <col min="12032" max="12032" width="24.5" style="3186" customWidth="1"/>
    <col min="12033" max="12033" width="6.25" style="3186" customWidth="1"/>
    <col min="12034" max="12035" width="7.875" style="3186" customWidth="1"/>
    <col min="12036" max="12036" width="10.875" style="3186" customWidth="1"/>
    <col min="12037" max="12038" width="13.875" style="3186" customWidth="1"/>
    <col min="12039" max="12039" width="8.375" style="3186" customWidth="1"/>
    <col min="12040" max="12040" width="9" style="3186" customWidth="1"/>
    <col min="12041" max="12041" width="24.5" style="3186" customWidth="1"/>
    <col min="12042" max="12042" width="10.625" style="3186" customWidth="1"/>
    <col min="12043" max="12043" width="14.375" style="3186" customWidth="1"/>
    <col min="12044" max="12044" width="6.25" style="3186" customWidth="1"/>
    <col min="12045" max="12045" width="8" style="3186" customWidth="1"/>
    <col min="12046" max="12287" width="9" style="3186"/>
    <col min="12288" max="12288" width="24.5" style="3186" customWidth="1"/>
    <col min="12289" max="12289" width="6.25" style="3186" customWidth="1"/>
    <col min="12290" max="12291" width="7.875" style="3186" customWidth="1"/>
    <col min="12292" max="12292" width="10.875" style="3186" customWidth="1"/>
    <col min="12293" max="12294" width="13.875" style="3186" customWidth="1"/>
    <col min="12295" max="12295" width="8.375" style="3186" customWidth="1"/>
    <col min="12296" max="12296" width="9" style="3186" customWidth="1"/>
    <col min="12297" max="12297" width="24.5" style="3186" customWidth="1"/>
    <col min="12298" max="12298" width="10.625" style="3186" customWidth="1"/>
    <col min="12299" max="12299" width="14.375" style="3186" customWidth="1"/>
    <col min="12300" max="12300" width="6.25" style="3186" customWidth="1"/>
    <col min="12301" max="12301" width="8" style="3186" customWidth="1"/>
    <col min="12302" max="12543" width="9" style="3186"/>
    <col min="12544" max="12544" width="24.5" style="3186" customWidth="1"/>
    <col min="12545" max="12545" width="6.25" style="3186" customWidth="1"/>
    <col min="12546" max="12547" width="7.875" style="3186" customWidth="1"/>
    <col min="12548" max="12548" width="10.875" style="3186" customWidth="1"/>
    <col min="12549" max="12550" width="13.875" style="3186" customWidth="1"/>
    <col min="12551" max="12551" width="8.375" style="3186" customWidth="1"/>
    <col min="12552" max="12552" width="9" style="3186" customWidth="1"/>
    <col min="12553" max="12553" width="24.5" style="3186" customWidth="1"/>
    <col min="12554" max="12554" width="10.625" style="3186" customWidth="1"/>
    <col min="12555" max="12555" width="14.375" style="3186" customWidth="1"/>
    <col min="12556" max="12556" width="6.25" style="3186" customWidth="1"/>
    <col min="12557" max="12557" width="8" style="3186" customWidth="1"/>
    <col min="12558" max="12799" width="9" style="3186"/>
    <col min="12800" max="12800" width="24.5" style="3186" customWidth="1"/>
    <col min="12801" max="12801" width="6.25" style="3186" customWidth="1"/>
    <col min="12802" max="12803" width="7.875" style="3186" customWidth="1"/>
    <col min="12804" max="12804" width="10.875" style="3186" customWidth="1"/>
    <col min="12805" max="12806" width="13.875" style="3186" customWidth="1"/>
    <col min="12807" max="12807" width="8.375" style="3186" customWidth="1"/>
    <col min="12808" max="12808" width="9" style="3186" customWidth="1"/>
    <col min="12809" max="12809" width="24.5" style="3186" customWidth="1"/>
    <col min="12810" max="12810" width="10.625" style="3186" customWidth="1"/>
    <col min="12811" max="12811" width="14.375" style="3186" customWidth="1"/>
    <col min="12812" max="12812" width="6.25" style="3186" customWidth="1"/>
    <col min="12813" max="12813" width="8" style="3186" customWidth="1"/>
    <col min="12814" max="13055" width="9" style="3186"/>
    <col min="13056" max="13056" width="24.5" style="3186" customWidth="1"/>
    <col min="13057" max="13057" width="6.25" style="3186" customWidth="1"/>
    <col min="13058" max="13059" width="7.875" style="3186" customWidth="1"/>
    <col min="13060" max="13060" width="10.875" style="3186" customWidth="1"/>
    <col min="13061" max="13062" width="13.875" style="3186" customWidth="1"/>
    <col min="13063" max="13063" width="8.375" style="3186" customWidth="1"/>
    <col min="13064" max="13064" width="9" style="3186" customWidth="1"/>
    <col min="13065" max="13065" width="24.5" style="3186" customWidth="1"/>
    <col min="13066" max="13066" width="10.625" style="3186" customWidth="1"/>
    <col min="13067" max="13067" width="14.375" style="3186" customWidth="1"/>
    <col min="13068" max="13068" width="6.25" style="3186" customWidth="1"/>
    <col min="13069" max="13069" width="8" style="3186" customWidth="1"/>
    <col min="13070" max="13311" width="9" style="3186"/>
    <col min="13312" max="13312" width="24.5" style="3186" customWidth="1"/>
    <col min="13313" max="13313" width="6.25" style="3186" customWidth="1"/>
    <col min="13314" max="13315" width="7.875" style="3186" customWidth="1"/>
    <col min="13316" max="13316" width="10.875" style="3186" customWidth="1"/>
    <col min="13317" max="13318" width="13.875" style="3186" customWidth="1"/>
    <col min="13319" max="13319" width="8.375" style="3186" customWidth="1"/>
    <col min="13320" max="13320" width="9" style="3186" customWidth="1"/>
    <col min="13321" max="13321" width="24.5" style="3186" customWidth="1"/>
    <col min="13322" max="13322" width="10.625" style="3186" customWidth="1"/>
    <col min="13323" max="13323" width="14.375" style="3186" customWidth="1"/>
    <col min="13324" max="13324" width="6.25" style="3186" customWidth="1"/>
    <col min="13325" max="13325" width="8" style="3186" customWidth="1"/>
    <col min="13326" max="13567" width="9" style="3186"/>
    <col min="13568" max="13568" width="24.5" style="3186" customWidth="1"/>
    <col min="13569" max="13569" width="6.25" style="3186" customWidth="1"/>
    <col min="13570" max="13571" width="7.875" style="3186" customWidth="1"/>
    <col min="13572" max="13572" width="10.875" style="3186" customWidth="1"/>
    <col min="13573" max="13574" width="13.875" style="3186" customWidth="1"/>
    <col min="13575" max="13575" width="8.375" style="3186" customWidth="1"/>
    <col min="13576" max="13576" width="9" style="3186" customWidth="1"/>
    <col min="13577" max="13577" width="24.5" style="3186" customWidth="1"/>
    <col min="13578" max="13578" width="10.625" style="3186" customWidth="1"/>
    <col min="13579" max="13579" width="14.375" style="3186" customWidth="1"/>
    <col min="13580" max="13580" width="6.25" style="3186" customWidth="1"/>
    <col min="13581" max="13581" width="8" style="3186" customWidth="1"/>
    <col min="13582" max="13823" width="9" style="3186"/>
    <col min="13824" max="13824" width="24.5" style="3186" customWidth="1"/>
    <col min="13825" max="13825" width="6.25" style="3186" customWidth="1"/>
    <col min="13826" max="13827" width="7.875" style="3186" customWidth="1"/>
    <col min="13828" max="13828" width="10.875" style="3186" customWidth="1"/>
    <col min="13829" max="13830" width="13.875" style="3186" customWidth="1"/>
    <col min="13831" max="13831" width="8.375" style="3186" customWidth="1"/>
    <col min="13832" max="13832" width="9" style="3186" customWidth="1"/>
    <col min="13833" max="13833" width="24.5" style="3186" customWidth="1"/>
    <col min="13834" max="13834" width="10.625" style="3186" customWidth="1"/>
    <col min="13835" max="13835" width="14.375" style="3186" customWidth="1"/>
    <col min="13836" max="13836" width="6.25" style="3186" customWidth="1"/>
    <col min="13837" max="13837" width="8" style="3186" customWidth="1"/>
    <col min="13838" max="14079" width="9" style="3186"/>
    <col min="14080" max="14080" width="24.5" style="3186" customWidth="1"/>
    <col min="14081" max="14081" width="6.25" style="3186" customWidth="1"/>
    <col min="14082" max="14083" width="7.875" style="3186" customWidth="1"/>
    <col min="14084" max="14084" width="10.875" style="3186" customWidth="1"/>
    <col min="14085" max="14086" width="13.875" style="3186" customWidth="1"/>
    <col min="14087" max="14087" width="8.375" style="3186" customWidth="1"/>
    <col min="14088" max="14088" width="9" style="3186" customWidth="1"/>
    <col min="14089" max="14089" width="24.5" style="3186" customWidth="1"/>
    <col min="14090" max="14090" width="10.625" style="3186" customWidth="1"/>
    <col min="14091" max="14091" width="14.375" style="3186" customWidth="1"/>
    <col min="14092" max="14092" width="6.25" style="3186" customWidth="1"/>
    <col min="14093" max="14093" width="8" style="3186" customWidth="1"/>
    <col min="14094" max="14335" width="9" style="3186"/>
    <col min="14336" max="14336" width="24.5" style="3186" customWidth="1"/>
    <col min="14337" max="14337" width="6.25" style="3186" customWidth="1"/>
    <col min="14338" max="14339" width="7.875" style="3186" customWidth="1"/>
    <col min="14340" max="14340" width="10.875" style="3186" customWidth="1"/>
    <col min="14341" max="14342" width="13.875" style="3186" customWidth="1"/>
    <col min="14343" max="14343" width="8.375" style="3186" customWidth="1"/>
    <col min="14344" max="14344" width="9" style="3186" customWidth="1"/>
    <col min="14345" max="14345" width="24.5" style="3186" customWidth="1"/>
    <col min="14346" max="14346" width="10.625" style="3186" customWidth="1"/>
    <col min="14347" max="14347" width="14.375" style="3186" customWidth="1"/>
    <col min="14348" max="14348" width="6.25" style="3186" customWidth="1"/>
    <col min="14349" max="14349" width="8" style="3186" customWidth="1"/>
    <col min="14350" max="14591" width="9" style="3186"/>
    <col min="14592" max="14592" width="24.5" style="3186" customWidth="1"/>
    <col min="14593" max="14593" width="6.25" style="3186" customWidth="1"/>
    <col min="14594" max="14595" width="7.875" style="3186" customWidth="1"/>
    <col min="14596" max="14596" width="10.875" style="3186" customWidth="1"/>
    <col min="14597" max="14598" width="13.875" style="3186" customWidth="1"/>
    <col min="14599" max="14599" width="8.375" style="3186" customWidth="1"/>
    <col min="14600" max="14600" width="9" style="3186" customWidth="1"/>
    <col min="14601" max="14601" width="24.5" style="3186" customWidth="1"/>
    <col min="14602" max="14602" width="10.625" style="3186" customWidth="1"/>
    <col min="14603" max="14603" width="14.375" style="3186" customWidth="1"/>
    <col min="14604" max="14604" width="6.25" style="3186" customWidth="1"/>
    <col min="14605" max="14605" width="8" style="3186" customWidth="1"/>
    <col min="14606" max="14847" width="9" style="3186"/>
    <col min="14848" max="14848" width="24.5" style="3186" customWidth="1"/>
    <col min="14849" max="14849" width="6.25" style="3186" customWidth="1"/>
    <col min="14850" max="14851" width="7.875" style="3186" customWidth="1"/>
    <col min="14852" max="14852" width="10.875" style="3186" customWidth="1"/>
    <col min="14853" max="14854" width="13.875" style="3186" customWidth="1"/>
    <col min="14855" max="14855" width="8.375" style="3186" customWidth="1"/>
    <col min="14856" max="14856" width="9" style="3186" customWidth="1"/>
    <col min="14857" max="14857" width="24.5" style="3186" customWidth="1"/>
    <col min="14858" max="14858" width="10.625" style="3186" customWidth="1"/>
    <col min="14859" max="14859" width="14.375" style="3186" customWidth="1"/>
    <col min="14860" max="14860" width="6.25" style="3186" customWidth="1"/>
    <col min="14861" max="14861" width="8" style="3186" customWidth="1"/>
    <col min="14862" max="15103" width="9" style="3186"/>
    <col min="15104" max="15104" width="24.5" style="3186" customWidth="1"/>
    <col min="15105" max="15105" width="6.25" style="3186" customWidth="1"/>
    <col min="15106" max="15107" width="7.875" style="3186" customWidth="1"/>
    <col min="15108" max="15108" width="10.875" style="3186" customWidth="1"/>
    <col min="15109" max="15110" width="13.875" style="3186" customWidth="1"/>
    <col min="15111" max="15111" width="8.375" style="3186" customWidth="1"/>
    <col min="15112" max="15112" width="9" style="3186" customWidth="1"/>
    <col min="15113" max="15113" width="24.5" style="3186" customWidth="1"/>
    <col min="15114" max="15114" width="10.625" style="3186" customWidth="1"/>
    <col min="15115" max="15115" width="14.375" style="3186" customWidth="1"/>
    <col min="15116" max="15116" width="6.25" style="3186" customWidth="1"/>
    <col min="15117" max="15117" width="8" style="3186" customWidth="1"/>
    <col min="15118" max="15359" width="9" style="3186"/>
    <col min="15360" max="15360" width="24.5" style="3186" customWidth="1"/>
    <col min="15361" max="15361" width="6.25" style="3186" customWidth="1"/>
    <col min="15362" max="15363" width="7.875" style="3186" customWidth="1"/>
    <col min="15364" max="15364" width="10.875" style="3186" customWidth="1"/>
    <col min="15365" max="15366" width="13.875" style="3186" customWidth="1"/>
    <col min="15367" max="15367" width="8.375" style="3186" customWidth="1"/>
    <col min="15368" max="15368" width="9" style="3186" customWidth="1"/>
    <col min="15369" max="15369" width="24.5" style="3186" customWidth="1"/>
    <col min="15370" max="15370" width="10.625" style="3186" customWidth="1"/>
    <col min="15371" max="15371" width="14.375" style="3186" customWidth="1"/>
    <col min="15372" max="15372" width="6.25" style="3186" customWidth="1"/>
    <col min="15373" max="15373" width="8" style="3186" customWidth="1"/>
    <col min="15374" max="15615" width="9" style="3186"/>
    <col min="15616" max="15616" width="24.5" style="3186" customWidth="1"/>
    <col min="15617" max="15617" width="6.25" style="3186" customWidth="1"/>
    <col min="15618" max="15619" width="7.875" style="3186" customWidth="1"/>
    <col min="15620" max="15620" width="10.875" style="3186" customWidth="1"/>
    <col min="15621" max="15622" width="13.875" style="3186" customWidth="1"/>
    <col min="15623" max="15623" width="8.375" style="3186" customWidth="1"/>
    <col min="15624" max="15624" width="9" style="3186" customWidth="1"/>
    <col min="15625" max="15625" width="24.5" style="3186" customWidth="1"/>
    <col min="15626" max="15626" width="10.625" style="3186" customWidth="1"/>
    <col min="15627" max="15627" width="14.375" style="3186" customWidth="1"/>
    <col min="15628" max="15628" width="6.25" style="3186" customWidth="1"/>
    <col min="15629" max="15629" width="8" style="3186" customWidth="1"/>
    <col min="15630" max="15871" width="9" style="3186"/>
    <col min="15872" max="15872" width="24.5" style="3186" customWidth="1"/>
    <col min="15873" max="15873" width="6.25" style="3186" customWidth="1"/>
    <col min="15874" max="15875" width="7.875" style="3186" customWidth="1"/>
    <col min="15876" max="15876" width="10.875" style="3186" customWidth="1"/>
    <col min="15877" max="15878" width="13.875" style="3186" customWidth="1"/>
    <col min="15879" max="15879" width="8.375" style="3186" customWidth="1"/>
    <col min="15880" max="15880" width="9" style="3186" customWidth="1"/>
    <col min="15881" max="15881" width="24.5" style="3186" customWidth="1"/>
    <col min="15882" max="15882" width="10.625" style="3186" customWidth="1"/>
    <col min="15883" max="15883" width="14.375" style="3186" customWidth="1"/>
    <col min="15884" max="15884" width="6.25" style="3186" customWidth="1"/>
    <col min="15885" max="15885" width="8" style="3186" customWidth="1"/>
    <col min="15886" max="16127" width="9" style="3186"/>
    <col min="16128" max="16128" width="24.5" style="3186" customWidth="1"/>
    <col min="16129" max="16129" width="6.25" style="3186" customWidth="1"/>
    <col min="16130" max="16131" width="7.875" style="3186" customWidth="1"/>
    <col min="16132" max="16132" width="10.875" style="3186" customWidth="1"/>
    <col min="16133" max="16134" width="13.875" style="3186" customWidth="1"/>
    <col min="16135" max="16135" width="8.375" style="3186" customWidth="1"/>
    <col min="16136" max="16136" width="9" style="3186" customWidth="1"/>
    <col min="16137" max="16137" width="24.5" style="3186" customWidth="1"/>
    <col min="16138" max="16138" width="10.625" style="3186" customWidth="1"/>
    <col min="16139" max="16139" width="14.375" style="3186" customWidth="1"/>
    <col min="16140" max="16140" width="6.25" style="3186" customWidth="1"/>
    <col min="16141" max="16141" width="8" style="3186" customWidth="1"/>
    <col min="16142" max="16384" width="9" style="3186"/>
  </cols>
  <sheetData>
    <row r="1" spans="1:13">
      <c r="A1" s="3186" t="s">
        <v>3053</v>
      </c>
      <c r="B1" s="3186" t="s">
        <v>3054</v>
      </c>
      <c r="C1" s="3186" t="s">
        <v>3055</v>
      </c>
      <c r="D1" s="3186" t="s">
        <v>3056</v>
      </c>
      <c r="E1" s="3186" t="s">
        <v>3057</v>
      </c>
      <c r="F1" s="3186" t="s">
        <v>3058</v>
      </c>
      <c r="G1" s="3186" t="s">
        <v>3059</v>
      </c>
      <c r="H1" s="3186" t="s">
        <v>3060</v>
      </c>
      <c r="I1" s="3186" t="s">
        <v>3061</v>
      </c>
      <c r="J1" s="3186" t="s">
        <v>3062</v>
      </c>
      <c r="K1" s="3186" t="s">
        <v>3063</v>
      </c>
      <c r="L1" s="3186" t="s">
        <v>3064</v>
      </c>
      <c r="M1" s="3186" t="s">
        <v>3065</v>
      </c>
    </row>
    <row r="2" spans="1:13">
      <c r="A2" s="3194" t="s">
        <v>3066</v>
      </c>
      <c r="B2" s="3194" t="s">
        <v>3067</v>
      </c>
      <c r="C2" s="3194" t="s">
        <v>3068</v>
      </c>
      <c r="D2" s="3195" t="s">
        <v>3040</v>
      </c>
      <c r="E2" s="3194">
        <v>111528.1</v>
      </c>
      <c r="F2" s="3194">
        <v>389367.6</v>
      </c>
      <c r="G2" s="3194" t="s">
        <v>3069</v>
      </c>
      <c r="H2" s="3194" t="s">
        <v>3028</v>
      </c>
      <c r="I2" s="3194" t="s">
        <v>3070</v>
      </c>
      <c r="J2" s="3194">
        <v>163615</v>
      </c>
      <c r="K2" s="3194">
        <v>4202.0600000000004</v>
      </c>
      <c r="L2" s="3194">
        <v>0</v>
      </c>
      <c r="M2" s="3194" t="s">
        <v>3071</v>
      </c>
    </row>
    <row r="3" spans="1:13">
      <c r="A3" s="3186" t="s">
        <v>3072</v>
      </c>
      <c r="B3" s="3186" t="s">
        <v>3067</v>
      </c>
      <c r="C3" s="3186" t="s">
        <v>3068</v>
      </c>
      <c r="D3" s="3185" t="s">
        <v>3042</v>
      </c>
      <c r="E3" s="3186">
        <v>38526.730000000003</v>
      </c>
      <c r="F3" s="3186">
        <v>146400</v>
      </c>
      <c r="G3" s="3186" t="s">
        <v>3073</v>
      </c>
      <c r="H3" s="3186" t="s">
        <v>3029</v>
      </c>
      <c r="I3" s="3186" t="s">
        <v>3074</v>
      </c>
      <c r="J3" s="3186">
        <v>19035</v>
      </c>
      <c r="K3" s="3186">
        <v>1300.2</v>
      </c>
      <c r="L3" s="3186">
        <v>0</v>
      </c>
      <c r="M3" s="3186" t="s">
        <v>3071</v>
      </c>
    </row>
    <row r="4" spans="1:13">
      <c r="A4" s="3186" t="s">
        <v>3075</v>
      </c>
      <c r="B4" s="3186" t="s">
        <v>3067</v>
      </c>
      <c r="C4" s="3186" t="s">
        <v>3068</v>
      </c>
      <c r="D4" s="3185" t="s">
        <v>3041</v>
      </c>
      <c r="E4" s="3186">
        <v>62392.87</v>
      </c>
      <c r="F4" s="3186">
        <v>149743</v>
      </c>
      <c r="G4" s="3186" t="s">
        <v>3076</v>
      </c>
      <c r="H4" s="3186" t="s">
        <v>3030</v>
      </c>
      <c r="I4" s="3186" t="s">
        <v>3077</v>
      </c>
      <c r="J4" s="3186">
        <v>101088</v>
      </c>
      <c r="K4" s="3186">
        <v>6750.77</v>
      </c>
      <c r="L4" s="3186">
        <v>68.760000000000005</v>
      </c>
      <c r="M4" s="3186" t="s">
        <v>3071</v>
      </c>
    </row>
    <row r="5" spans="1:13">
      <c r="A5" s="3187" t="s">
        <v>3075</v>
      </c>
      <c r="B5" s="3187" t="s">
        <v>3067</v>
      </c>
      <c r="C5" s="3187" t="s">
        <v>3068</v>
      </c>
      <c r="D5" s="3188" t="s">
        <v>3221</v>
      </c>
      <c r="E5" s="3187">
        <v>65547.7</v>
      </c>
      <c r="F5" s="3187">
        <v>190080</v>
      </c>
      <c r="G5" s="3187" t="s">
        <v>3078</v>
      </c>
      <c r="H5" s="3187" t="s">
        <v>3030</v>
      </c>
      <c r="I5" s="3187" t="s">
        <v>3079</v>
      </c>
      <c r="J5" s="3187">
        <v>123660</v>
      </c>
      <c r="K5" s="3187">
        <v>6505.68</v>
      </c>
      <c r="L5" s="3187">
        <v>62.62</v>
      </c>
      <c r="M5" s="3187" t="s">
        <v>3071</v>
      </c>
    </row>
    <row r="6" spans="1:13">
      <c r="A6" s="3187" t="s">
        <v>3075</v>
      </c>
      <c r="B6" s="3187" t="s">
        <v>3067</v>
      </c>
      <c r="C6" s="3187" t="s">
        <v>3068</v>
      </c>
      <c r="D6" s="3188" t="s">
        <v>3043</v>
      </c>
      <c r="E6" s="3187">
        <v>64726.28</v>
      </c>
      <c r="F6" s="3187">
        <v>190080</v>
      </c>
      <c r="G6" s="3187" t="s">
        <v>3080</v>
      </c>
      <c r="H6" s="3187" t="s">
        <v>3030</v>
      </c>
      <c r="I6" s="3187" t="s">
        <v>3081</v>
      </c>
      <c r="J6" s="3187">
        <v>116000</v>
      </c>
      <c r="K6" s="3187">
        <v>6102.68</v>
      </c>
      <c r="L6" s="3187">
        <v>60</v>
      </c>
      <c r="M6" s="3187" t="s">
        <v>3071</v>
      </c>
    </row>
    <row r="7" spans="1:13">
      <c r="A7" s="3186" t="s">
        <v>3082</v>
      </c>
      <c r="B7" s="3186" t="s">
        <v>3067</v>
      </c>
      <c r="C7" s="3186" t="s">
        <v>3068</v>
      </c>
      <c r="D7" s="3185" t="s">
        <v>3044</v>
      </c>
      <c r="E7" s="3186">
        <v>46231.25</v>
      </c>
      <c r="F7" s="3186">
        <v>69346.880000000005</v>
      </c>
      <c r="G7" s="3186" t="s">
        <v>3083</v>
      </c>
      <c r="H7" s="3186" t="s">
        <v>3031</v>
      </c>
      <c r="I7" s="3186" t="s">
        <v>3084</v>
      </c>
      <c r="J7" s="3186">
        <v>26600</v>
      </c>
      <c r="K7" s="3186">
        <v>3835.78</v>
      </c>
      <c r="L7" s="3186">
        <v>53.4</v>
      </c>
      <c r="M7" s="3186" t="s">
        <v>3071</v>
      </c>
    </row>
    <row r="8" spans="1:13">
      <c r="A8" s="3186" t="s">
        <v>3082</v>
      </c>
      <c r="B8" s="3186" t="s">
        <v>3067</v>
      </c>
      <c r="C8" s="3186" t="s">
        <v>3068</v>
      </c>
      <c r="D8" s="3185" t="s">
        <v>3045</v>
      </c>
      <c r="E8" s="3186">
        <v>46556.54</v>
      </c>
      <c r="F8" s="3186">
        <v>83801.77</v>
      </c>
      <c r="G8" s="3186" t="s">
        <v>3085</v>
      </c>
      <c r="H8" s="3186" t="s">
        <v>3031</v>
      </c>
      <c r="I8" s="3186" t="s">
        <v>3086</v>
      </c>
      <c r="J8" s="3186">
        <v>36477</v>
      </c>
      <c r="K8" s="3186">
        <v>4352.7700000000004</v>
      </c>
      <c r="L8" s="3186">
        <v>74.03</v>
      </c>
      <c r="M8" s="3186" t="s">
        <v>3071</v>
      </c>
    </row>
    <row r="9" spans="1:13">
      <c r="A9" s="3186" t="s">
        <v>3082</v>
      </c>
      <c r="B9" s="3186" t="s">
        <v>3067</v>
      </c>
      <c r="C9" s="3186" t="s">
        <v>3068</v>
      </c>
      <c r="D9" s="3185" t="s">
        <v>3046</v>
      </c>
      <c r="E9" s="3186">
        <v>53223.74</v>
      </c>
      <c r="F9" s="3186">
        <v>95802.73</v>
      </c>
      <c r="G9" s="3186" t="s">
        <v>3085</v>
      </c>
      <c r="H9" s="3186" t="s">
        <v>3031</v>
      </c>
      <c r="I9" s="3186" t="s">
        <v>3087</v>
      </c>
      <c r="J9" s="3186">
        <v>36590</v>
      </c>
      <c r="K9" s="3186">
        <v>3819.3</v>
      </c>
      <c r="L9" s="3186">
        <v>52.71</v>
      </c>
      <c r="M9" s="3186" t="s">
        <v>3071</v>
      </c>
    </row>
    <row r="10" spans="1:13">
      <c r="A10" s="3186" t="s">
        <v>3088</v>
      </c>
      <c r="B10" s="3186" t="s">
        <v>3067</v>
      </c>
      <c r="C10" s="3186" t="s">
        <v>3068</v>
      </c>
      <c r="D10" s="3185" t="s">
        <v>3047</v>
      </c>
      <c r="E10" s="3186">
        <v>28355.4</v>
      </c>
      <c r="F10" s="3186">
        <v>40112</v>
      </c>
      <c r="G10" s="3186" t="s">
        <v>3089</v>
      </c>
      <c r="H10" s="3186" t="s">
        <v>3032</v>
      </c>
      <c r="I10" s="3186" t="s">
        <v>3090</v>
      </c>
      <c r="J10" s="3186">
        <v>13040</v>
      </c>
      <c r="K10" s="3186">
        <v>3250.9</v>
      </c>
      <c r="L10" s="3186">
        <v>0</v>
      </c>
      <c r="M10" s="3186" t="s">
        <v>3071</v>
      </c>
    </row>
    <row r="11" spans="1:13">
      <c r="A11" s="3186" t="s">
        <v>3091</v>
      </c>
      <c r="B11" s="3186" t="s">
        <v>3067</v>
      </c>
      <c r="C11" s="3186" t="s">
        <v>3068</v>
      </c>
      <c r="D11" s="3185" t="s">
        <v>3048</v>
      </c>
      <c r="E11" s="3186">
        <v>186314.5</v>
      </c>
      <c r="F11" s="3186">
        <v>475100</v>
      </c>
      <c r="G11" s="3186" t="s">
        <v>3033</v>
      </c>
      <c r="H11" s="3186" t="s">
        <v>3034</v>
      </c>
      <c r="I11" s="3186" t="s">
        <v>3090</v>
      </c>
      <c r="J11" s="3186">
        <v>154410</v>
      </c>
      <c r="K11" s="3186">
        <v>3250.05</v>
      </c>
      <c r="L11" s="3186">
        <v>0</v>
      </c>
      <c r="M11" s="3186" t="s">
        <v>3092</v>
      </c>
    </row>
    <row r="12" spans="1:13">
      <c r="A12" s="3186" t="s">
        <v>3093</v>
      </c>
      <c r="B12" s="3186" t="s">
        <v>3067</v>
      </c>
      <c r="C12" s="3186" t="s">
        <v>3068</v>
      </c>
      <c r="D12" s="3185" t="s">
        <v>3049</v>
      </c>
      <c r="E12" s="3186">
        <v>43759.93</v>
      </c>
      <c r="F12" s="3186">
        <v>133332.20000000001</v>
      </c>
      <c r="G12" s="3186" t="s">
        <v>3035</v>
      </c>
      <c r="H12" s="3186" t="s">
        <v>3036</v>
      </c>
      <c r="I12" s="3186" t="s">
        <v>3094</v>
      </c>
      <c r="J12" s="3186">
        <v>109606</v>
      </c>
      <c r="K12" s="3186">
        <v>8220.52</v>
      </c>
      <c r="L12" s="3186">
        <v>54.14</v>
      </c>
      <c r="M12" s="3186" t="s">
        <v>3092</v>
      </c>
    </row>
    <row r="13" spans="1:13">
      <c r="A13" s="3186" t="s">
        <v>3093</v>
      </c>
      <c r="B13" s="3186" t="s">
        <v>3067</v>
      </c>
      <c r="C13" s="3186" t="s">
        <v>3068</v>
      </c>
      <c r="D13" s="3185" t="s">
        <v>3050</v>
      </c>
      <c r="E13" s="3186">
        <v>87060.17</v>
      </c>
      <c r="F13" s="3186">
        <v>256160</v>
      </c>
      <c r="G13" s="3186" t="s">
        <v>3035</v>
      </c>
      <c r="H13" s="3186" t="s">
        <v>3036</v>
      </c>
      <c r="I13" s="3186" t="s">
        <v>3095</v>
      </c>
      <c r="J13" s="3186">
        <v>209693</v>
      </c>
      <c r="K13" s="3186">
        <v>8186.02</v>
      </c>
      <c r="L13" s="3186">
        <v>53.49</v>
      </c>
      <c r="M13" s="3186" t="s">
        <v>3092</v>
      </c>
    </row>
    <row r="14" spans="1:13">
      <c r="A14" s="3186" t="s">
        <v>3096</v>
      </c>
      <c r="B14" s="3186" t="s">
        <v>3067</v>
      </c>
      <c r="C14" s="3186" t="s">
        <v>3068</v>
      </c>
      <c r="D14" s="3185" t="s">
        <v>3051</v>
      </c>
      <c r="E14" s="3186">
        <v>33047.129999999997</v>
      </c>
      <c r="F14" s="3186">
        <v>72704</v>
      </c>
      <c r="G14" s="3186">
        <v>2.2000000000000002</v>
      </c>
      <c r="H14" s="3186" t="s">
        <v>3036</v>
      </c>
      <c r="I14" s="3186" t="s">
        <v>3097</v>
      </c>
      <c r="J14" s="3186">
        <v>7636</v>
      </c>
      <c r="K14" s="3186">
        <v>1050.28</v>
      </c>
      <c r="L14" s="3186">
        <v>0</v>
      </c>
      <c r="M14" s="3186" t="s">
        <v>3092</v>
      </c>
    </row>
    <row r="15" spans="1:13">
      <c r="A15" s="3186" t="s">
        <v>3072</v>
      </c>
      <c r="B15" s="3186" t="s">
        <v>3067</v>
      </c>
      <c r="C15" s="3186" t="s">
        <v>3068</v>
      </c>
      <c r="D15" s="3185" t="s">
        <v>3052</v>
      </c>
      <c r="E15" s="3186">
        <v>83467.59</v>
      </c>
      <c r="F15" s="3186">
        <v>175282</v>
      </c>
      <c r="G15" s="3186" t="s">
        <v>3037</v>
      </c>
      <c r="H15" s="3186" t="s">
        <v>3038</v>
      </c>
      <c r="I15" s="3186" t="s">
        <v>3098</v>
      </c>
      <c r="J15" s="3186">
        <v>127940</v>
      </c>
      <c r="K15" s="3186">
        <v>7299.1</v>
      </c>
      <c r="L15" s="3186">
        <v>421.35</v>
      </c>
      <c r="M15" s="3186" t="s">
        <v>3092</v>
      </c>
    </row>
    <row r="16" spans="1:13">
      <c r="A16" s="3187" t="s">
        <v>3099</v>
      </c>
      <c r="B16" s="3187" t="s">
        <v>3067</v>
      </c>
      <c r="C16" s="3187" t="s">
        <v>3068</v>
      </c>
      <c r="D16" s="3188" t="s">
        <v>3222</v>
      </c>
      <c r="E16" s="3187">
        <v>9503.06</v>
      </c>
      <c r="F16" s="3187">
        <v>45380</v>
      </c>
      <c r="G16" s="3187" t="s">
        <v>3039</v>
      </c>
      <c r="H16" s="3187" t="s">
        <v>3038</v>
      </c>
      <c r="I16" s="3187" t="s">
        <v>3100</v>
      </c>
      <c r="J16" s="3187">
        <v>25150</v>
      </c>
      <c r="K16" s="3187">
        <v>5542.09</v>
      </c>
      <c r="L16" s="3187">
        <v>159.28</v>
      </c>
      <c r="M16" s="3187" t="s">
        <v>3092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2037</v>
      </c>
      <c r="B1" s="3223"/>
      <c r="C1" s="3223"/>
      <c r="D1" s="3223"/>
      <c r="E1" s="3223"/>
      <c r="F1" s="3223"/>
      <c r="G1" s="3223"/>
      <c r="H1" s="3223"/>
      <c r="I1" s="3223"/>
      <c r="J1" s="3223"/>
      <c r="K1" s="3223"/>
      <c r="L1" s="3223"/>
      <c r="M1" s="3223"/>
      <c r="N1" s="3223"/>
      <c r="O1" s="3223"/>
      <c r="P1" s="3223"/>
      <c r="Q1" s="3223"/>
      <c r="R1" s="3223"/>
    </row>
    <row r="2" spans="1:18">
      <c r="A2" s="1802" t="s">
        <v>2039</v>
      </c>
      <c r="B2" s="1802"/>
      <c r="C2" s="1802"/>
      <c r="D2" s="1802"/>
      <c r="E2" s="1802"/>
      <c r="F2" s="1802"/>
      <c r="G2" s="1802"/>
      <c r="H2" s="1802"/>
      <c r="I2" s="1803"/>
      <c r="J2" s="1803"/>
      <c r="K2" s="1804" t="str">
        <f>"估价期日："&amp;TEXT(项目基本情况!D3,"yyyy年m月d日;;")</f>
        <v>估价期日：2018年3月23日</v>
      </c>
      <c r="L2" s="1802"/>
      <c r="M2" s="1802"/>
      <c r="N2" s="1802"/>
      <c r="O2" s="1802"/>
      <c r="P2" s="1802"/>
      <c r="Q2" s="1802"/>
      <c r="R2" s="1804" t="str">
        <f>"估价期日的国有建设用地使用权性质："&amp;项目基本情况!B16</f>
        <v>估价期日的国有建设用地使用权性质：出让</v>
      </c>
    </row>
    <row r="3" spans="1:18" ht="23.25" customHeight="1">
      <c r="A3" s="3224" t="s">
        <v>2028</v>
      </c>
      <c r="B3" s="3224" t="s">
        <v>2729</v>
      </c>
      <c r="C3" s="3225" t="s">
        <v>2029</v>
      </c>
      <c r="D3" s="3224" t="s">
        <v>2733</v>
      </c>
      <c r="E3" s="3227" t="s">
        <v>2030</v>
      </c>
      <c r="F3" s="3227"/>
      <c r="G3" s="3227"/>
      <c r="H3" s="3227" t="s">
        <v>2031</v>
      </c>
      <c r="I3" s="3227"/>
      <c r="J3" s="3227"/>
      <c r="K3" s="3225" t="s">
        <v>2032</v>
      </c>
      <c r="L3" s="3225" t="s">
        <v>2033</v>
      </c>
      <c r="M3" s="3224" t="s">
        <v>2730</v>
      </c>
      <c r="N3" s="3226" t="str">
        <f>"（分摊）"&amp;项目基本情况!B16&amp;"国有建设用地使用权面积/㎡"</f>
        <v>（分摊）出让国有建设用地使用权面积/㎡</v>
      </c>
      <c r="O3" s="3224" t="s">
        <v>2062</v>
      </c>
      <c r="P3" s="3225" t="s">
        <v>2042</v>
      </c>
      <c r="Q3" s="3225" t="s">
        <v>2063</v>
      </c>
      <c r="R3" s="3225" t="s">
        <v>2034</v>
      </c>
    </row>
    <row r="4" spans="1:18" ht="36.75" customHeight="1">
      <c r="A4" s="3224"/>
      <c r="B4" s="3224"/>
      <c r="C4" s="3225"/>
      <c r="D4" s="3224"/>
      <c r="E4" s="2667" t="s">
        <v>2041</v>
      </c>
      <c r="F4" s="2667" t="s">
        <v>2742</v>
      </c>
      <c r="G4" s="2667" t="s">
        <v>2035</v>
      </c>
      <c r="H4" s="2667" t="s">
        <v>2036</v>
      </c>
      <c r="I4" s="2667" t="s">
        <v>2743</v>
      </c>
      <c r="J4" s="2667" t="s">
        <v>2035</v>
      </c>
      <c r="K4" s="3225"/>
      <c r="L4" s="3225"/>
      <c r="M4" s="3224"/>
      <c r="N4" s="3226"/>
      <c r="O4" s="3224"/>
      <c r="P4" s="3225"/>
      <c r="Q4" s="3225"/>
      <c r="R4" s="3225"/>
    </row>
    <row r="5" spans="1:18" ht="135" customHeight="1">
      <c r="A5" s="1937" t="s">
        <v>2653</v>
      </c>
      <c r="B5" s="2885" t="s">
        <v>2651</v>
      </c>
      <c r="C5" s="2666">
        <v>22</v>
      </c>
      <c r="D5" s="2665" t="s">
        <v>2652</v>
      </c>
      <c r="E5" s="1805" t="str">
        <f>项目基本情况!B12</f>
        <v>居住</v>
      </c>
      <c r="F5" s="2665">
        <v>258</v>
      </c>
      <c r="G5" s="1805" t="str">
        <f>项目基本情况!B13</f>
        <v>住宅、商业</v>
      </c>
      <c r="H5" s="2665">
        <v>1.5</v>
      </c>
      <c r="I5" s="2665">
        <v>1.5</v>
      </c>
      <c r="J5" s="2665">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105656.7</v>
      </c>
      <c r="O5" s="1805">
        <f>项目基本情况!C21</f>
        <v>529172.31000000006</v>
      </c>
      <c r="P5" s="1805">
        <f ca="1">结果表!E42</f>
        <v>20990</v>
      </c>
      <c r="Q5" s="1805">
        <f ca="1">结果表!D42</f>
        <v>4191</v>
      </c>
      <c r="R5" s="1806">
        <f ca="1">结果表!C42</f>
        <v>221769</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807"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7"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228" t="s">
        <v>2064</v>
      </c>
      <c r="B1" s="3228"/>
      <c r="C1" s="3228"/>
      <c r="D1" s="3228"/>
    </row>
    <row r="2" spans="1:4" ht="47.25" customHeight="1">
      <c r="A2" s="3232" t="str">
        <f>"1.权利限制："&amp;项目基本情况!L24&amp;"未设定租赁等其他他项权利。"</f>
        <v>1.权利限制：根据估价对象、，截至估价期日，估价对象抵押权未见登记。未设定租赁等其他他项权利。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3.估价规划限制条件：详见《武汉市江夏区009号齐心村地块投资分析报告》。</v>
      </c>
      <c r="B4" s="3228"/>
      <c r="C4" s="3228"/>
      <c r="D4" s="3228"/>
    </row>
    <row r="5" spans="1:4">
      <c r="A5" s="3231" t="s">
        <v>2065</v>
      </c>
      <c r="B5" s="3231"/>
      <c r="C5" s="3231"/>
      <c r="D5" s="3231"/>
    </row>
    <row r="6" spans="1:4">
      <c r="A6" s="3228" t="s">
        <v>2043</v>
      </c>
      <c r="B6" s="3228"/>
      <c r="C6" s="3228"/>
      <c r="D6" s="3228"/>
    </row>
    <row r="7" spans="1:4" ht="33" customHeight="1">
      <c r="A7" s="3228" t="s">
        <v>2573</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8"/>
      <c r="C8" s="3228"/>
      <c r="D8" s="3228"/>
    </row>
    <row r="9" spans="1:4" ht="33.75" customHeight="1">
      <c r="A9" s="3228" t="str">
        <f>IF(项目基本情况!B8="抵押","3.抵押双方在办理抵押登记手续时，应使用本公司出具的正式《土地估价报告》，特提请报告使用者注意。","——")</f>
        <v>——</v>
      </c>
      <c r="B9" s="3228"/>
      <c r="C9" s="3228"/>
      <c r="D9" s="3228"/>
    </row>
    <row r="10" spans="1:4">
      <c r="A10" s="3228" t="str">
        <f>IF(项目基本情况!B8="抵押","4.估价师所知悉的法定优先受偿款情况为：","——")</f>
        <v>——</v>
      </c>
      <c r="B10" s="3228"/>
      <c r="C10" s="3228"/>
      <c r="D10" s="3228"/>
    </row>
    <row r="11" spans="1:4" ht="37.5" customHeight="1">
      <c r="A11" s="3230" t="str">
        <f>IF(项目基本情况!B8="抵押","（1）"&amp;CONCATENATE(项目基本情况!L24,项目基本情况!L25,项目基本情况!L26),"——")</f>
        <v>——</v>
      </c>
      <c r="B11" s="3230"/>
      <c r="C11" s="3230"/>
      <c r="D11" s="3230"/>
    </row>
    <row r="12" spans="1:4" ht="168" customHeight="1">
      <c r="A12" s="3231" t="s">
        <v>2067</v>
      </c>
      <c r="B12" s="3231"/>
      <c r="C12" s="3231"/>
      <c r="D12" s="3231"/>
    </row>
    <row r="13" spans="1:4">
      <c r="A13" s="3229" t="s">
        <v>2744</v>
      </c>
      <c r="B13" s="3229"/>
      <c r="C13" s="3229"/>
      <c r="D13" s="3229"/>
    </row>
    <row r="14" spans="1:4">
      <c r="A14" s="3230" t="str">
        <f>IF(项目基本情况!B8="抵押","综上，"&amp;结果表!K47,"——")</f>
        <v>——</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2700</v>
      </c>
      <c r="B17" s="3228"/>
      <c r="C17" s="3228"/>
      <c r="D17" s="3228"/>
    </row>
    <row r="18" spans="1:4">
      <c r="A18" s="3228" t="s">
        <v>2692</v>
      </c>
      <c r="B18" s="3228"/>
      <c r="C18" s="3228"/>
      <c r="D18" s="3228"/>
    </row>
    <row r="19" spans="1:4">
      <c r="A19" s="2886" t="s">
        <v>2693</v>
      </c>
      <c r="B19" s="2886" t="s">
        <v>2694</v>
      </c>
      <c r="C19" s="2886" t="s">
        <v>2695</v>
      </c>
      <c r="D19" s="2886" t="s">
        <v>2696</v>
      </c>
    </row>
    <row r="20" spans="1:4">
      <c r="A20" s="2886" t="str">
        <f>项目基本情况!B4</f>
        <v>王鹏</v>
      </c>
      <c r="B20" s="2886">
        <f ca="1">项目基本情况!C4</f>
        <v>2002110030</v>
      </c>
      <c r="C20" s="2888"/>
      <c r="D20" s="1795" t="s">
        <v>2701</v>
      </c>
    </row>
    <row r="21" spans="1:4">
      <c r="A21" s="2886" t="str">
        <f>项目基本情况!D4</f>
        <v>郑燚</v>
      </c>
      <c r="B21" s="2886">
        <f>项目基本情况!E4</f>
        <v>2014110011</v>
      </c>
      <c r="C21" s="2888"/>
      <c r="D21" s="1795" t="s">
        <v>2702</v>
      </c>
    </row>
    <row r="23" spans="1:4">
      <c r="A23" s="3228" t="s">
        <v>2697</v>
      </c>
      <c r="B23" s="3228"/>
      <c r="C23" s="3228"/>
      <c r="D23" s="3228"/>
    </row>
    <row r="24" spans="1:4">
      <c r="A24" s="2886" t="s">
        <v>2693</v>
      </c>
      <c r="B24" s="2886" t="s">
        <v>2698</v>
      </c>
      <c r="C24" s="2886" t="s">
        <v>2695</v>
      </c>
      <c r="D24" s="2886" t="s">
        <v>2696</v>
      </c>
    </row>
    <row r="25" spans="1:4">
      <c r="A25" s="2889" t="s">
        <v>2699</v>
      </c>
      <c r="B25" s="2886" t="s">
        <v>951</v>
      </c>
      <c r="C25" s="2888"/>
      <c r="D25" s="1795" t="s">
        <v>2702</v>
      </c>
    </row>
    <row r="29" spans="1:4">
      <c r="D29" s="2887" t="s">
        <v>2038</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0" t="s">
        <v>53</v>
      </c>
      <c r="B15" s="3241" t="s">
        <v>845</v>
      </c>
      <c r="C15" s="3237"/>
    </row>
    <row r="16" spans="1:7" ht="14.25">
      <c r="A16" s="3240"/>
      <c r="B16" s="3238" t="s">
        <v>54</v>
      </c>
      <c r="C16" s="1167" t="s">
        <v>53</v>
      </c>
    </row>
    <row r="17" spans="1:3" ht="14.25">
      <c r="A17" s="3240"/>
      <c r="B17" s="3238"/>
      <c r="C17" s="1167" t="s">
        <v>55</v>
      </c>
    </row>
    <row r="18" spans="1:3" ht="14.25">
      <c r="A18" s="3240"/>
      <c r="B18" s="3238"/>
      <c r="C18" s="1167" t="s">
        <v>56</v>
      </c>
    </row>
    <row r="19" spans="1:3" ht="14.25">
      <c r="A19" s="3240"/>
      <c r="B19" s="3236" t="s">
        <v>57</v>
      </c>
      <c r="C19" s="3237"/>
    </row>
    <row r="20" spans="1:3" ht="14.25">
      <c r="A20" s="1168" t="s">
        <v>58</v>
      </c>
      <c r="B20" s="1169"/>
      <c r="C20" s="1170"/>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1" t="s">
        <v>836</v>
      </c>
    </row>
    <row r="25" spans="1:3" ht="14.25">
      <c r="A25" s="3239"/>
      <c r="B25" s="3243"/>
      <c r="C25" s="1171" t="s">
        <v>837</v>
      </c>
    </row>
    <row r="26" spans="1:3" ht="14.25">
      <c r="A26" s="3239"/>
      <c r="B26" s="3243"/>
      <c r="C26" s="1171" t="s">
        <v>838</v>
      </c>
    </row>
    <row r="27" spans="1:3" ht="14.25">
      <c r="A27" s="3239"/>
      <c r="B27" s="3243"/>
      <c r="C27" s="1171" t="s">
        <v>839</v>
      </c>
    </row>
    <row r="28" spans="1:3" ht="14.25">
      <c r="A28" s="3239"/>
      <c r="B28" s="3243"/>
      <c r="C28" s="1171" t="s">
        <v>840</v>
      </c>
    </row>
    <row r="29" spans="1:3" ht="14.25">
      <c r="A29" s="3239"/>
      <c r="B29" s="3243"/>
      <c r="C29" s="1171" t="s">
        <v>841</v>
      </c>
    </row>
    <row r="30" spans="1:3" ht="14.25">
      <c r="A30" s="3239"/>
      <c r="B30" s="3243"/>
      <c r="C30" s="1171" t="s">
        <v>842</v>
      </c>
    </row>
    <row r="31" spans="1:3" ht="14.25">
      <c r="A31" s="3239"/>
      <c r="B31" s="3243"/>
      <c r="C31" s="1171" t="s">
        <v>843</v>
      </c>
    </row>
    <row r="32" spans="1:3" ht="14.25">
      <c r="A32" s="3239"/>
      <c r="B32" s="3243"/>
      <c r="C32" s="1171" t="s">
        <v>1646</v>
      </c>
    </row>
    <row r="33" spans="1:3" ht="14.25">
      <c r="A33" s="3239"/>
      <c r="B33" s="3233" t="s">
        <v>1652</v>
      </c>
      <c r="C33" s="1171" t="s">
        <v>1647</v>
      </c>
    </row>
    <row r="34" spans="1:3" ht="14.25">
      <c r="A34" s="3239"/>
      <c r="B34" s="3234"/>
      <c r="C34" s="1176" t="s">
        <v>1648</v>
      </c>
    </row>
    <row r="35" spans="1:3" ht="14.25">
      <c r="A35" s="3239"/>
      <c r="B35" s="3234"/>
      <c r="C35" s="1177" t="s">
        <v>1649</v>
      </c>
    </row>
    <row r="36" spans="1:3" ht="14.25">
      <c r="A36" s="3239"/>
      <c r="B36" s="3234"/>
      <c r="C36" s="1177" t="s">
        <v>1650</v>
      </c>
    </row>
    <row r="37" spans="1:3" ht="14.25">
      <c r="A37" s="3239"/>
      <c r="B37" s="3235"/>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1907</v>
      </c>
      <c r="B2" s="1651">
        <f ca="1">TODAY()</f>
        <v>43187</v>
      </c>
      <c r="C2" s="2333" t="s">
        <v>1908</v>
      </c>
      <c r="D2" s="2334"/>
    </row>
    <row r="3" spans="1:6" ht="20.25" customHeight="1">
      <c r="A3" s="2336" t="s">
        <v>1909</v>
      </c>
      <c r="B3" s="2337" t="s">
        <v>1910</v>
      </c>
      <c r="C3" s="2337" t="s">
        <v>1911</v>
      </c>
      <c r="D3" s="2338" t="s">
        <v>1912</v>
      </c>
      <c r="E3" s="2337" t="s">
        <v>1913</v>
      </c>
      <c r="F3" s="2337" t="s">
        <v>1911</v>
      </c>
    </row>
    <row r="4" spans="1:6" ht="20.25" customHeight="1">
      <c r="A4" s="2337" t="s">
        <v>1914</v>
      </c>
      <c r="B4" s="2337">
        <f ca="1">IF(C4&lt;B2,"已过期",1119970066)</f>
        <v>1119970066</v>
      </c>
      <c r="C4" s="3024">
        <v>43849</v>
      </c>
      <c r="D4" s="2337" t="s">
        <v>1914</v>
      </c>
      <c r="E4" s="2337">
        <f ca="1">IF(F4&lt;B2,"已过期",96010014)</f>
        <v>96010014</v>
      </c>
      <c r="F4" s="3025">
        <v>47118</v>
      </c>
    </row>
    <row r="5" spans="1:6" ht="20.25" customHeight="1">
      <c r="A5" s="2337" t="s">
        <v>1915</v>
      </c>
      <c r="B5" s="2337">
        <f ca="1">IF(C5&lt;B2,"已过期",1119970074)</f>
        <v>1119970074</v>
      </c>
      <c r="C5" s="3024">
        <v>43849</v>
      </c>
      <c r="D5" s="2337" t="s">
        <v>1915</v>
      </c>
      <c r="E5" s="2337">
        <f ca="1">IF(F5&lt;B2,"已过期",2002110027)</f>
        <v>2002110027</v>
      </c>
      <c r="F5" s="3025">
        <v>46752</v>
      </c>
    </row>
    <row r="6" spans="1:6" ht="20.25" customHeight="1">
      <c r="A6" s="2337" t="s">
        <v>1916</v>
      </c>
      <c r="B6" s="2337">
        <f ca="1">IF(C6&lt;B2,"已过期",1119970111)</f>
        <v>1119970111</v>
      </c>
      <c r="C6" s="3024">
        <v>43849</v>
      </c>
      <c r="D6" s="2337" t="s">
        <v>1916</v>
      </c>
      <c r="E6" s="2337">
        <f ca="1">IF(F6&lt;B2,"已过期",94010078)</f>
        <v>94010078</v>
      </c>
      <c r="F6" s="3025">
        <v>46387</v>
      </c>
    </row>
    <row r="7" spans="1:6" ht="20.25" customHeight="1">
      <c r="A7" s="2337" t="s">
        <v>1917</v>
      </c>
      <c r="B7" s="2337">
        <f ca="1">IF(C7&lt;B2,"已过期",1120050019)</f>
        <v>1120050019</v>
      </c>
      <c r="C7" s="3024">
        <v>43359</v>
      </c>
      <c r="D7" s="2337" t="s">
        <v>1917</v>
      </c>
      <c r="E7" s="2337">
        <f ca="1">IF(F7&lt;B2,"已过期",2002110030)</f>
        <v>2002110030</v>
      </c>
      <c r="F7" s="3025">
        <v>46387</v>
      </c>
    </row>
    <row r="8" spans="1:6" ht="20.25" customHeight="1">
      <c r="A8" s="2337" t="s">
        <v>1918</v>
      </c>
      <c r="B8" s="2337">
        <f ca="1">IF(C8&lt;B2,"已过期",1120000080)</f>
        <v>1120000080</v>
      </c>
      <c r="C8" s="3024">
        <v>43849</v>
      </c>
      <c r="D8" s="2337" t="s">
        <v>1918</v>
      </c>
      <c r="E8" s="2337">
        <f ca="1">IF(F8&lt;B2,"已过期",2000110082)</f>
        <v>2000110082</v>
      </c>
      <c r="F8" s="3025">
        <v>46387</v>
      </c>
    </row>
    <row r="9" spans="1:6" ht="20.25" customHeight="1">
      <c r="A9" s="2337" t="s">
        <v>1919</v>
      </c>
      <c r="B9" s="2337">
        <f ca="1">IF(C9&lt;B2,"已过期",1419970001)</f>
        <v>1419970001</v>
      </c>
      <c r="C9" s="3024">
        <v>43867</v>
      </c>
      <c r="D9" s="2337" t="s">
        <v>1919</v>
      </c>
      <c r="E9" s="2337">
        <f ca="1">IF(F9&lt;B2,"已过期",2002110125)</f>
        <v>2002110125</v>
      </c>
      <c r="F9" s="3025">
        <v>47118</v>
      </c>
    </row>
    <row r="10" spans="1:6" ht="20.25" customHeight="1">
      <c r="A10" s="2337" t="s">
        <v>1920</v>
      </c>
      <c r="B10" s="2337">
        <f ca="1">IF(C10&lt;B2,"已过期",1120060040)</f>
        <v>1120060040</v>
      </c>
      <c r="C10" s="3024">
        <v>43483</v>
      </c>
      <c r="D10" s="2337" t="s">
        <v>1920</v>
      </c>
      <c r="E10" s="2337">
        <f ca="1">IF(F10&lt;B2,"已过期",2004110096)</f>
        <v>2004110096</v>
      </c>
      <c r="F10" s="3025">
        <v>47118</v>
      </c>
    </row>
    <row r="11" spans="1:6" ht="20.25" customHeight="1">
      <c r="A11" s="2337" t="s">
        <v>1921</v>
      </c>
      <c r="B11" s="2337">
        <f ca="1">IF(C11&lt;B2,"已过期",1120100036)</f>
        <v>1120100036</v>
      </c>
      <c r="C11" s="3024">
        <v>43622</v>
      </c>
      <c r="D11" s="2337" t="s">
        <v>1921</v>
      </c>
      <c r="E11" s="2337">
        <f ca="1">IF(F11&lt;B2,"已过期",2010110070)</f>
        <v>2010110070</v>
      </c>
      <c r="F11" s="3025">
        <v>47907</v>
      </c>
    </row>
    <row r="12" spans="1:6" ht="20.25" customHeight="1">
      <c r="A12" s="2337"/>
      <c r="B12" s="2337"/>
      <c r="C12" s="3024"/>
      <c r="D12" s="2337"/>
      <c r="E12" s="2337"/>
      <c r="F12" s="2337"/>
    </row>
    <row r="13" spans="1:6" ht="20.25" customHeight="1">
      <c r="A13" s="2337" t="s">
        <v>1922</v>
      </c>
      <c r="B13" s="2337">
        <f ca="1">IF(C13&lt;B2,"已过期",1120070131)</f>
        <v>1120070131</v>
      </c>
      <c r="C13" s="3024">
        <v>43814</v>
      </c>
      <c r="D13" s="2337" t="s">
        <v>1922</v>
      </c>
      <c r="E13" s="2337">
        <v>2014110011</v>
      </c>
      <c r="F13" s="3025">
        <v>49302</v>
      </c>
    </row>
    <row r="14" spans="1:6" ht="20.25" customHeight="1">
      <c r="A14" s="2337" t="s">
        <v>1923</v>
      </c>
      <c r="B14" s="2337">
        <f ca="1">IF(C14&lt;B2,"已过期",1120130020)</f>
        <v>1120130020</v>
      </c>
      <c r="C14" s="3024">
        <v>43622</v>
      </c>
      <c r="D14" s="2337"/>
      <c r="E14" s="2337"/>
      <c r="F14" s="2337"/>
    </row>
    <row r="15" spans="1:6" ht="20.25" customHeight="1">
      <c r="A15" s="2337" t="s">
        <v>2572</v>
      </c>
      <c r="B15" s="2337">
        <v>1120070085</v>
      </c>
      <c r="C15" s="3024">
        <v>43814</v>
      </c>
      <c r="D15" s="2337" t="s">
        <v>2572</v>
      </c>
      <c r="E15" s="2337">
        <v>2004110128</v>
      </c>
      <c r="F15" s="3025">
        <v>47118</v>
      </c>
    </row>
    <row r="16" spans="1:6" ht="20.25" customHeight="1">
      <c r="A16" s="2337" t="s">
        <v>1924</v>
      </c>
      <c r="B16" s="2337">
        <f ca="1">IF(C16&lt;B2,"已过期",1120140022)</f>
        <v>1120140022</v>
      </c>
      <c r="C16" s="3024">
        <v>44029</v>
      </c>
      <c r="D16" s="2337" t="s">
        <v>1924</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1925</v>
      </c>
      <c r="E21" s="2337">
        <f ca="1">IF(F21&lt;B2,"已过期",2011110090)</f>
        <v>2011110090</v>
      </c>
      <c r="F21" s="3025">
        <v>48302</v>
      </c>
    </row>
    <row r="22" spans="1:7" ht="20.25" customHeight="1">
      <c r="A22" s="2337" t="s">
        <v>1926</v>
      </c>
      <c r="B22" s="2337">
        <f ca="1">IF(C22&lt;B2,"已过期",1120020033)</f>
        <v>1120020033</v>
      </c>
      <c r="C22" s="3024">
        <v>43304</v>
      </c>
      <c r="D22" s="2337" t="s">
        <v>1926</v>
      </c>
      <c r="E22" s="2337">
        <f ca="1">IF(F22&lt;B2,"已过期",2000110137)</f>
        <v>2000110137</v>
      </c>
      <c r="F22" s="3025">
        <v>46387</v>
      </c>
    </row>
    <row r="23" spans="1:7" ht="20.25" customHeight="1">
      <c r="A23" s="2337" t="s">
        <v>1927</v>
      </c>
      <c r="B23" s="2337">
        <f ca="1">IF(C23&lt;B2,"已过期",1120130048)</f>
        <v>1120130048</v>
      </c>
      <c r="C23" s="3024">
        <v>43686</v>
      </c>
      <c r="D23" s="2337"/>
      <c r="E23" s="2337"/>
      <c r="F23" s="2337"/>
    </row>
    <row r="24" spans="1:7" s="2341" customFormat="1" ht="20.25" customHeight="1">
      <c r="A24" s="2339" t="s">
        <v>2052</v>
      </c>
      <c r="B24" s="2339" t="s">
        <v>2052</v>
      </c>
      <c r="C24" s="3024"/>
      <c r="D24" s="3026" t="s">
        <v>2052</v>
      </c>
      <c r="E24" s="2339" t="s">
        <v>2052</v>
      </c>
      <c r="F24" s="2340"/>
    </row>
    <row r="25" spans="1:7" ht="20.25" customHeight="1">
      <c r="A25" s="3244" t="s">
        <v>1928</v>
      </c>
      <c r="B25" s="3244"/>
      <c r="C25" s="3244"/>
      <c r="D25" s="3244"/>
      <c r="E25" s="3244"/>
      <c r="F25" s="3244"/>
      <c r="G25" s="3244"/>
    </row>
    <row r="26" spans="1:7" ht="20.25" customHeight="1">
      <c r="A26" s="3245" t="s">
        <v>1929</v>
      </c>
      <c r="B26" s="3245"/>
      <c r="C26" s="3245"/>
      <c r="D26" s="3245" t="s">
        <v>1930</v>
      </c>
      <c r="E26" s="3245"/>
      <c r="F26" s="3245"/>
    </row>
    <row r="27" spans="1:7" s="2345" customFormat="1" ht="20.25" customHeight="1">
      <c r="A27" s="2342" t="s">
        <v>1931</v>
      </c>
      <c r="B27" s="2343" t="s">
        <v>1932</v>
      </c>
      <c r="C27" s="2343" t="s">
        <v>1933</v>
      </c>
      <c r="D27" s="2344" t="s">
        <v>1931</v>
      </c>
      <c r="E27" s="2343" t="s">
        <v>1932</v>
      </c>
      <c r="F27" s="2343" t="s">
        <v>1933</v>
      </c>
    </row>
    <row r="28" spans="1:7" s="2345" customFormat="1" ht="20.25" customHeight="1">
      <c r="A28" s="2346" t="s">
        <v>1934</v>
      </c>
      <c r="B28" s="2346" t="s">
        <v>1935</v>
      </c>
      <c r="C28" s="2347">
        <v>43725</v>
      </c>
      <c r="D28" s="2346" t="s">
        <v>1936</v>
      </c>
      <c r="E28" s="2346" t="s">
        <v>1937</v>
      </c>
      <c r="F28" s="2348">
        <v>44377</v>
      </c>
    </row>
    <row r="29" spans="1:7" s="2345" customFormat="1" ht="20.25" customHeight="1">
      <c r="A29" s="2346"/>
      <c r="B29" s="2346"/>
      <c r="C29" s="2349"/>
      <c r="D29" s="2346" t="s">
        <v>1938</v>
      </c>
      <c r="E29" s="2350" t="s">
        <v>2932</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6" sqref="Y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2543</v>
      </c>
      <c r="R1" s="2600" t="s">
        <v>2537</v>
      </c>
      <c r="S1" s="6" t="s">
        <v>146</v>
      </c>
      <c r="T1" s="7" t="s">
        <v>147</v>
      </c>
      <c r="U1" s="6" t="s">
        <v>148</v>
      </c>
      <c r="V1" s="6" t="s">
        <v>149</v>
      </c>
      <c r="W1" s="999" t="s">
        <v>873</v>
      </c>
    </row>
    <row r="2" spans="1:23">
      <c r="A2" s="8" t="s">
        <v>73</v>
      </c>
      <c r="B2" s="8" t="s">
        <v>150</v>
      </c>
      <c r="C2" s="1546"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47"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46"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46" t="s">
        <v>1712</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4" t="s">
        <v>1640</v>
      </c>
      <c r="C6" s="1548" t="s">
        <v>1713</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46" t="s">
        <v>1714</v>
      </c>
      <c r="F7" s="9" t="s">
        <v>154</v>
      </c>
      <c r="H7" s="9" t="s">
        <v>104</v>
      </c>
      <c r="I7" s="9" t="s">
        <v>105</v>
      </c>
    </row>
    <row r="8" spans="1:23">
      <c r="A8" s="8" t="s">
        <v>106</v>
      </c>
      <c r="B8" s="8" t="s">
        <v>107</v>
      </c>
      <c r="C8" s="1546" t="s">
        <v>1715</v>
      </c>
      <c r="F8" s="9" t="s">
        <v>155</v>
      </c>
      <c r="H8" s="9"/>
      <c r="I8" s="9" t="s">
        <v>108</v>
      </c>
    </row>
    <row r="9" spans="1:23">
      <c r="A9" s="8" t="s">
        <v>109</v>
      </c>
      <c r="B9" s="8" t="s">
        <v>156</v>
      </c>
      <c r="C9" s="1546" t="s">
        <v>1716</v>
      </c>
      <c r="F9" s="9" t="s">
        <v>110</v>
      </c>
      <c r="H9" s="9"/>
    </row>
    <row r="10" spans="1:23">
      <c r="A10" s="8" t="s">
        <v>111</v>
      </c>
      <c r="B10" s="8" t="s">
        <v>157</v>
      </c>
      <c r="C10" s="1546" t="s">
        <v>1717</v>
      </c>
      <c r="F10" s="9" t="s">
        <v>6</v>
      </c>
    </row>
    <row r="11" spans="1:23">
      <c r="A11" s="8" t="s">
        <v>112</v>
      </c>
      <c r="B11" s="8" t="s">
        <v>158</v>
      </c>
      <c r="C11" s="1546" t="s">
        <v>1718</v>
      </c>
    </row>
    <row r="12" spans="1:23">
      <c r="A12" s="8" t="s">
        <v>113</v>
      </c>
      <c r="B12" s="8" t="s">
        <v>159</v>
      </c>
      <c r="C12" s="1546" t="s">
        <v>1719</v>
      </c>
    </row>
    <row r="13" spans="1:23">
      <c r="A13" s="8" t="s">
        <v>114</v>
      </c>
      <c r="B13" s="8" t="s">
        <v>160</v>
      </c>
      <c r="C13" s="1546" t="s">
        <v>1720</v>
      </c>
    </row>
    <row r="14" spans="1:23">
      <c r="A14" s="8" t="s">
        <v>115</v>
      </c>
      <c r="B14" s="8" t="s">
        <v>161</v>
      </c>
      <c r="C14" s="1549" t="s">
        <v>1896</v>
      </c>
    </row>
    <row r="15" spans="1:23">
      <c r="A15" s="8" t="s">
        <v>116</v>
      </c>
      <c r="B15" s="8" t="s">
        <v>1681</v>
      </c>
      <c r="C15" s="1549"/>
    </row>
    <row r="16" spans="1:23">
      <c r="A16" s="8" t="s">
        <v>117</v>
      </c>
      <c r="B16" s="8" t="s">
        <v>1682</v>
      </c>
      <c r="C16" s="1549"/>
    </row>
    <row r="17" spans="1:3">
      <c r="A17" s="8" t="s">
        <v>118</v>
      </c>
      <c r="B17" s="8" t="s">
        <v>1683</v>
      </c>
      <c r="C17" s="1549"/>
    </row>
    <row r="18" spans="1:3">
      <c r="A18" s="8" t="s">
        <v>119</v>
      </c>
      <c r="B18" s="3135" t="s">
        <v>2945</v>
      </c>
      <c r="C18" s="1549"/>
    </row>
    <row r="19" spans="1:3">
      <c r="A19" s="8" t="s">
        <v>120</v>
      </c>
      <c r="B19" s="3135" t="s">
        <v>2953</v>
      </c>
      <c r="C19" s="1549"/>
    </row>
    <row r="20" spans="1:3">
      <c r="A20" s="8" t="s">
        <v>121</v>
      </c>
      <c r="B20" s="8" t="s">
        <v>3162</v>
      </c>
      <c r="C20" s="1549"/>
    </row>
    <row r="21" spans="1:3">
      <c r="A21" s="8" t="s">
        <v>122</v>
      </c>
      <c r="B21" s="8" t="s">
        <v>1641</v>
      </c>
      <c r="C21" s="1549"/>
    </row>
    <row r="22" spans="1:3">
      <c r="A22" s="8" t="s">
        <v>123</v>
      </c>
      <c r="B22" s="8" t="s">
        <v>1641</v>
      </c>
      <c r="C22" s="1549"/>
    </row>
    <row r="23" spans="1:3">
      <c r="A23" s="8" t="s">
        <v>124</v>
      </c>
      <c r="B23" s="8" t="s">
        <v>1641</v>
      </c>
      <c r="C23" s="1549"/>
    </row>
    <row r="24" spans="1:3">
      <c r="A24" s="8" t="s">
        <v>12</v>
      </c>
      <c r="B24" s="8" t="s">
        <v>1641</v>
      </c>
      <c r="C24" s="1549"/>
    </row>
    <row r="25" spans="1:3">
      <c r="A25" s="8" t="s">
        <v>125</v>
      </c>
      <c r="B25" s="8" t="s">
        <v>1641</v>
      </c>
      <c r="C25" s="1549"/>
    </row>
    <row r="26" spans="1:3">
      <c r="A26" s="8" t="s">
        <v>126</v>
      </c>
      <c r="B26" s="8" t="s">
        <v>1641</v>
      </c>
      <c r="C26" s="1549"/>
    </row>
    <row r="27" spans="1:3">
      <c r="A27" s="8" t="s">
        <v>1641</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60" t="s">
        <v>1944</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鸿源锦置业有限公司拟使用武汉市江夏区纸坊街齐心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1986</v>
      </c>
      <c r="B52" s="1763" t="s">
        <v>1987</v>
      </c>
      <c r="C52" s="1761" t="s">
        <v>1988</v>
      </c>
      <c r="D52" s="1761" t="s">
        <v>1989</v>
      </c>
      <c r="E52" s="1762"/>
    </row>
    <row r="53" spans="1:5">
      <c r="A53" s="3246" t="s">
        <v>1990</v>
      </c>
      <c r="B53" s="1761" t="s">
        <v>1996</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c r="D53" s="1762"/>
      <c r="E53" s="1762"/>
    </row>
    <row r="54" spans="1:5">
      <c r="A54" s="3246"/>
      <c r="B54" s="1761" t="s">
        <v>1997</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46"/>
      <c r="B55" s="1761" t="s">
        <v>1991</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46"/>
      <c r="B56" s="1761" t="s">
        <v>1992</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46"/>
      <c r="B57" s="1761" t="s">
        <v>1993</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141</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土地案例清单</vt:lpstr>
      <vt:lpstr>'比较法-住宅、综合'!Print_Area</vt:lpstr>
      <vt:lpstr>'不动产比较法-商业'!Print_Area</vt:lpstr>
      <vt:lpstr>'不动产比较法-住宅'!Print_Area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2018-03-28T02:06:10Z</dcterms:modified>
</cp:coreProperties>
</file>