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洋房" sheetId="78" r:id="rId33"/>
    <sheet name="不动产比较法-高层" sheetId="21" state="hidden" r:id="rId34"/>
    <sheet name="不动产收益法-办公" sheetId="77" state="hidden" r:id="rId35"/>
    <sheet name="不动产收益法-商业" sheetId="15" r:id="rId36"/>
    <sheet name="酒店收入计算" sheetId="57" state="hidden" r:id="rId37"/>
    <sheet name="成本逼近法" sheetId="11" state="hidden" r:id="rId38"/>
    <sheet name="不动产收益法车库" sheetId="72"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E73" i="39" l="1"/>
  <c r="F73" i="39"/>
  <c r="G73" i="39" s="1"/>
  <c r="H73" i="39" s="1"/>
  <c r="I73" i="39" s="1"/>
  <c r="J73" i="39" s="1"/>
  <c r="K73" i="39" s="1"/>
  <c r="L73" i="39" s="1"/>
  <c r="M73" i="39" s="1"/>
  <c r="N73" i="39" s="1"/>
  <c r="E103" i="78"/>
  <c r="F103" i="78"/>
  <c r="G103" i="78" s="1"/>
  <c r="H103" i="78" s="1"/>
  <c r="I103" i="78" s="1"/>
  <c r="D103" i="78"/>
  <c r="D73" i="39"/>
  <c r="I7" i="78"/>
  <c r="G7" i="78"/>
  <c r="C15" i="66" l="1"/>
  <c r="B15" i="66"/>
  <c r="K13" i="3" l="1"/>
  <c r="I13" i="3"/>
  <c r="A3" i="3"/>
  <c r="F25" i="79"/>
  <c r="C40" i="39"/>
  <c r="I48" i="39"/>
  <c r="G48" i="39"/>
  <c r="E48" i="39"/>
  <c r="H4" i="80" l="1"/>
  <c r="H5" i="80"/>
  <c r="H6" i="80"/>
  <c r="H7" i="80"/>
  <c r="H8" i="80"/>
  <c r="H9" i="80"/>
  <c r="H10" i="80"/>
  <c r="H11" i="80"/>
  <c r="H12" i="80"/>
  <c r="H13" i="80"/>
  <c r="H14" i="80"/>
  <c r="H15" i="80"/>
  <c r="H3" i="80"/>
  <c r="J15" i="79" l="1"/>
  <c r="D15" i="79"/>
  <c r="H12" i="79"/>
  <c r="I12" i="79"/>
  <c r="H11" i="79"/>
  <c r="I11" i="79"/>
  <c r="H10" i="79"/>
  <c r="I10" i="79"/>
  <c r="H9" i="79"/>
  <c r="I9" i="79"/>
  <c r="H7" i="79"/>
  <c r="I7" i="79"/>
  <c r="H5" i="79"/>
  <c r="I5" i="79"/>
  <c r="H4" i="79"/>
  <c r="I4" i="79"/>
  <c r="H3" i="79"/>
  <c r="I3" i="79"/>
  <c r="H6" i="79"/>
  <c r="I6" i="79"/>
  <c r="H8" i="79"/>
  <c r="I8" i="79"/>
  <c r="H13" i="79"/>
  <c r="I13" i="79"/>
  <c r="H14" i="79"/>
  <c r="I14" i="79"/>
  <c r="J14" i="79"/>
  <c r="I15" i="79"/>
  <c r="H15" i="79"/>
  <c r="F40" i="39"/>
  <c r="AA40" i="39" s="1"/>
  <c r="H40" i="39"/>
  <c r="AB40" i="39" s="1"/>
  <c r="J40" i="39"/>
  <c r="AC40" i="39" s="1"/>
  <c r="J3" i="79"/>
  <c r="J4" i="79"/>
  <c r="J5" i="79"/>
  <c r="J6" i="79"/>
  <c r="J7" i="79"/>
  <c r="J8" i="79"/>
  <c r="J9" i="79"/>
  <c r="J10" i="79"/>
  <c r="J11" i="79"/>
  <c r="J12" i="79"/>
  <c r="J13" i="79"/>
  <c r="U6" i="79"/>
  <c r="K16" i="66"/>
  <c r="K17" i="66"/>
  <c r="K18" i="66"/>
  <c r="L16" i="66"/>
  <c r="L17" i="66"/>
  <c r="L18" i="66"/>
  <c r="D3" i="4"/>
  <c r="F20" i="6"/>
  <c r="E20" i="6" s="1"/>
  <c r="BB13" i="3"/>
  <c r="BB5" i="3" s="1"/>
  <c r="BC13" i="3"/>
  <c r="BC5" i="3" s="1"/>
  <c r="E10" i="6" s="1"/>
  <c r="H13" i="3"/>
  <c r="G13" i="3" s="1"/>
  <c r="G5" i="3" s="1"/>
  <c r="B3" i="3" s="1"/>
  <c r="E176" i="3" s="1"/>
  <c r="F19" i="6"/>
  <c r="E19" i="6" s="1"/>
  <c r="K6" i="1" s="1"/>
  <c r="L20" i="6"/>
  <c r="L7" i="1"/>
  <c r="K14" i="1"/>
  <c r="L14" i="1"/>
  <c r="M14" i="1" s="1"/>
  <c r="S8" i="1"/>
  <c r="S9" i="1"/>
  <c r="S10" i="1"/>
  <c r="S11" i="1"/>
  <c r="S12" i="1"/>
  <c r="S13" i="1"/>
  <c r="L46" i="15"/>
  <c r="D3" i="78"/>
  <c r="M6" i="1"/>
  <c r="K8" i="1"/>
  <c r="M8" i="1" s="1"/>
  <c r="K9" i="1"/>
  <c r="K10" i="1"/>
  <c r="M10" i="1" s="1"/>
  <c r="O10" i="1" s="1"/>
  <c r="K11" i="1"/>
  <c r="M11" i="1" s="1"/>
  <c r="K12" i="1"/>
  <c r="M12" i="1" s="1"/>
  <c r="K13" i="1"/>
  <c r="M13" i="1" s="1"/>
  <c r="K15" i="66"/>
  <c r="I40" i="39"/>
  <c r="G40" i="39"/>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3" i="3"/>
  <c r="BE13" i="3"/>
  <c r="BF13" i="3"/>
  <c r="BG13" i="3"/>
  <c r="BH13" i="3"/>
  <c r="BI13" i="3"/>
  <c r="BJ13" i="3"/>
  <c r="BK13" i="3"/>
  <c r="BM13" i="3"/>
  <c r="BN13" i="3"/>
  <c r="BO13" i="3"/>
  <c r="BP13" i="3"/>
  <c r="BQ13" i="3"/>
  <c r="BR13" i="3"/>
  <c r="BS13" i="3"/>
  <c r="BT13" i="3"/>
  <c r="BL13" i="3"/>
  <c r="H14" i="3"/>
  <c r="AC14" i="3"/>
  <c r="G14" i="3"/>
  <c r="H15" i="3"/>
  <c r="G15" i="3"/>
  <c r="AC13" i="3"/>
  <c r="E21" i="6"/>
  <c r="BQ5" i="3"/>
  <c r="BS5" i="3"/>
  <c r="F28" i="6"/>
  <c r="BR5" i="3"/>
  <c r="BT5" i="3"/>
  <c r="G28" i="6"/>
  <c r="E28" i="6"/>
  <c r="BM5" i="3"/>
  <c r="BO5" i="3"/>
  <c r="F29" i="6"/>
  <c r="BN5" i="3"/>
  <c r="BP5" i="3"/>
  <c r="G29" i="6"/>
  <c r="E29" i="6"/>
  <c r="BE10" i="3"/>
  <c r="F30" i="6"/>
  <c r="D69" i="78"/>
  <c r="E69" i="78" s="1"/>
  <c r="F69" i="78" s="1"/>
  <c r="G69" i="78" s="1"/>
  <c r="H69" i="78" s="1"/>
  <c r="I69" i="78" s="1"/>
  <c r="J69" i="78" s="1"/>
  <c r="K69" i="78" s="1"/>
  <c r="L69" i="78" s="1"/>
  <c r="M69" i="78" s="1"/>
  <c r="R47" i="78"/>
  <c r="F42" i="78"/>
  <c r="AA42" i="78"/>
  <c r="T47" i="78"/>
  <c r="H42" i="78"/>
  <c r="AB42" i="78"/>
  <c r="V47" i="78"/>
  <c r="J42" i="78"/>
  <c r="AC42" i="78"/>
  <c r="C5" i="78"/>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s="1"/>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F66" i="78"/>
  <c r="G66" i="78"/>
  <c r="H66" i="78"/>
  <c r="I66" i="78"/>
  <c r="D66" i="78"/>
  <c r="E66" i="78"/>
  <c r="C63" i="78"/>
  <c r="I54" i="78"/>
  <c r="J54" i="78" s="1"/>
  <c r="G54" i="78"/>
  <c r="H54" i="78" s="1"/>
  <c r="E54" i="78"/>
  <c r="F54" i="78" s="1"/>
  <c r="P49" i="78"/>
  <c r="P48"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s="1"/>
  <c r="H21" i="78"/>
  <c r="AB21" i="78" s="1"/>
  <c r="F21" i="78"/>
  <c r="AA21" i="78" s="1"/>
  <c r="C21" i="78"/>
  <c r="Q19" i="78"/>
  <c r="Z19" i="78"/>
  <c r="C19" i="78"/>
  <c r="Q17" i="78"/>
  <c r="Z17" i="78"/>
  <c r="C17" i="78"/>
  <c r="Q15" i="78"/>
  <c r="Z15" i="78"/>
  <c r="J15" i="78"/>
  <c r="AC15" i="78" s="1"/>
  <c r="H15" i="78"/>
  <c r="AB15" i="78" s="1"/>
  <c r="F15" i="78"/>
  <c r="AA15" i="78" s="1"/>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c r="D23" i="77"/>
  <c r="D22" i="77"/>
  <c r="F21" i="77"/>
  <c r="F20" i="77"/>
  <c r="M19" i="77"/>
  <c r="F18" i="77"/>
  <c r="M17" i="77"/>
  <c r="F17" i="77"/>
  <c r="F15" i="77"/>
  <c r="U32" i="78"/>
  <c r="AB8" i="78"/>
  <c r="S9" i="78"/>
  <c r="W9" i="78"/>
  <c r="U10" i="78"/>
  <c r="S12" i="78"/>
  <c r="W12" i="78"/>
  <c r="U13" i="78"/>
  <c r="S14" i="78"/>
  <c r="W14" i="78"/>
  <c r="S15" i="78"/>
  <c r="W21" i="78"/>
  <c r="U25" i="78"/>
  <c r="S26" i="78"/>
  <c r="W26" i="78"/>
  <c r="U27" i="78"/>
  <c r="S28" i="78"/>
  <c r="W28" i="78"/>
  <c r="U29" i="78"/>
  <c r="S30" i="78"/>
  <c r="W30" i="78"/>
  <c r="S31" i="78"/>
  <c r="U9" i="78"/>
  <c r="S10" i="78"/>
  <c r="W10" i="78"/>
  <c r="U12" i="78"/>
  <c r="S13" i="78"/>
  <c r="W13" i="78"/>
  <c r="U14" i="78"/>
  <c r="U21"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123" i="21"/>
  <c r="E123" i="21"/>
  <c r="F123" i="21"/>
  <c r="D69" i="21"/>
  <c r="E69" i="21"/>
  <c r="F69" i="21"/>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E22" i="6"/>
  <c r="E23" i="6"/>
  <c r="E24" i="6"/>
  <c r="E25" i="6"/>
  <c r="E26" i="6"/>
  <c r="BB10" i="3"/>
  <c r="BC10" i="3"/>
  <c r="BD10" i="3"/>
  <c r="BF10" i="3"/>
  <c r="BG10" i="3"/>
  <c r="BH10" i="3"/>
  <c r="BI10" i="3"/>
  <c r="BJ10" i="3"/>
  <c r="BK10" i="3"/>
  <c r="A6" i="1"/>
  <c r="B6" i="1"/>
  <c r="E6" i="1"/>
  <c r="A7" i="1"/>
  <c r="B7" i="1"/>
  <c r="E7" i="1"/>
  <c r="A8" i="1"/>
  <c r="B43" i="1"/>
  <c r="B41" i="1"/>
  <c r="F33" i="72"/>
  <c r="F60" i="72"/>
  <c r="L21" i="6"/>
  <c r="B52" i="1"/>
  <c r="F34" i="72" s="1"/>
  <c r="F61" i="72" s="1"/>
  <c r="T4" i="1"/>
  <c r="A9" i="1"/>
  <c r="B9" i="1"/>
  <c r="E9" i="1"/>
  <c r="A10" i="1"/>
  <c r="A11" i="1"/>
  <c r="A12" i="1"/>
  <c r="A13" i="1"/>
  <c r="F15" i="72"/>
  <c r="F17" i="72"/>
  <c r="F18" i="72"/>
  <c r="F20" i="72"/>
  <c r="B22" i="1"/>
  <c r="C2" i="65"/>
  <c r="I1" i="65"/>
  <c r="F23" i="72"/>
  <c r="D23" i="72"/>
  <c r="F21" i="72"/>
  <c r="M47" i="72"/>
  <c r="J50" i="72"/>
  <c r="M47"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I4" i="6" s="1"/>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s="1"/>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s="1"/>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P16" i="4" s="1"/>
  <c r="O16" i="4"/>
  <c r="M16" i="4"/>
  <c r="L16" i="4" s="1"/>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s="1"/>
  <c r="F105" i="39" s="1"/>
  <c r="G105" i="39" s="1"/>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F19" i="4"/>
  <c r="F10" i="1"/>
  <c r="G10" i="1" s="1"/>
  <c r="B2" i="52"/>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C18" i="9"/>
  <c r="M43" i="9"/>
  <c r="F17" i="44"/>
  <c r="F19" i="44"/>
  <c r="F22" i="44"/>
  <c r="F25" i="44"/>
  <c r="D25" i="44"/>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c r="F95" i="39"/>
  <c r="G95" i="39"/>
  <c r="D93" i="39"/>
  <c r="E93" i="39" s="1"/>
  <c r="D91" i="39"/>
  <c r="E91" i="39" s="1"/>
  <c r="B88" i="39"/>
  <c r="F16" i="39" s="1"/>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s="1"/>
  <c r="J33" i="39"/>
  <c r="AC33" i="39" s="1"/>
  <c r="F44" i="39"/>
  <c r="S44" i="39"/>
  <c r="H44" i="39"/>
  <c r="U44" i="39"/>
  <c r="J44" i="39"/>
  <c r="W44" i="39"/>
  <c r="E128" i="39"/>
  <c r="F128" i="39"/>
  <c r="G128" i="39"/>
  <c r="H128" i="39"/>
  <c r="I128" i="39"/>
  <c r="J128" i="39"/>
  <c r="K128" i="39"/>
  <c r="L128" i="39"/>
  <c r="M128" i="39"/>
  <c r="F46" i="39"/>
  <c r="H46" i="39"/>
  <c r="J46" i="39"/>
  <c r="W46" i="39"/>
  <c r="E103"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F15" i="40"/>
  <c r="AA15" i="40"/>
  <c r="J15" i="40"/>
  <c r="AC15" i="40"/>
  <c r="H15" i="40"/>
  <c r="AB15" i="40"/>
  <c r="E92" i="40"/>
  <c r="F92" i="40"/>
  <c r="H23" i="40"/>
  <c r="U23" i="40"/>
  <c r="H41" i="40"/>
  <c r="AB41" i="40"/>
  <c r="F41" i="40"/>
  <c r="AA41" i="40"/>
  <c r="J41" i="40"/>
  <c r="H36" i="33"/>
  <c r="AB36" i="33"/>
  <c r="H37" i="34"/>
  <c r="U37" i="34"/>
  <c r="F15" i="39"/>
  <c r="S15" i="39" s="1"/>
  <c r="H15" i="39"/>
  <c r="U15" i="39"/>
  <c r="J15" i="39"/>
  <c r="AC15" i="39" s="1"/>
  <c r="H25" i="39"/>
  <c r="J25" i="39"/>
  <c r="AC25" i="39"/>
  <c r="F25" i="39"/>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AA14" i="35"/>
  <c r="S14" i="35"/>
  <c r="F33" i="37"/>
  <c r="AA14" i="34"/>
  <c r="U17" i="34"/>
  <c r="W32" i="33"/>
  <c r="H15" i="33"/>
  <c r="U15" i="33"/>
  <c r="AA11" i="33"/>
  <c r="U16" i="40"/>
  <c r="AB34" i="40"/>
  <c r="AB42" i="40"/>
  <c r="U42" i="40"/>
  <c r="AC16" i="40"/>
  <c r="W32" i="40"/>
  <c r="H25" i="40"/>
  <c r="AB25" i="40"/>
  <c r="G94" i="40"/>
  <c r="J37" i="34"/>
  <c r="AC37" i="34"/>
  <c r="J36" i="33"/>
  <c r="W36" i="33"/>
  <c r="S41" i="40"/>
  <c r="AB23" i="40"/>
  <c r="S15" i="34"/>
  <c r="AA15" i="34"/>
  <c r="AA41" i="33"/>
  <c r="F106" i="33"/>
  <c r="G106" i="33"/>
  <c r="H106" i="33"/>
  <c r="I106" i="33"/>
  <c r="J106" i="33"/>
  <c r="K106" i="33"/>
  <c r="L106" i="33"/>
  <c r="M106" i="33"/>
  <c r="J34" i="33"/>
  <c r="AC34" i="33"/>
  <c r="AA37" i="39"/>
  <c r="W29" i="35"/>
  <c r="W39" i="39"/>
  <c r="AA39" i="39"/>
  <c r="S39" i="39"/>
  <c r="AB44"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15" i="39"/>
  <c r="AB31" i="39"/>
  <c r="AB33" i="39"/>
  <c r="AC21" i="39"/>
  <c r="J31" i="39"/>
  <c r="AC31" i="39" s="1"/>
  <c r="AC37" i="39"/>
  <c r="AC44" i="39"/>
  <c r="D18" i="9"/>
  <c r="M44" i="9"/>
  <c r="C24" i="9"/>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W42" i="39"/>
  <c r="W36" i="39"/>
  <c r="W25" i="39"/>
  <c r="W10"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s="1"/>
  <c r="E4" i="4"/>
  <c r="B21" i="55"/>
  <c r="B72" i="63"/>
  <c r="C4" i="4"/>
  <c r="B20" i="55"/>
  <c r="B70" i="63"/>
  <c r="G66" i="36"/>
  <c r="J18" i="36"/>
  <c r="W18" i="36"/>
  <c r="AE6" i="1"/>
  <c r="F33" i="44"/>
  <c r="F31" i="15"/>
  <c r="F58" i="15"/>
  <c r="M17" i="15"/>
  <c r="M19" i="44"/>
  <c r="AC18" i="36"/>
  <c r="C45" i="9"/>
  <c r="D77" i="9"/>
  <c r="N75" i="9"/>
  <c r="K31" i="9"/>
  <c r="K32"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A30" i="3"/>
  <c r="BL27" i="3"/>
  <c r="BL23" i="3"/>
  <c r="F23" i="21"/>
  <c r="H23" i="21"/>
  <c r="J23" i="21"/>
  <c r="AC23" i="21"/>
  <c r="F85" i="21"/>
  <c r="G85" i="21"/>
  <c r="J19" i="21"/>
  <c r="H15" i="21"/>
  <c r="U15" i="21"/>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N50" i="59"/>
  <c r="D44" i="59"/>
  <c r="D36" i="59"/>
  <c r="D24" i="44"/>
  <c r="F32" i="77"/>
  <c r="F59" i="77"/>
  <c r="F28" i="77"/>
  <c r="M18" i="77"/>
  <c r="G1" i="77"/>
  <c r="F3" i="35"/>
  <c r="N16" i="4"/>
  <c r="AP6" i="1"/>
  <c r="R16" i="4"/>
  <c r="G26" i="3"/>
  <c r="G25" i="3"/>
  <c r="G24" i="3"/>
  <c r="BL28" i="3"/>
  <c r="AZ28" i="3"/>
  <c r="AZ30" i="3"/>
  <c r="BA16" i="3"/>
  <c r="AZ16" i="3"/>
  <c r="BL31" i="3"/>
  <c r="BL22" i="3"/>
  <c r="BA22" i="3"/>
  <c r="BG5" i="3"/>
  <c r="C92" i="9"/>
  <c r="D22" i="72"/>
  <c r="G23" i="43"/>
  <c r="D26" i="44"/>
  <c r="G26" i="12"/>
  <c r="G28" i="12"/>
  <c r="B11" i="1"/>
  <c r="E11" i="1"/>
  <c r="G1" i="15"/>
  <c r="K1" i="43"/>
  <c r="G1" i="44"/>
  <c r="BL26" i="3"/>
  <c r="BL25" i="3"/>
  <c r="BA20" i="3"/>
  <c r="AZ20" i="3"/>
  <c r="G21" i="3"/>
  <c r="E9" i="12"/>
  <c r="BA26" i="3"/>
  <c r="AZ26" i="3"/>
  <c r="G27" i="3"/>
  <c r="G23" i="3"/>
  <c r="G16" i="3"/>
  <c r="BK5" i="3"/>
  <c r="BI5" i="3"/>
  <c r="BE5" i="3"/>
  <c r="BJ5" i="3"/>
  <c r="BH5" i="3"/>
  <c r="BF5" i="3"/>
  <c r="G18" i="3"/>
  <c r="W36" i="21"/>
  <c r="G83" i="39"/>
  <c r="H83" i="39"/>
  <c r="I83" i="39"/>
  <c r="J83" i="39"/>
  <c r="K83" i="39"/>
  <c r="L83" i="39"/>
  <c r="M83" i="39"/>
  <c r="C16" i="46"/>
  <c r="C5" i="46"/>
  <c r="K1" i="12"/>
  <c r="U35" i="21"/>
  <c r="W23" i="21"/>
  <c r="W15" i="21"/>
  <c r="G123" i="21"/>
  <c r="H123" i="21"/>
  <c r="I123" i="21"/>
  <c r="J123" i="21"/>
  <c r="K123" i="21"/>
  <c r="L123" i="21"/>
  <c r="M123" i="21"/>
  <c r="J42" i="21"/>
  <c r="W42" i="21"/>
  <c r="H42" i="2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c r="M20" i="72"/>
  <c r="AC5" i="3"/>
  <c r="BL18" i="3"/>
  <c r="BA18" i="3"/>
  <c r="BL17" i="3"/>
  <c r="G17" i="3"/>
  <c r="G1" i="72"/>
  <c r="D9" i="12"/>
  <c r="G3" i="46"/>
  <c r="AG11" i="46" s="1"/>
  <c r="AG13" i="46" s="1"/>
  <c r="T41" i="4"/>
  <c r="A17" i="64"/>
  <c r="K5" i="54"/>
  <c r="L5" i="54"/>
  <c r="B39" i="63"/>
  <c r="G12" i="1"/>
  <c r="G13" i="1"/>
  <c r="C20" i="46"/>
  <c r="AC46" i="33"/>
  <c r="W46" i="33"/>
  <c r="W13" i="34"/>
  <c r="AC13" i="34"/>
  <c r="AC29" i="34"/>
  <c r="W29" i="34"/>
  <c r="AB31" i="34"/>
  <c r="U31" i="34"/>
  <c r="U45" i="34"/>
  <c r="AB45" i="34"/>
  <c r="AA47" i="34"/>
  <c r="S47" i="34"/>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W33" i="36"/>
  <c r="AB30" i="33"/>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AA25" i="39"/>
  <c r="S25" i="39"/>
  <c r="U25" i="39"/>
  <c r="AB25" i="39"/>
  <c r="AB36" i="35"/>
  <c r="S39" i="34"/>
  <c r="S34" i="33"/>
  <c r="AA34" i="33"/>
  <c r="F29" i="39"/>
  <c r="AA29" i="39" s="1"/>
  <c r="F103" i="39"/>
  <c r="J29" i="39" s="1"/>
  <c r="G103" i="39"/>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U8" i="36"/>
  <c r="AB8" i="36"/>
  <c r="H12" i="36"/>
  <c r="AA23" i="36"/>
  <c r="S23" i="36"/>
  <c r="AC23" i="36"/>
  <c r="W23" i="36"/>
  <c r="AB26" i="36"/>
  <c r="U26" i="36"/>
  <c r="H13" i="36"/>
  <c r="J13" i="36"/>
  <c r="S32" i="36"/>
  <c r="AA32" i="36"/>
  <c r="H33" i="36"/>
  <c r="F33" i="36"/>
  <c r="AA26" i="37"/>
  <c r="S26" i="37"/>
  <c r="AC35" i="37"/>
  <c r="W35" i="37"/>
  <c r="AB36" i="37"/>
  <c r="U36" i="37"/>
  <c r="F33" i="39"/>
  <c r="H126" i="39"/>
  <c r="I126" i="39"/>
  <c r="J126" i="39"/>
  <c r="K126" i="39"/>
  <c r="L126" i="39"/>
  <c r="M126" i="39"/>
  <c r="H43" i="39"/>
  <c r="J43" i="39"/>
  <c r="H35" i="40"/>
  <c r="F35" i="40"/>
  <c r="J35" i="40"/>
  <c r="AC31" i="35"/>
  <c r="W31" i="35"/>
  <c r="AA30" i="36"/>
  <c r="S30" i="36"/>
  <c r="AB33" i="37"/>
  <c r="U33" i="37"/>
  <c r="W35" i="33"/>
  <c r="AC35" i="33"/>
  <c r="S32" i="37"/>
  <c r="AA32" i="37"/>
  <c r="U41" i="33"/>
  <c r="AB41" i="33"/>
  <c r="U14" i="40"/>
  <c r="AB14" i="40"/>
  <c r="AC34" i="40"/>
  <c r="W34" i="40"/>
  <c r="AB47" i="39"/>
  <c r="U47" i="39"/>
  <c r="AC45" i="39"/>
  <c r="W45" i="39"/>
  <c r="AA1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AC14" i="39" s="1"/>
  <c r="H16" i="39"/>
  <c r="AB16" i="39" s="1"/>
  <c r="F38" i="39"/>
  <c r="J38" i="39"/>
  <c r="H38" i="39"/>
  <c r="S22" i="31"/>
  <c r="D18" i="59"/>
  <c r="C19" i="59"/>
  <c r="F7" i="59"/>
  <c r="F6" i="59"/>
  <c r="F5" i="59"/>
  <c r="V8" i="59"/>
  <c r="D3" i="21"/>
  <c r="E32" i="6"/>
  <c r="AZ562" i="3"/>
  <c r="AZ550" i="3"/>
  <c r="D1" i="57"/>
  <c r="E10" i="57"/>
  <c r="D38" i="59"/>
  <c r="C39" i="59"/>
  <c r="C7" i="59"/>
  <c r="T8" i="59"/>
  <c r="D8" i="59"/>
  <c r="F37" i="21"/>
  <c r="J37" i="21"/>
  <c r="H37" i="21"/>
  <c r="AZ572" i="3"/>
  <c r="AZ568" i="3"/>
  <c r="AZ564" i="3"/>
  <c r="AZ556" i="3"/>
  <c r="AZ552" i="3"/>
  <c r="AZ536" i="3"/>
  <c r="L100" i="46"/>
  <c r="S21" i="34"/>
  <c r="F31" i="39"/>
  <c r="AA31" i="39" s="1"/>
  <c r="C70" i="59"/>
  <c r="D70" i="59"/>
  <c r="C67" i="59"/>
  <c r="C63" i="59"/>
  <c r="D56" i="59"/>
  <c r="E55" i="59"/>
  <c r="E54" i="59"/>
  <c r="D26" i="59"/>
  <c r="S52" i="59"/>
  <c r="AC12" i="46"/>
  <c r="AG12" i="46"/>
  <c r="Z12" i="46"/>
  <c r="AF12" i="46"/>
  <c r="C23" i="59"/>
  <c r="C15" i="59"/>
  <c r="X6" i="59"/>
  <c r="Y6" i="59"/>
  <c r="Z6" i="59"/>
  <c r="F34" i="15"/>
  <c r="F61" i="15" s="1"/>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57" i="3"/>
  <c r="AZ57" i="3"/>
  <c r="BA53" i="3"/>
  <c r="AZ53" i="3"/>
  <c r="BA49" i="3"/>
  <c r="AZ49" i="3"/>
  <c r="BA45" i="3"/>
  <c r="AZ45" i="3"/>
  <c r="BA41" i="3"/>
  <c r="AZ41" i="3"/>
  <c r="BA37" i="3"/>
  <c r="AZ37" i="3"/>
  <c r="BA33" i="3"/>
  <c r="AZ33" i="3"/>
  <c r="BA29" i="3"/>
  <c r="AZ29" i="3"/>
  <c r="BA25" i="3"/>
  <c r="AZ25" i="3"/>
  <c r="BA21" i="3"/>
  <c r="AZ21" i="3"/>
  <c r="BA17" i="3"/>
  <c r="AZ17" i="3"/>
  <c r="AZ22" i="3"/>
  <c r="BL5" i="3"/>
  <c r="AZ18" i="3"/>
  <c r="AC42" i="21"/>
  <c r="S42" i="21"/>
  <c r="AA42" i="21"/>
  <c r="U42" i="21"/>
  <c r="AB42" i="21"/>
  <c r="L19" i="6"/>
  <c r="G30" i="6"/>
  <c r="G31" i="6"/>
  <c r="B38" i="63"/>
  <c r="A3" i="55"/>
  <c r="B56" i="63"/>
  <c r="A17" i="51"/>
  <c r="B13" i="63"/>
  <c r="D15" i="59"/>
  <c r="C16" i="59"/>
  <c r="C62" i="59"/>
  <c r="D62" i="59"/>
  <c r="D63" i="59"/>
  <c r="AB37" i="21"/>
  <c r="U37" i="21"/>
  <c r="AA37" i="21"/>
  <c r="S37" i="21"/>
  <c r="C40" i="59"/>
  <c r="D39" i="59"/>
  <c r="D19" i="59"/>
  <c r="C20" i="59"/>
  <c r="B20" i="31"/>
  <c r="R22" i="31"/>
  <c r="B21" i="31"/>
  <c r="W38" i="39"/>
  <c r="AC38"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W35" i="21"/>
  <c r="AC35" i="21"/>
  <c r="S35" i="40"/>
  <c r="AA35" i="40"/>
  <c r="AC43" i="39"/>
  <c r="W43" i="39"/>
  <c r="U33" i="36"/>
  <c r="AB33" i="36"/>
  <c r="AB13" i="36"/>
  <c r="U13" i="36"/>
  <c r="S24" i="35"/>
  <c r="AA24" i="35"/>
  <c r="S12" i="35"/>
  <c r="AA12" i="35"/>
  <c r="AB12" i="35"/>
  <c r="U12" i="35"/>
  <c r="W26" i="33"/>
  <c r="AC26" i="33"/>
  <c r="U29" i="34"/>
  <c r="AB29" i="34"/>
  <c r="D23" i="59"/>
  <c r="C24" i="59"/>
  <c r="C66" i="59"/>
  <c r="D66" i="59"/>
  <c r="D67" i="59"/>
  <c r="AC37" i="21"/>
  <c r="W37" i="21"/>
  <c r="D7" i="59"/>
  <c r="C6" i="59"/>
  <c r="AB38" i="39"/>
  <c r="U38" i="39"/>
  <c r="AA38" i="39"/>
  <c r="S38" i="39"/>
  <c r="W14" i="39"/>
  <c r="S14" i="39"/>
  <c r="AA14" i="39"/>
  <c r="AA39" i="37"/>
  <c r="S39" i="37"/>
  <c r="W34" i="36"/>
  <c r="AC34" i="36"/>
  <c r="U24" i="36"/>
  <c r="AB24" i="36"/>
  <c r="U25" i="35"/>
  <c r="AB25" i="35"/>
  <c r="U13" i="35"/>
  <c r="AB13" i="35"/>
  <c r="W31" i="33"/>
  <c r="AC31" i="33"/>
  <c r="AA12" i="33"/>
  <c r="S12" i="33"/>
  <c r="AC12" i="33"/>
  <c r="W12" i="33"/>
  <c r="AC9" i="35"/>
  <c r="W9" i="35"/>
  <c r="AA27" i="34"/>
  <c r="S27" i="34"/>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29" i="39"/>
  <c r="AE11" i="1"/>
  <c r="AE8" i="1"/>
  <c r="K15" i="1"/>
  <c r="E30" i="6"/>
  <c r="E526" i="3"/>
  <c r="E441" i="3"/>
  <c r="E396" i="3"/>
  <c r="E519" i="3"/>
  <c r="E246" i="3"/>
  <c r="E560" i="3"/>
  <c r="T20" i="59"/>
  <c r="D20" i="59"/>
  <c r="D40" i="59"/>
  <c r="T40" i="59"/>
  <c r="D6" i="59"/>
  <c r="C5" i="59"/>
  <c r="T24" i="59"/>
  <c r="D24" i="59"/>
  <c r="D16" i="59"/>
  <c r="T16" i="59"/>
  <c r="AE10" i="1"/>
  <c r="AE9" i="1"/>
  <c r="D5" i="59"/>
  <c r="R10" i="1"/>
  <c r="R8" i="1"/>
  <c r="R11" i="1"/>
  <c r="R9" i="1"/>
  <c r="J22" i="46"/>
  <c r="H34" i="39" l="1"/>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F19" i="39"/>
  <c r="H17" i="39"/>
  <c r="F17" i="39"/>
  <c r="F93" i="39"/>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AZ5" i="3" s="1"/>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M16" i="1" s="1"/>
  <c r="AQ11" i="1"/>
  <c r="O13" i="1"/>
  <c r="P13" i="1" s="1"/>
  <c r="F33" i="78"/>
  <c r="H33" i="78"/>
  <c r="J33" i="78"/>
  <c r="C103" i="46"/>
  <c r="C109" i="46"/>
  <c r="C106" i="46"/>
  <c r="L107" i="46"/>
  <c r="L105" i="46"/>
  <c r="L104" i="46"/>
  <c r="L109" i="46"/>
  <c r="I103" i="46"/>
  <c r="I106" i="46"/>
  <c r="I107" i="46"/>
  <c r="O14" i="1"/>
  <c r="P14" i="1" s="1"/>
  <c r="K16" i="1"/>
  <c r="K20" i="6"/>
  <c r="K19" i="6"/>
  <c r="K22" i="6"/>
  <c r="M22" i="6" s="1"/>
  <c r="I22" i="6" s="1"/>
  <c r="S22" i="6" s="1"/>
  <c r="K25" i="6"/>
  <c r="M25" i="6" s="1"/>
  <c r="I25" i="6" s="1"/>
  <c r="S25" i="6" s="1"/>
  <c r="K23" i="6"/>
  <c r="M23" i="6" s="1"/>
  <c r="I23" i="6" s="1"/>
  <c r="S23" i="6" s="1"/>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AY6" i="3"/>
  <c r="E3" i="6"/>
  <c r="E8" i="6"/>
  <c r="E15" i="6"/>
  <c r="E11" i="6"/>
  <c r="E13" i="6"/>
  <c r="E5" i="6"/>
  <c r="E12" i="6"/>
  <c r="E14" i="6"/>
  <c r="U40" i="39"/>
  <c r="B4" i="52"/>
  <c r="E16" i="52"/>
  <c r="E6" i="52"/>
  <c r="E4" i="52"/>
  <c r="B16" i="52"/>
  <c r="E7" i="52"/>
  <c r="B10" i="52"/>
  <c r="E9" i="52"/>
  <c r="B6" i="52"/>
  <c r="E8" i="52"/>
  <c r="E21" i="52"/>
  <c r="B9" i="52"/>
  <c r="E5" i="52"/>
  <c r="B5" i="52"/>
  <c r="B22" i="52"/>
  <c r="B11" i="52"/>
  <c r="B7" i="52"/>
  <c r="AC34" i="39" l="1"/>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E31" i="6"/>
  <c r="K24" i="6"/>
  <c r="M24" i="6" s="1"/>
  <c r="I24" i="6" s="1"/>
  <c r="S24" i="6" s="1"/>
  <c r="K26" i="6"/>
  <c r="M26" i="6" s="1"/>
  <c r="I26" i="6" s="1"/>
  <c r="S26" i="6" s="1"/>
  <c r="K21" i="6"/>
  <c r="M21" i="6" s="1"/>
  <c r="I21" i="6" s="1"/>
  <c r="S21" i="6" s="1"/>
  <c r="C104" i="46"/>
  <c r="C102" i="46"/>
  <c r="C107" i="46"/>
  <c r="C105" i="46"/>
  <c r="F33" i="12"/>
  <c r="H12" i="39"/>
  <c r="H12" i="40"/>
  <c r="J12" i="40"/>
  <c r="J12" i="39"/>
  <c r="F12" i="39"/>
  <c r="F12" i="40"/>
  <c r="O7" i="1"/>
  <c r="O16" i="1" s="1"/>
  <c r="L106" i="46"/>
  <c r="L102" i="46"/>
  <c r="L103" i="46"/>
  <c r="I104" i="46"/>
  <c r="I109" i="46"/>
  <c r="I102" i="46"/>
  <c r="I105" i="46"/>
  <c r="E66" i="39"/>
  <c r="E61" i="40"/>
  <c r="D21" i="12"/>
  <c r="C21" i="12" s="1"/>
  <c r="D12" i="11"/>
  <c r="C12" i="11" s="1"/>
  <c r="E63" i="39"/>
  <c r="E58" i="40"/>
  <c r="F27" i="6"/>
  <c r="F31" i="6" s="1"/>
  <c r="E58" i="39"/>
  <c r="E53" i="40"/>
  <c r="E16" i="6"/>
  <c r="D3" i="6"/>
  <c r="AY549" i="3"/>
  <c r="AY69" i="3"/>
  <c r="AY88" i="3"/>
  <c r="AY530" i="3"/>
  <c r="AY97" i="3"/>
  <c r="AY26" i="3"/>
  <c r="AY129" i="3"/>
  <c r="AY529" i="3"/>
  <c r="AY104" i="3"/>
  <c r="AY145" i="3"/>
  <c r="AY259" i="3"/>
  <c r="AY248" i="3"/>
  <c r="AY368" i="3"/>
  <c r="AY472" i="3"/>
  <c r="AY409" i="3"/>
  <c r="AY96" i="3"/>
  <c r="AY171" i="3"/>
  <c r="AY233" i="3"/>
  <c r="AY365" i="3"/>
  <c r="AY329" i="3"/>
  <c r="AY471" i="3"/>
  <c r="AY131" i="3"/>
  <c r="AY288" i="3"/>
  <c r="AY371" i="3"/>
  <c r="AY318" i="3"/>
  <c r="BA6" i="3"/>
  <c r="AY249" i="3"/>
  <c r="AY561" i="3"/>
  <c r="AY486" i="3"/>
  <c r="AY80" i="3"/>
  <c r="AY67" i="3"/>
  <c r="AY58" i="3"/>
  <c r="AY159" i="3"/>
  <c r="AY179" i="3"/>
  <c r="AY105" i="3"/>
  <c r="AY274" i="3"/>
  <c r="AY293" i="3"/>
  <c r="AY275" i="3"/>
  <c r="AY386" i="3"/>
  <c r="AY556" i="3"/>
  <c r="AY411" i="3"/>
  <c r="AY414" i="3"/>
  <c r="AY187" i="3"/>
  <c r="AY114" i="3"/>
  <c r="AY271" i="3"/>
  <c r="AY304" i="3"/>
  <c r="AY445" i="3"/>
  <c r="AY38" i="3"/>
  <c r="AY87" i="3"/>
  <c r="AY198" i="3"/>
  <c r="AY77" i="3"/>
  <c r="AY158" i="3"/>
  <c r="AY290" i="3"/>
  <c r="AY443" i="3"/>
  <c r="AY46" i="3"/>
  <c r="AY219" i="3"/>
  <c r="AY569" i="3"/>
  <c r="AY148" i="3"/>
  <c r="AY316" i="3"/>
  <c r="AY147" i="3"/>
  <c r="AY446" i="3"/>
  <c r="AY37" i="3"/>
  <c r="AY203" i="3"/>
  <c r="AY95" i="3"/>
  <c r="AY150" i="3"/>
  <c r="AY216" i="3"/>
  <c r="AY432" i="3"/>
  <c r="AY28" i="3"/>
  <c r="AY280" i="3"/>
  <c r="AY311"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103" i="3"/>
  <c r="AY52" i="3"/>
  <c r="AY204"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564" i="3"/>
  <c r="AY98" i="3"/>
  <c r="AY291" i="3"/>
  <c r="AY448" i="3"/>
  <c r="AY149" i="3"/>
  <c r="AY476" i="3"/>
  <c r="AY294" i="3"/>
  <c r="AY168" i="3"/>
  <c r="AY155" i="3"/>
  <c r="AY122" i="3"/>
  <c r="AY278" i="3"/>
  <c r="AY352" i="3"/>
  <c r="AY273" i="3"/>
  <c r="AY19" i="3"/>
  <c r="AY251" i="3"/>
  <c r="AY237" i="3"/>
  <c r="AY119" i="3"/>
  <c r="AY89" i="3"/>
  <c r="AY33" i="3"/>
  <c r="AY570" i="3"/>
  <c r="AY482" i="3"/>
  <c r="AY508" i="3"/>
  <c r="AY53" i="3"/>
  <c r="AY182" i="3"/>
  <c r="AY262" i="3"/>
  <c r="AY146" i="3"/>
  <c r="AY116" i="3"/>
  <c r="AY62" i="3"/>
  <c r="AY295" i="3"/>
  <c r="AY438" i="3"/>
  <c r="AY91" i="3"/>
  <c r="AY48" i="3"/>
  <c r="AY347" i="3"/>
  <c r="AY173" i="3"/>
  <c r="AY79" i="3"/>
  <c r="AY426" i="3"/>
  <c r="AY521" i="3"/>
  <c r="AY523" i="3"/>
  <c r="AY29" i="3"/>
  <c r="AY453" i="3"/>
  <c r="AY225" i="3"/>
  <c r="AY184" i="3"/>
  <c r="BQ6" i="3"/>
  <c r="AY151" i="3"/>
  <c r="AY360" i="3"/>
  <c r="AY531" i="3"/>
  <c r="AY137" i="3"/>
  <c r="AY565" i="3"/>
  <c r="BP6" i="3"/>
  <c r="AY553" i="3"/>
  <c r="AY480" i="3"/>
  <c r="AY90" i="3"/>
  <c r="AY358" i="3"/>
  <c r="AY344" i="3"/>
  <c r="AY223" i="3"/>
  <c r="AY190" i="3"/>
  <c r="AY235" i="3"/>
  <c r="AY421" i="3"/>
  <c r="AY205" i="3"/>
  <c r="BM6" i="3"/>
  <c r="AY423" i="3"/>
  <c r="BL6" i="3"/>
  <c r="AY160" i="3"/>
  <c r="AY277" i="3"/>
  <c r="AY425" i="3"/>
  <c r="AY286" i="3"/>
  <c r="AY169" i="3"/>
  <c r="AY72" i="3"/>
  <c r="AY30" i="3"/>
  <c r="AY382" i="3"/>
  <c r="AY143" i="3"/>
  <c r="AY236" i="3"/>
  <c r="AY276" i="3"/>
  <c r="AY113" i="3"/>
  <c r="AY387" i="3"/>
  <c r="AY56" i="3"/>
  <c r="AY313" i="3"/>
  <c r="AY551" i="3"/>
  <c r="AY180" i="3"/>
  <c r="AY507" i="3"/>
  <c r="AY217" i="3"/>
  <c r="AY170" i="3"/>
  <c r="AY135" i="3"/>
  <c r="AY389" i="3"/>
  <c r="AY412" i="3"/>
  <c r="AY449" i="3"/>
  <c r="AY61" i="3"/>
  <c r="AY338" i="3"/>
  <c r="AY102" i="3"/>
  <c r="AY474" i="3"/>
  <c r="AY100" i="3"/>
  <c r="AY136" i="3"/>
  <c r="AY463" i="3"/>
  <c r="AY81" i="3"/>
  <c r="AY330" i="3"/>
  <c r="AY568" i="3"/>
  <c r="AY444" i="3"/>
  <c r="AY466" i="3"/>
  <c r="AY162" i="3"/>
  <c r="AY22" i="3"/>
  <c r="AY562" i="3"/>
  <c r="AY406" i="3"/>
  <c r="AY303" i="3"/>
  <c r="AY127" i="3"/>
  <c r="AY498" i="3"/>
  <c r="AY518" i="3"/>
  <c r="AY415" i="3"/>
  <c r="AY503" i="3"/>
  <c r="AY208" i="3"/>
  <c r="AY299" i="3"/>
  <c r="AY447" i="3"/>
  <c r="AY185" i="3"/>
  <c r="AY483" i="3"/>
  <c r="AY108" i="3"/>
  <c r="AY60" i="3"/>
  <c r="AY334" i="3"/>
  <c r="AY270" i="3"/>
  <c r="AY571" i="3"/>
  <c r="AY554" i="3"/>
  <c r="AY532" i="3"/>
  <c r="AY42" i="3"/>
  <c r="AY175" i="3"/>
  <c r="AY467" i="3"/>
  <c r="AY139" i="3"/>
  <c r="AY70" i="3"/>
  <c r="BK6" i="3"/>
  <c r="AY435" i="3"/>
  <c r="AY132" i="3"/>
  <c r="AY188" i="3"/>
  <c r="AY528" i="3"/>
  <c r="AY567" i="3"/>
  <c r="AY534" i="3"/>
  <c r="AY478" i="3"/>
  <c r="AY434" i="3"/>
  <c r="AY93" i="3"/>
  <c r="AY473" i="3"/>
  <c r="AY439" i="3"/>
  <c r="AY231" i="3"/>
  <c r="AY57" i="3"/>
  <c r="AY397" i="3"/>
  <c r="AY39" i="3"/>
  <c r="AY256" i="3"/>
  <c r="AY307" i="3"/>
  <c r="AY35" i="3"/>
  <c r="AY215" i="3"/>
  <c r="AY470" i="3"/>
  <c r="AY134" i="3"/>
  <c r="AY255" i="3"/>
  <c r="AY504" i="3"/>
  <c r="AY126" i="3"/>
  <c r="AY214" i="3"/>
  <c r="AY269" i="3"/>
  <c r="BC6" i="3"/>
  <c r="AY488" i="3"/>
  <c r="AY312" i="3"/>
  <c r="AY373" i="3"/>
  <c r="AY109" i="3"/>
  <c r="AY142" i="3"/>
  <c r="AY34" i="3"/>
  <c r="AY218" i="3"/>
  <c r="AY309" i="3"/>
  <c r="AY392" i="3"/>
  <c r="AY176" i="3"/>
  <c r="AY356" i="3"/>
  <c r="AY44" i="3"/>
  <c r="AY206" i="3"/>
  <c r="AY520" i="3"/>
  <c r="AY283" i="3"/>
  <c r="AY82" i="3"/>
  <c r="AY41" i="3"/>
  <c r="AY128" i="3"/>
  <c r="AY36" i="3"/>
  <c r="AY246" i="3"/>
  <c r="AY333" i="3"/>
  <c r="AY408" i="3"/>
  <c r="AY117" i="3"/>
  <c r="AY374" i="3"/>
  <c r="AY123"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18" i="3"/>
  <c r="AY74" i="3"/>
  <c r="AY106" i="3"/>
  <c r="AY349" i="3"/>
  <c r="AY422" i="3"/>
  <c r="AY379" i="3"/>
  <c r="AY178" i="3"/>
  <c r="AY550" i="3"/>
  <c r="AY376" i="3"/>
  <c r="AY342" i="3"/>
  <c r="AY457" i="3"/>
  <c r="AY201" i="3"/>
  <c r="AY124" i="3"/>
  <c r="AY566" i="3"/>
  <c r="AY513" i="3"/>
  <c r="AY296" i="3"/>
  <c r="AY460" i="3"/>
  <c r="AY533" i="3"/>
  <c r="AY419" i="3"/>
  <c r="AY196" i="3"/>
  <c r="AY496" i="3"/>
  <c r="AY121" i="3"/>
  <c r="AY537" i="3"/>
  <c r="AY73" i="3"/>
  <c r="AY45" i="3"/>
  <c r="AY427" i="3"/>
  <c r="AY326" i="3"/>
  <c r="AY366" i="3"/>
  <c r="AY464" i="3"/>
  <c r="AY279" i="3"/>
  <c r="AY543" i="3"/>
  <c r="AY428" i="3"/>
  <c r="BB6" i="3"/>
  <c r="AY54" i="3"/>
  <c r="AY284" i="3"/>
  <c r="AY261" i="3"/>
  <c r="AY301" i="3"/>
  <c r="AY441" i="3"/>
  <c r="AY138"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154" i="3"/>
  <c r="AY75" i="3"/>
  <c r="AY384" i="3"/>
  <c r="AY202" i="3"/>
  <c r="AY398" i="3"/>
  <c r="AY348" i="3"/>
  <c r="AY241" i="3"/>
  <c r="AY542" i="3"/>
  <c r="AY555" i="3"/>
  <c r="AY308" i="3"/>
  <c r="BD6" i="3"/>
  <c r="AY436" i="3"/>
  <c r="AY192" i="3"/>
  <c r="AY410" i="3"/>
  <c r="AY512" i="3"/>
  <c r="AY125" i="3"/>
  <c r="AY167" i="3"/>
  <c r="AY292" i="3"/>
  <c r="AY144" i="3"/>
  <c r="AY361" i="3"/>
  <c r="AY324" i="3"/>
  <c r="AY548" i="3"/>
  <c r="AY194" i="3"/>
  <c r="AY253" i="3"/>
  <c r="AY212" i="3"/>
  <c r="AY345" i="3"/>
  <c r="AY522" i="3"/>
  <c r="AY165" i="3"/>
  <c r="AY491" i="3"/>
  <c r="AY47" i="3"/>
  <c r="AY49" i="3"/>
  <c r="AY315" i="3"/>
  <c r="AY16" i="3"/>
  <c r="AY526" i="3"/>
  <c r="AY353" i="3"/>
  <c r="AY243" i="3"/>
  <c r="AY452" i="3"/>
  <c r="AY380" i="3"/>
  <c r="AY211" i="3"/>
  <c r="AY396" i="3"/>
  <c r="AY221" i="3"/>
  <c r="AY245" i="3"/>
  <c r="AY32" i="3"/>
  <c r="AY456" i="3"/>
  <c r="AY112" i="3"/>
  <c r="AY247" i="3"/>
  <c r="AY20" i="3"/>
  <c r="AY78" i="3"/>
  <c r="AY153" i="3"/>
  <c r="AY375" i="3"/>
  <c r="AY559" i="3"/>
  <c r="AY506" i="3"/>
  <c r="AY240" i="3"/>
  <c r="AY475" i="3"/>
  <c r="AY331" i="3"/>
  <c r="AY487" i="3"/>
  <c r="AY509" i="3"/>
  <c r="AY539" i="3"/>
  <c r="AY64" i="3"/>
  <c r="AY515" i="3"/>
  <c r="AY264" i="3"/>
  <c r="AY479" i="3"/>
  <c r="AY364" i="3"/>
  <c r="AY238" i="3"/>
  <c r="AY115" i="3"/>
  <c r="AY230" i="3"/>
  <c r="AY420" i="3"/>
  <c r="AY157" i="3"/>
  <c r="AY516" i="3"/>
  <c r="AY538" i="3"/>
  <c r="AY557" i="3"/>
  <c r="AY418" i="3"/>
  <c r="AY289" i="3"/>
  <c r="AY130" i="3"/>
  <c r="AY541" i="3"/>
  <c r="AY477" i="3"/>
  <c r="AY300" i="3"/>
  <c r="AY232" i="3"/>
  <c r="AY381" i="3"/>
  <c r="AY372" i="3"/>
  <c r="AY302" i="3"/>
  <c r="AY336" i="3"/>
  <c r="AY494" i="3"/>
  <c r="AY451" i="3"/>
  <c r="AY59" i="3"/>
  <c r="BG6" i="3"/>
  <c r="BE6" i="3"/>
  <c r="AY83" i="3"/>
  <c r="AY383" i="3"/>
  <c r="AY258" i="3"/>
  <c r="AY450" i="3"/>
  <c r="AY23" i="3"/>
  <c r="AY354" i="3"/>
  <c r="AY525" i="3"/>
  <c r="AY306" i="3"/>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S7" i="1"/>
  <c r="M20" i="6"/>
  <c r="I20" i="6" s="1"/>
  <c r="S20" i="6" s="1"/>
  <c r="AB33" i="78"/>
  <c r="U33" i="78"/>
  <c r="L16" i="1"/>
  <c r="C13" i="43"/>
  <c r="N16" i="1"/>
  <c r="C29" i="43" s="1"/>
  <c r="E64" i="39"/>
  <c r="E59" i="40"/>
  <c r="E60" i="40"/>
  <c r="E65" i="39"/>
  <c r="E67" i="39"/>
  <c r="E62" i="40"/>
  <c r="D16" i="12"/>
  <c r="E6" i="6"/>
  <c r="L38" i="9"/>
  <c r="B14" i="66" s="1"/>
  <c r="C33" i="21"/>
  <c r="D10" i="11"/>
  <c r="C21" i="4"/>
  <c r="O5" i="54" s="1"/>
  <c r="B45" i="63" s="1"/>
  <c r="D46" i="9"/>
  <c r="D45" i="9"/>
  <c r="D16" i="43"/>
  <c r="C16" i="43" s="1"/>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S6" i="1"/>
  <c r="M19" i="6"/>
  <c r="AC33" i="78"/>
  <c r="W33" i="78"/>
  <c r="AA33" i="78"/>
  <c r="S33" i="78"/>
  <c r="E11" i="67"/>
  <c r="F37" i="77"/>
  <c r="M24" i="44"/>
  <c r="J15" i="15"/>
  <c r="F9" i="77"/>
  <c r="F13" i="15"/>
  <c r="F10" i="44"/>
  <c r="F16" i="72"/>
  <c r="F45" i="44"/>
  <c r="F43" i="77"/>
  <c r="M28" i="72"/>
  <c r="F35" i="77"/>
  <c r="L47" i="72"/>
  <c r="M11" i="44"/>
  <c r="F16" i="77"/>
  <c r="E10" i="67"/>
  <c r="M28" i="44"/>
  <c r="F36" i="72"/>
  <c r="I6" i="65"/>
  <c r="J6" i="65"/>
  <c r="F12" i="67"/>
  <c r="M24" i="15"/>
  <c r="M21" i="72"/>
  <c r="F42" i="77"/>
  <c r="M6" i="72"/>
  <c r="M28" i="77"/>
  <c r="M26" i="72"/>
  <c r="F26" i="15"/>
  <c r="F8" i="72"/>
  <c r="C14" i="72"/>
  <c r="M27" i="72"/>
  <c r="J15" i="72"/>
  <c r="F6" i="77"/>
  <c r="F35" i="72"/>
  <c r="M31" i="44"/>
  <c r="M24" i="77"/>
  <c r="J36" i="77"/>
  <c r="F37" i="44"/>
  <c r="B11" i="67"/>
  <c r="F26" i="77"/>
  <c r="M29" i="72"/>
  <c r="B12" i="67"/>
  <c r="F6" i="72"/>
  <c r="N5" i="65"/>
  <c r="N6" i="65"/>
  <c r="F9" i="72"/>
  <c r="F36" i="15"/>
  <c r="F10" i="67"/>
  <c r="M25" i="44"/>
  <c r="M9" i="15"/>
  <c r="L48" i="77"/>
  <c r="M26" i="44"/>
  <c r="J36" i="72"/>
  <c r="F18" i="44"/>
  <c r="F8" i="15"/>
  <c r="M22" i="77"/>
  <c r="M8" i="44"/>
  <c r="E9" i="67"/>
  <c r="B8" i="67"/>
  <c r="F13" i="72"/>
  <c r="F16" i="15"/>
  <c r="F26" i="72"/>
  <c r="L47" i="15"/>
  <c r="J4" i="65"/>
  <c r="F46" i="44"/>
  <c r="M8" i="15"/>
  <c r="B10" i="67"/>
  <c r="M29" i="15"/>
  <c r="F8" i="44"/>
  <c r="E13" i="67"/>
  <c r="M6" i="15"/>
  <c r="M22" i="15"/>
  <c r="M10" i="44"/>
  <c r="F43" i="44"/>
  <c r="F8" i="67"/>
  <c r="F43" i="15"/>
  <c r="J3" i="65"/>
  <c r="F42" i="72"/>
  <c r="M30" i="44"/>
  <c r="J36" i="15"/>
  <c r="F9" i="15"/>
  <c r="F9" i="67"/>
  <c r="M23" i="72"/>
  <c r="M21" i="77"/>
  <c r="M26" i="77"/>
  <c r="F7" i="15"/>
  <c r="B14" i="67"/>
  <c r="F15" i="44"/>
  <c r="F38" i="44"/>
  <c r="M6" i="77"/>
  <c r="F36" i="77"/>
  <c r="F41" i="77"/>
  <c r="F14" i="67"/>
  <c r="F7" i="72"/>
  <c r="I7" i="65"/>
  <c r="I4" i="65"/>
  <c r="N7" i="65"/>
  <c r="F42" i="15"/>
  <c r="M27" i="15"/>
  <c r="F37" i="72"/>
  <c r="C19" i="44"/>
  <c r="M23" i="77"/>
  <c r="F7" i="77"/>
  <c r="C14" i="77"/>
  <c r="F11" i="44"/>
  <c r="F40" i="44"/>
  <c r="C16" i="44"/>
  <c r="F11" i="67"/>
  <c r="E14" i="67"/>
  <c r="M23" i="15"/>
  <c r="F40" i="15"/>
  <c r="L48" i="72"/>
  <c r="F40" i="77"/>
  <c r="L49" i="44"/>
  <c r="L48" i="15"/>
  <c r="F40" i="72"/>
  <c r="M8" i="72"/>
  <c r="F13" i="77"/>
  <c r="M22" i="72"/>
  <c r="J5" i="65"/>
  <c r="N3" i="65"/>
  <c r="I5" i="65"/>
  <c r="F39" i="44"/>
  <c r="M9" i="77"/>
  <c r="F38" i="77"/>
  <c r="F41" i="72"/>
  <c r="F9" i="44"/>
  <c r="M29" i="77"/>
  <c r="F8" i="77"/>
  <c r="M8" i="77"/>
  <c r="E12" i="67"/>
  <c r="M23" i="44"/>
  <c r="M9" i="72"/>
  <c r="F38" i="72"/>
  <c r="J15" i="77"/>
  <c r="F13" i="67"/>
  <c r="J17" i="44"/>
  <c r="F38" i="15"/>
  <c r="M26" i="15"/>
  <c r="J7" i="65"/>
  <c r="B9" i="67"/>
  <c r="F37" i="15"/>
  <c r="B13" i="67"/>
  <c r="M28" i="15"/>
  <c r="M29" i="44"/>
  <c r="F43" i="72"/>
  <c r="E8" i="67"/>
  <c r="F28" i="44"/>
  <c r="F6" i="15"/>
  <c r="L48" i="44"/>
  <c r="L47" i="77"/>
  <c r="M24" i="72"/>
  <c r="M27" i="77"/>
  <c r="N4" i="65"/>
  <c r="I3" i="65"/>
  <c r="AB19" i="39" l="1"/>
  <c r="U19" i="39"/>
  <c r="W19" i="39"/>
  <c r="AC19" i="39"/>
  <c r="L58" i="15"/>
  <c r="Q61" i="15" s="1"/>
  <c r="L59" i="15"/>
  <c r="Q62" i="15" s="1"/>
  <c r="C6" i="72"/>
  <c r="F63" i="72"/>
  <c r="F70" i="15"/>
  <c r="F49" i="72"/>
  <c r="M7" i="72"/>
  <c r="J6" i="72" s="1"/>
  <c r="C27" i="72"/>
  <c r="F65" i="15"/>
  <c r="L59" i="77"/>
  <c r="Q75" i="77" s="1"/>
  <c r="L58" i="77"/>
  <c r="Q73" i="44"/>
  <c r="F68" i="77"/>
  <c r="C27" i="77"/>
  <c r="L59" i="44"/>
  <c r="Q62" i="44" s="1"/>
  <c r="L60" i="44"/>
  <c r="Q63" i="44" s="1"/>
  <c r="F67" i="72"/>
  <c r="F63" i="77"/>
  <c r="C6" i="15"/>
  <c r="L56" i="15"/>
  <c r="J59" i="15"/>
  <c r="J53" i="15"/>
  <c r="Q53" i="15" s="1"/>
  <c r="J60" i="15"/>
  <c r="Q49" i="15" s="1"/>
  <c r="L60" i="15"/>
  <c r="Q67" i="15" s="1"/>
  <c r="J57" i="15"/>
  <c r="J55" i="15" s="1"/>
  <c r="J58" i="15" s="1"/>
  <c r="Q51" i="15" s="1"/>
  <c r="I54" i="15"/>
  <c r="L57" i="15"/>
  <c r="C36" i="44"/>
  <c r="C29" i="44"/>
  <c r="L58" i="72"/>
  <c r="Q74" i="72" s="1"/>
  <c r="L59" i="72"/>
  <c r="Q75" i="72" s="1"/>
  <c r="F65" i="72"/>
  <c r="J58" i="44"/>
  <c r="J56" i="44" s="1"/>
  <c r="J59" i="44" s="1"/>
  <c r="Q52" i="44" s="1"/>
  <c r="L61" i="44"/>
  <c r="Q68" i="44" s="1"/>
  <c r="J54" i="44"/>
  <c r="Q54" i="44" s="1"/>
  <c r="J60" i="44"/>
  <c r="I55" i="44"/>
  <c r="L58" i="44"/>
  <c r="J61" i="44"/>
  <c r="Q50" i="44" s="1"/>
  <c r="L57" i="44"/>
  <c r="L47" i="44"/>
  <c r="Q72" i="77"/>
  <c r="F62" i="77"/>
  <c r="C61" i="77" s="1"/>
  <c r="C34" i="77"/>
  <c r="F67" i="77"/>
  <c r="F70" i="72"/>
  <c r="J22" i="44"/>
  <c r="J60" i="72"/>
  <c r="Q49" i="72" s="1"/>
  <c r="J59" i="72"/>
  <c r="I54" i="72"/>
  <c r="J57" i="72"/>
  <c r="J55" i="72" s="1"/>
  <c r="J58" i="72" s="1"/>
  <c r="Q51" i="72" s="1"/>
  <c r="L56" i="72"/>
  <c r="L57" i="72"/>
  <c r="J53" i="72"/>
  <c r="Q53" i="72" s="1"/>
  <c r="L60" i="72"/>
  <c r="Q58" i="72" s="1"/>
  <c r="C8" i="44"/>
  <c r="F50" i="15"/>
  <c r="F70" i="77"/>
  <c r="F67" i="15"/>
  <c r="F49" i="15"/>
  <c r="M7" i="15"/>
  <c r="J6" i="15" s="1"/>
  <c r="F62" i="72"/>
  <c r="C61" i="72" s="1"/>
  <c r="C34" i="72"/>
  <c r="Q72" i="72"/>
  <c r="C6" i="77"/>
  <c r="F50" i="77"/>
  <c r="J20" i="77"/>
  <c r="F64" i="15"/>
  <c r="J60" i="77"/>
  <c r="Q49" i="77" s="1"/>
  <c r="J53" i="77"/>
  <c r="F1" i="77" s="1"/>
  <c r="L57" i="77"/>
  <c r="J57" i="77"/>
  <c r="J55" i="77" s="1"/>
  <c r="J58" i="77" s="1"/>
  <c r="Q51" i="77" s="1"/>
  <c r="L60" i="77"/>
  <c r="Q67" i="77" s="1"/>
  <c r="J59" i="77"/>
  <c r="L56" i="77"/>
  <c r="I54" i="77"/>
  <c r="M9" i="44"/>
  <c r="J8" i="44" s="1"/>
  <c r="C17" i="44"/>
  <c r="C20" i="44"/>
  <c r="C21" i="44"/>
  <c r="C22" i="44" s="1"/>
  <c r="C28" i="44" s="1"/>
  <c r="C18" i="72"/>
  <c r="C15" i="72"/>
  <c r="C19" i="72"/>
  <c r="C20" i="72" s="1"/>
  <c r="C26" i="72" s="1"/>
  <c r="F68" i="72"/>
  <c r="F50" i="72"/>
  <c r="F65" i="77"/>
  <c r="F64" i="72"/>
  <c r="Q72" i="15"/>
  <c r="C27" i="15"/>
  <c r="J20" i="72"/>
  <c r="C18" i="77"/>
  <c r="C19" i="77"/>
  <c r="C20" i="77" s="1"/>
  <c r="C15" i="77"/>
  <c r="F63" i="15"/>
  <c r="F64" i="77"/>
  <c r="M7" i="77"/>
  <c r="J6" i="77" s="1"/>
  <c r="F49" i="77"/>
  <c r="Q58" i="15"/>
  <c r="Q58" i="77"/>
  <c r="Q53" i="77"/>
  <c r="Q74" i="15"/>
  <c r="Q76" i="44"/>
  <c r="Q75" i="44"/>
  <c r="Q59" i="44"/>
  <c r="C4" i="65"/>
  <c r="B39" i="1" s="1"/>
  <c r="F13" i="44" s="1"/>
  <c r="E20" i="46"/>
  <c r="N17" i="46" s="1"/>
  <c r="J1" i="65"/>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K27" i="6"/>
  <c r="P7" i="1"/>
  <c r="P16" i="1" s="1"/>
  <c r="C13" i="12" s="1"/>
  <c r="AA12" i="40"/>
  <c r="S12" i="40"/>
  <c r="AC12" i="39"/>
  <c r="W12" i="39"/>
  <c r="U12" i="40"/>
  <c r="AB12" i="40"/>
  <c r="E6" i="3"/>
  <c r="AA12" i="39"/>
  <c r="S12" i="39"/>
  <c r="AC12" i="40"/>
  <c r="W12" i="40"/>
  <c r="AB12" i="39"/>
  <c r="U12" i="39"/>
  <c r="I19" i="6"/>
  <c r="M27" i="6"/>
  <c r="S16" i="1"/>
  <c r="S5" i="46"/>
  <c r="T5" i="46" s="1"/>
  <c r="V5" i="46" s="1"/>
  <c r="S4" i="46"/>
  <c r="T4" i="46" s="1"/>
  <c r="V4" i="46" s="1"/>
  <c r="S6" i="46"/>
  <c r="T6" i="46" s="1"/>
  <c r="V6" i="46" s="1"/>
  <c r="S3" i="46"/>
  <c r="T3" i="46" s="1"/>
  <c r="V3" i="46" s="1"/>
  <c r="S2" i="46"/>
  <c r="T2" i="46" s="1"/>
  <c r="V2" i="46" s="1"/>
  <c r="S7" i="46"/>
  <c r="T7" i="46" s="1"/>
  <c r="V7" i="46" s="1"/>
  <c r="F33" i="21"/>
  <c r="H33" i="21"/>
  <c r="J33" i="21"/>
  <c r="D22" i="12"/>
  <c r="C22" i="12" s="1"/>
  <c r="C20" i="12" s="1"/>
  <c r="D13" i="11"/>
  <c r="C13" i="11" s="1"/>
  <c r="D20" i="6"/>
  <c r="D19" i="6"/>
  <c r="D22" i="6"/>
  <c r="D24" i="6"/>
  <c r="D26" i="6"/>
  <c r="D28" i="6"/>
  <c r="K38" i="9"/>
  <c r="C14" i="66" s="1"/>
  <c r="B2" i="66" s="1"/>
  <c r="D23" i="6"/>
  <c r="H20" i="6"/>
  <c r="D25" i="6"/>
  <c r="D29" i="6"/>
  <c r="D21" i="6"/>
  <c r="D6" i="6"/>
  <c r="E46" i="9"/>
  <c r="D12" i="6"/>
  <c r="H26" i="6"/>
  <c r="D5" i="6"/>
  <c r="E63" i="40"/>
  <c r="D9" i="6"/>
  <c r="D8" i="6"/>
  <c r="D11" i="6"/>
  <c r="H22" i="6"/>
  <c r="F45" i="9"/>
  <c r="D14" i="6"/>
  <c r="E45" i="9"/>
  <c r="H24" i="6"/>
  <c r="D15" i="6"/>
  <c r="H21" i="6"/>
  <c r="H19" i="6"/>
  <c r="D13" i="6"/>
  <c r="C22" i="4"/>
  <c r="D10" i="6"/>
  <c r="H25" i="6"/>
  <c r="F46" i="9"/>
  <c r="H23" i="6"/>
  <c r="C15" i="12"/>
  <c r="K14" i="66"/>
  <c r="B1" i="66"/>
  <c r="C16" i="12"/>
  <c r="D19" i="12"/>
  <c r="C19" i="12" s="1"/>
  <c r="C17" i="43"/>
  <c r="C14" i="43"/>
  <c r="C115" i="46"/>
  <c r="D113" i="46" s="1"/>
  <c r="E68" i="39"/>
  <c r="E2" i="65"/>
  <c r="C16" i="72"/>
  <c r="C16" i="77"/>
  <c r="C16" i="15"/>
  <c r="C18" i="44"/>
  <c r="C17" i="77"/>
  <c r="C17" i="15"/>
  <c r="C17" i="72"/>
  <c r="E3" i="65"/>
  <c r="C48" i="15" l="1"/>
  <c r="C26" i="77"/>
  <c r="C12" i="44"/>
  <c r="C7" i="44" s="1"/>
  <c r="C35" i="44" s="1"/>
  <c r="Q61" i="72"/>
  <c r="F1" i="15"/>
  <c r="C48" i="77"/>
  <c r="C48" i="72"/>
  <c r="H7" i="35"/>
  <c r="AB7" i="35" s="1"/>
  <c r="T38" i="35" s="1"/>
  <c r="G38" i="35" s="1"/>
  <c r="F7" i="35"/>
  <c r="Q67" i="72"/>
  <c r="B40" i="1"/>
  <c r="F24" i="15" s="1"/>
  <c r="C24" i="15" s="1"/>
  <c r="Q62" i="77"/>
  <c r="Q75" i="15"/>
  <c r="F1" i="72"/>
  <c r="Q62" i="72"/>
  <c r="F1" i="44"/>
  <c r="Q74" i="77"/>
  <c r="Q61" i="77"/>
  <c r="M11" i="72"/>
  <c r="J10" i="72" s="1"/>
  <c r="J5" i="72" s="1"/>
  <c r="J24" i="72" s="1"/>
  <c r="M13" i="44"/>
  <c r="J12" i="44" s="1"/>
  <c r="J7" i="44" s="1"/>
  <c r="J28" i="44" s="1"/>
  <c r="J31" i="44" s="1"/>
  <c r="Q49" i="44" s="1"/>
  <c r="Q55" i="44" s="1"/>
  <c r="F21" i="43"/>
  <c r="C23" i="43" s="1"/>
  <c r="D21" i="43" s="1"/>
  <c r="F17" i="11"/>
  <c r="C17" i="11" s="1"/>
  <c r="C19" i="11" s="1"/>
  <c r="C20" i="11" s="1"/>
  <c r="C21" i="11" s="1"/>
  <c r="C22" i="11" s="1"/>
  <c r="C23" i="11" s="1"/>
  <c r="B2" i="11" s="1"/>
  <c r="B4" i="11" s="1"/>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P17" i="46"/>
  <c r="O17" i="46"/>
  <c r="M17" i="46"/>
  <c r="M11" i="15"/>
  <c r="J10" i="15" s="1"/>
  <c r="J5" i="15" s="1"/>
  <c r="F11" i="15"/>
  <c r="F11" i="72"/>
  <c r="F11" i="77"/>
  <c r="M11" i="77"/>
  <c r="J10" i="77" s="1"/>
  <c r="J5" i="77" s="1"/>
  <c r="C18" i="43"/>
  <c r="C19" i="43" s="1"/>
  <c r="C25" i="43" s="1"/>
  <c r="C24" i="43" s="1"/>
  <c r="H27" i="6"/>
  <c r="R26" i="6"/>
  <c r="R22" i="6"/>
  <c r="C14" i="12"/>
  <c r="C17" i="12"/>
  <c r="D8" i="66"/>
  <c r="D7" i="66"/>
  <c r="R20" i="6"/>
  <c r="R7" i="1" s="1"/>
  <c r="W33" i="21"/>
  <c r="AC33" i="21"/>
  <c r="S33" i="21"/>
  <c r="AA33" i="21"/>
  <c r="T12" i="1"/>
  <c r="T8" i="1"/>
  <c r="T10" i="1"/>
  <c r="T9" i="1"/>
  <c r="T13" i="1"/>
  <c r="T11" i="1"/>
  <c r="S19" i="6"/>
  <c r="S27" i="6" s="1"/>
  <c r="I27" i="6"/>
  <c r="C8" i="66"/>
  <c r="C7" i="66"/>
  <c r="A20" i="51"/>
  <c r="B15" i="63" s="1"/>
  <c r="N5" i="54"/>
  <c r="B43" i="63" s="1"/>
  <c r="A6" i="64"/>
  <c r="A6" i="51"/>
  <c r="B7" i="63" s="1"/>
  <c r="A20" i="64"/>
  <c r="D16" i="6"/>
  <c r="R21" i="6"/>
  <c r="R25" i="6"/>
  <c r="R23" i="6"/>
  <c r="D30" i="6"/>
  <c r="R24" i="6"/>
  <c r="D27" i="6"/>
  <c r="D31" i="6" s="1"/>
  <c r="R19" i="6"/>
  <c r="T7" i="1"/>
  <c r="U33" i="21"/>
  <c r="AB33" i="21"/>
  <c r="T6" i="1"/>
  <c r="F35" i="15"/>
  <c r="M21" i="15"/>
  <c r="AE7" i="1"/>
  <c r="C14" i="15"/>
  <c r="C34" i="44" l="1"/>
  <c r="C33" i="44" s="1"/>
  <c r="C40" i="44"/>
  <c r="J26" i="72"/>
  <c r="J29" i="72" s="1"/>
  <c r="J18" i="72"/>
  <c r="F26" i="12"/>
  <c r="C27" i="12" s="1"/>
  <c r="D26" i="12" s="1"/>
  <c r="C32" i="12" s="1"/>
  <c r="D30" i="12" s="1"/>
  <c r="F26" i="44"/>
  <c r="C26" i="44" s="1"/>
  <c r="F24" i="72"/>
  <c r="C24" i="72" s="1"/>
  <c r="F24" i="77"/>
  <c r="C24" i="77" s="1"/>
  <c r="B5" i="11"/>
  <c r="B3" i="11"/>
  <c r="C23" i="72"/>
  <c r="C29" i="72" s="1"/>
  <c r="J26" i="44"/>
  <c r="J20" i="44"/>
  <c r="Q58" i="44"/>
  <c r="Q64" i="44" s="1"/>
  <c r="Q67" i="44"/>
  <c r="Q77" i="44" s="1"/>
  <c r="C22" i="43"/>
  <c r="C21" i="43" s="1"/>
  <c r="C28" i="43" s="1"/>
  <c r="C30" i="43" s="1"/>
  <c r="C32" i="43" s="1"/>
  <c r="B2" i="43" s="1"/>
  <c r="B3" i="43" s="1"/>
  <c r="C52" i="77"/>
  <c r="C47" i="77" s="1"/>
  <c r="C10" i="77"/>
  <c r="C5" i="77" s="1"/>
  <c r="C52" i="15"/>
  <c r="C47" i="15" s="1"/>
  <c r="C10" i="15"/>
  <c r="C5" i="15" s="1"/>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J24" i="77"/>
  <c r="J26" i="77"/>
  <c r="J29" i="77" s="1"/>
  <c r="J18" i="77"/>
  <c r="C10" i="72"/>
  <c r="C5" i="72" s="1"/>
  <c r="C52" i="72"/>
  <c r="C47" i="72" s="1"/>
  <c r="J18" i="15"/>
  <c r="J26" i="15"/>
  <c r="J24" i="15"/>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T16" i="1"/>
  <c r="C34" i="15"/>
  <c r="F62" i="15"/>
  <c r="C61" i="15" s="1"/>
  <c r="J20" i="15"/>
  <c r="C15" i="15"/>
  <c r="C18" i="15"/>
  <c r="R6" i="1"/>
  <c r="R16" i="1" s="1"/>
  <c r="R27" i="6"/>
  <c r="I5" i="6"/>
  <c r="I6" i="6"/>
  <c r="C18" i="12"/>
  <c r="C23" i="12" s="1"/>
  <c r="L52" i="44"/>
  <c r="F7" i="67"/>
  <c r="F41" i="15"/>
  <c r="F68" i="15" l="1"/>
  <c r="J29" i="15"/>
  <c r="Q69" i="44"/>
  <c r="C25" i="44"/>
  <c r="C31" i="44" s="1"/>
  <c r="Q51" i="44" s="1"/>
  <c r="C23" i="77"/>
  <c r="C29" i="77" s="1"/>
  <c r="J14" i="72"/>
  <c r="Q50" i="72"/>
  <c r="C36" i="72"/>
  <c r="C56" i="72"/>
  <c r="C63" i="72" s="1"/>
  <c r="J19" i="72"/>
  <c r="J17" i="72" s="1"/>
  <c r="C13" i="72"/>
  <c r="C15" i="44"/>
  <c r="B4" i="43"/>
  <c r="C39" i="44"/>
  <c r="B5" i="43"/>
  <c r="E4" i="67"/>
  <c r="C39" i="35"/>
  <c r="B3" i="35" s="1"/>
  <c r="B2" i="35" s="1"/>
  <c r="C38" i="35"/>
  <c r="E42" i="35"/>
  <c r="F42" i="35" s="1"/>
  <c r="E43" i="35"/>
  <c r="F43" i="35" s="1"/>
  <c r="R37" i="36"/>
  <c r="E36" i="36"/>
  <c r="I40" i="36"/>
  <c r="J40" i="36" s="1"/>
  <c r="I41" i="36"/>
  <c r="J41" i="36" s="1"/>
  <c r="G70" i="39"/>
  <c r="F72" i="39"/>
  <c r="C43" i="37"/>
  <c r="B3" i="37" s="1"/>
  <c r="B2" i="37" s="1"/>
  <c r="C42" i="37"/>
  <c r="E48" i="33"/>
  <c r="R49" i="33"/>
  <c r="C59" i="72"/>
  <c r="C65" i="72"/>
  <c r="C60" i="72"/>
  <c r="F67" i="40"/>
  <c r="G65" i="40"/>
  <c r="G41" i="36"/>
  <c r="H41" i="36" s="1"/>
  <c r="G40" i="36"/>
  <c r="H40" i="36" s="1"/>
  <c r="C38" i="15"/>
  <c r="C32" i="15"/>
  <c r="C33" i="15"/>
  <c r="C38" i="77"/>
  <c r="C33" i="77"/>
  <c r="C32" i="77"/>
  <c r="C26" i="46"/>
  <c r="I53" i="33"/>
  <c r="J53" i="33" s="1"/>
  <c r="I52" i="33"/>
  <c r="J52" i="33" s="1"/>
  <c r="E47" i="37"/>
  <c r="F47" i="37" s="1"/>
  <c r="E46" i="37"/>
  <c r="F46" i="37" s="1"/>
  <c r="C33" i="72"/>
  <c r="C32" i="72"/>
  <c r="C38" i="72"/>
  <c r="U7" i="21"/>
  <c r="AB7" i="21"/>
  <c r="R50" i="34"/>
  <c r="E49" i="34"/>
  <c r="C60" i="15"/>
  <c r="C59" i="15"/>
  <c r="C65" i="15"/>
  <c r="C59" i="77"/>
  <c r="C65" i="77"/>
  <c r="C60" i="77"/>
  <c r="C19" i="15"/>
  <c r="C20" i="15" s="1"/>
  <c r="C23" i="15" s="1"/>
  <c r="C13" i="39"/>
  <c r="C11" i="78"/>
  <c r="C11" i="21"/>
  <c r="E7" i="67"/>
  <c r="J16" i="44" l="1"/>
  <c r="J15" i="44" s="1"/>
  <c r="J25" i="44" s="1"/>
  <c r="J21" i="44"/>
  <c r="J19" i="44" s="1"/>
  <c r="C38" i="44"/>
  <c r="C32" i="44" s="1"/>
  <c r="C42" i="44" s="1"/>
  <c r="Q71" i="44" s="1"/>
  <c r="J19" i="77"/>
  <c r="J17" i="77" s="1"/>
  <c r="Q50" i="77"/>
  <c r="C56" i="77"/>
  <c r="C63" i="77" s="1"/>
  <c r="C13" i="77"/>
  <c r="J14" i="77"/>
  <c r="C36" i="77"/>
  <c r="Q72" i="44"/>
  <c r="C43" i="44"/>
  <c r="J13" i="72"/>
  <c r="J23" i="72" s="1"/>
  <c r="J22" i="72"/>
  <c r="J35" i="72"/>
  <c r="Q71" i="72"/>
  <c r="C55" i="72"/>
  <c r="C64" i="72" s="1"/>
  <c r="C37" i="72"/>
  <c r="C31" i="15"/>
  <c r="C58" i="15"/>
  <c r="C31" i="77"/>
  <c r="E3" i="67"/>
  <c r="C50" i="34"/>
  <c r="B3" i="34" s="1"/>
  <c r="B2" i="34" s="1"/>
  <c r="C49" i="34"/>
  <c r="G67" i="40"/>
  <c r="H65" i="40"/>
  <c r="C49" i="33"/>
  <c r="B3" i="33" s="1"/>
  <c r="B2" i="33" s="1"/>
  <c r="C48" i="33"/>
  <c r="E41" i="36"/>
  <c r="F41" i="36" s="1"/>
  <c r="E40" i="36"/>
  <c r="F40" i="36" s="1"/>
  <c r="C58" i="77"/>
  <c r="E54" i="34"/>
  <c r="F54" i="34" s="1"/>
  <c r="E53" i="34"/>
  <c r="F53" i="34" s="1"/>
  <c r="I54" i="34"/>
  <c r="J54" i="34" s="1"/>
  <c r="C31" i="72"/>
  <c r="B2" i="46"/>
  <c r="C58" i="72"/>
  <c r="E53" i="33"/>
  <c r="F53" i="33" s="1"/>
  <c r="E52" i="33"/>
  <c r="F52" i="33" s="1"/>
  <c r="H70" i="39"/>
  <c r="G72" i="39"/>
  <c r="C36" i="36"/>
  <c r="C37" i="36"/>
  <c r="B3" i="36" s="1"/>
  <c r="B2" i="36" s="1"/>
  <c r="C26" i="15"/>
  <c r="C29" i="15" s="1"/>
  <c r="C13" i="15" s="1"/>
  <c r="F11" i="21"/>
  <c r="J11" i="21"/>
  <c r="H11" i="21"/>
  <c r="H13" i="39"/>
  <c r="F13" i="39"/>
  <c r="J13" i="39"/>
  <c r="F11" i="78"/>
  <c r="J11" i="78"/>
  <c r="H11" i="78"/>
  <c r="B7" i="67"/>
  <c r="C57" i="72" l="1"/>
  <c r="C66" i="72" s="1"/>
  <c r="C67" i="72" s="1"/>
  <c r="C70" i="72" s="1"/>
  <c r="J24" i="44"/>
  <c r="J18" i="44" s="1"/>
  <c r="J27" i="44" s="1"/>
  <c r="Q70" i="44"/>
  <c r="C44" i="44"/>
  <c r="C45" i="44" s="1"/>
  <c r="B2" i="44" s="1"/>
  <c r="B3" i="44" s="1"/>
  <c r="Q71" i="77"/>
  <c r="C55" i="77"/>
  <c r="C64" i="77" s="1"/>
  <c r="C57" i="77" s="1"/>
  <c r="C66" i="77" s="1"/>
  <c r="C67" i="77" s="1"/>
  <c r="C70" i="77" s="1"/>
  <c r="J35" i="77"/>
  <c r="C37" i="77"/>
  <c r="C30" i="77" s="1"/>
  <c r="C39" i="77" s="1"/>
  <c r="J13" i="77"/>
  <c r="J23" i="77" s="1"/>
  <c r="J22" i="77"/>
  <c r="J16" i="72"/>
  <c r="J25" i="72" s="1"/>
  <c r="C30" i="72"/>
  <c r="C39" i="72" s="1"/>
  <c r="J39" i="72" s="1"/>
  <c r="J40" i="72" s="1"/>
  <c r="B2" i="67"/>
  <c r="B4" i="67" s="1"/>
  <c r="I70" i="39"/>
  <c r="H72" i="39"/>
  <c r="B4" i="46"/>
  <c r="B3" i="46"/>
  <c r="D4" i="46"/>
  <c r="H67" i="40"/>
  <c r="I65" i="40"/>
  <c r="C56" i="15"/>
  <c r="C63" i="15" s="1"/>
  <c r="J14" i="15"/>
  <c r="J13" i="15" s="1"/>
  <c r="J23" i="15" s="1"/>
  <c r="Q50" i="15"/>
  <c r="C36" i="15"/>
  <c r="J19" i="15"/>
  <c r="J17" i="15" s="1"/>
  <c r="AC11" i="78"/>
  <c r="V48" i="78" s="1"/>
  <c r="I48" i="78" s="1"/>
  <c r="W11" i="78"/>
  <c r="J22" i="15"/>
  <c r="AC13" i="39"/>
  <c r="W13" i="39"/>
  <c r="AB13" i="39"/>
  <c r="U13" i="39"/>
  <c r="W11" i="21"/>
  <c r="AC11" i="21"/>
  <c r="V48" i="21" s="1"/>
  <c r="I48" i="21" s="1"/>
  <c r="AB11" i="78"/>
  <c r="T48" i="78" s="1"/>
  <c r="G48" i="78" s="1"/>
  <c r="U11" i="78"/>
  <c r="AA11" i="78"/>
  <c r="R48" i="78" s="1"/>
  <c r="S11" i="78"/>
  <c r="J35" i="15"/>
  <c r="C55" i="15"/>
  <c r="C64" i="15" s="1"/>
  <c r="C37" i="15"/>
  <c r="Q71" i="15"/>
  <c r="AA13" i="39"/>
  <c r="S13" i="39"/>
  <c r="AB11" i="21"/>
  <c r="T48" i="21" s="1"/>
  <c r="G48" i="21" s="1"/>
  <c r="U11" i="21"/>
  <c r="AA11" i="21"/>
  <c r="R48" i="21" s="1"/>
  <c r="S11" i="21"/>
  <c r="L51" i="77"/>
  <c r="L51" i="72"/>
  <c r="C40" i="77" l="1"/>
  <c r="C46" i="77" s="1"/>
  <c r="J39" i="77"/>
  <c r="J40" i="77" s="1"/>
  <c r="B5" i="44"/>
  <c r="B4" i="44"/>
  <c r="J16" i="77"/>
  <c r="J25" i="77" s="1"/>
  <c r="Q70" i="77"/>
  <c r="Q69" i="77" s="1"/>
  <c r="Q68" i="77"/>
  <c r="B3" i="67"/>
  <c r="Q68" i="72"/>
  <c r="Q70" i="72"/>
  <c r="Q69" i="72" s="1"/>
  <c r="C40" i="72"/>
  <c r="Q57" i="72" s="1"/>
  <c r="Q63" i="72" s="1"/>
  <c r="J65" i="40"/>
  <c r="I67" i="40"/>
  <c r="J70" i="39"/>
  <c r="I72" i="39"/>
  <c r="C57" i="15"/>
  <c r="C66" i="15" s="1"/>
  <c r="C67" i="15" s="1"/>
  <c r="C70" i="15" s="1"/>
  <c r="C30" i="15"/>
  <c r="C39" i="15" s="1"/>
  <c r="Q70" i="15" s="1"/>
  <c r="Q69" i="15" s="1"/>
  <c r="J16" i="15"/>
  <c r="J25" i="15" s="1"/>
  <c r="R49" i="21"/>
  <c r="E48" i="21"/>
  <c r="G52" i="21"/>
  <c r="H52" i="21" s="1"/>
  <c r="G53" i="21"/>
  <c r="H53" i="21" s="1"/>
  <c r="R49" i="78"/>
  <c r="E48" i="78"/>
  <c r="G52" i="78"/>
  <c r="H52" i="78" s="1"/>
  <c r="G53" i="78"/>
  <c r="H53" i="78" s="1"/>
  <c r="I52" i="21"/>
  <c r="J52" i="21" s="1"/>
  <c r="I53" i="21"/>
  <c r="J53" i="21" s="1"/>
  <c r="I52" i="78"/>
  <c r="J52" i="78" s="1"/>
  <c r="I53" i="78"/>
  <c r="J53" i="78" s="1"/>
  <c r="L51" i="15"/>
  <c r="C40" i="15" l="1"/>
  <c r="Q66" i="15" s="1"/>
  <c r="Q76" i="15" s="1"/>
  <c r="C43" i="77"/>
  <c r="Q57" i="77"/>
  <c r="Q63" i="77" s="1"/>
  <c r="Q66" i="77"/>
  <c r="Q76" i="77" s="1"/>
  <c r="J42" i="77"/>
  <c r="J43" i="77" s="1"/>
  <c r="Q48" i="77"/>
  <c r="Q54" i="77" s="1"/>
  <c r="B2" i="77"/>
  <c r="B3" i="77" s="1"/>
  <c r="C46" i="72"/>
  <c r="C43" i="72"/>
  <c r="Q66" i="72"/>
  <c r="Q76" i="72" s="1"/>
  <c r="J39" i="15"/>
  <c r="J40" i="15" s="1"/>
  <c r="Q48" i="72"/>
  <c r="Q54" i="72" s="1"/>
  <c r="B2" i="72"/>
  <c r="B3" i="72" s="1"/>
  <c r="J42" i="72"/>
  <c r="J43" i="72" s="1"/>
  <c r="J67" i="40"/>
  <c r="K65" i="40"/>
  <c r="K70" i="39"/>
  <c r="J72" i="39"/>
  <c r="Q68" i="15"/>
  <c r="E52" i="78"/>
  <c r="F52" i="78" s="1"/>
  <c r="E53" i="78"/>
  <c r="F53" i="78" s="1"/>
  <c r="C48" i="21"/>
  <c r="C49" i="21"/>
  <c r="B3" i="21" s="1"/>
  <c r="B2" i="21" s="1"/>
  <c r="C49" i="78"/>
  <c r="B3" i="78" s="1"/>
  <c r="C48" i="78"/>
  <c r="E52" i="21"/>
  <c r="F52" i="21" s="1"/>
  <c r="E53" i="21"/>
  <c r="F53" i="21" s="1"/>
  <c r="C43" i="15" l="1"/>
  <c r="J42" i="15"/>
  <c r="J43" i="15" s="1"/>
  <c r="Q57" i="15"/>
  <c r="Q63" i="15" s="1"/>
  <c r="C46" i="15"/>
  <c r="B2" i="15"/>
  <c r="C10" i="12" s="1"/>
  <c r="Q48" i="15"/>
  <c r="Q54" i="15" s="1"/>
  <c r="L65" i="40"/>
  <c r="K67" i="40"/>
  <c r="L70" i="39"/>
  <c r="K72" i="39"/>
  <c r="D8" i="12"/>
  <c r="B2" i="78"/>
  <c r="D10" i="12" s="1"/>
  <c r="B3" i="15" l="1"/>
  <c r="C8" i="12" s="1"/>
  <c r="K9" i="79" s="1"/>
  <c r="C6" i="12"/>
  <c r="C29" i="12" s="1"/>
  <c r="M70" i="39"/>
  <c r="L72" i="39"/>
  <c r="L67" i="40"/>
  <c r="M65" i="40"/>
  <c r="K5" i="79" l="1"/>
  <c r="K11" i="79"/>
  <c r="K3" i="79"/>
  <c r="K14" i="79"/>
  <c r="K4" i="79"/>
  <c r="K13" i="79"/>
  <c r="K12" i="79"/>
  <c r="K6" i="79"/>
  <c r="K7" i="79"/>
  <c r="K8" i="79"/>
  <c r="K10" i="79"/>
  <c r="C24" i="12"/>
  <c r="C35" i="12" s="1"/>
  <c r="C33" i="12" s="1"/>
  <c r="N65" i="40"/>
  <c r="N67" i="40" s="1"/>
  <c r="M67" i="40"/>
  <c r="N70" i="39"/>
  <c r="N72" i="39" s="1"/>
  <c r="M72" i="39"/>
  <c r="K15" i="79" l="1"/>
  <c r="C28" i="12"/>
  <c r="C26" i="12" s="1"/>
  <c r="C31" i="12" s="1"/>
  <c r="C30" i="12" s="1"/>
  <c r="C36" i="12" s="1"/>
  <c r="B2" i="12" s="1"/>
  <c r="F9" i="39"/>
  <c r="J9" i="39"/>
  <c r="H9" i="39"/>
  <c r="J9" i="40"/>
  <c r="H9" i="40"/>
  <c r="F9" i="40"/>
  <c r="D19" i="9"/>
  <c r="AA9" i="40" l="1"/>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L44" i="9"/>
  <c r="B3" i="12"/>
  <c r="B5" i="12"/>
  <c r="B4" i="12"/>
  <c r="D21" i="9"/>
  <c r="D20" i="9"/>
  <c r="E49" i="39" l="1"/>
  <c r="R50" i="39"/>
  <c r="G53" i="39"/>
  <c r="H53" i="39" s="1"/>
  <c r="G54" i="39"/>
  <c r="H54" i="39" s="1"/>
  <c r="G48" i="40"/>
  <c r="H48" i="40" s="1"/>
  <c r="G49" i="40"/>
  <c r="H49" i="40" s="1"/>
  <c r="I48" i="40"/>
  <c r="J48" i="40" s="1"/>
  <c r="R45" i="40"/>
  <c r="E44" i="40"/>
  <c r="E48" i="40" l="1"/>
  <c r="F48" i="40" s="1"/>
  <c r="E49" i="40"/>
  <c r="F49" i="40" s="1"/>
  <c r="C49" i="39"/>
  <c r="C50" i="39"/>
  <c r="C45" i="40"/>
  <c r="C44" i="40"/>
  <c r="I49" i="40"/>
  <c r="J49" i="40" s="1"/>
  <c r="I54" i="39"/>
  <c r="J54" i="39" s="1"/>
  <c r="E54" i="39"/>
  <c r="F54" i="39" s="1"/>
  <c r="E53" i="39"/>
  <c r="F53" i="39" s="1"/>
  <c r="B59" i="39" l="1"/>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B3" i="40" l="1"/>
  <c r="B4" i="40"/>
  <c r="B5" i="40"/>
  <c r="F68" i="39"/>
  <c r="B2" i="39" s="1"/>
  <c r="C19" i="9"/>
  <c r="L43" i="9" l="1"/>
  <c r="D22" i="9"/>
  <c r="G19" i="9"/>
  <c r="B3" i="39"/>
  <c r="B5" i="39"/>
  <c r="B4" i="39"/>
  <c r="C20" i="9"/>
  <c r="C21" i="9"/>
  <c r="G21" i="9" l="1"/>
  <c r="G20" i="9"/>
  <c r="D27"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113" i="9" s="1"/>
  <c r="C90" i="9"/>
  <c r="D73" i="9"/>
  <c r="N73" i="9" s="1"/>
  <c r="C82" i="9"/>
  <c r="C81" i="9" s="1"/>
  <c r="C85" i="9" s="1"/>
  <c r="C86" i="9" s="1"/>
  <c r="D72" i="9" s="1"/>
  <c r="O39" i="9"/>
  <c r="E44" i="9"/>
  <c r="F44" i="9"/>
  <c r="G14" i="66"/>
  <c r="N69" i="9"/>
  <c r="D44" i="9"/>
  <c r="E14" i="66"/>
  <c r="F14" i="66"/>
  <c r="L14" i="66"/>
  <c r="C97" i="9" l="1"/>
  <c r="C98" i="9" s="1"/>
  <c r="E98" i="9" s="1"/>
  <c r="E99" i="9" s="1"/>
  <c r="M83" i="9"/>
  <c r="N83" i="9" s="1"/>
  <c r="M87" i="9"/>
  <c r="N87" i="9" s="1"/>
  <c r="M86" i="9"/>
  <c r="N86" i="9" s="1"/>
  <c r="M85" i="9"/>
  <c r="N85" i="9" s="1"/>
  <c r="M84" i="9"/>
  <c r="N84" i="9" s="1"/>
  <c r="M88" i="9"/>
  <c r="N88" i="9" s="1"/>
  <c r="K29" i="9"/>
  <c r="K30" i="9" s="1"/>
  <c r="R6" i="54"/>
  <c r="B50" i="63" s="1"/>
  <c r="C114" i="9"/>
  <c r="E114" i="9" s="1"/>
  <c r="E115" i="9" s="1"/>
  <c r="C115" i="9"/>
  <c r="D76" i="9" s="1"/>
  <c r="D74" i="9" s="1"/>
  <c r="N74" i="9" s="1"/>
  <c r="O77" i="9" s="1"/>
  <c r="C99" i="9" l="1"/>
  <c r="O78" i="9"/>
  <c r="Q77" i="9"/>
  <c r="O79" i="9"/>
  <c r="N89" i="9"/>
  <c r="O89" i="9" s="1"/>
  <c r="O81" i="9" l="1"/>
  <c r="O80" i="9"/>
  <c r="D15" i="66" l="1"/>
  <c r="G15" i="66" l="1"/>
  <c r="B6" i="66" s="1"/>
  <c r="E15" i="66"/>
  <c r="B5" i="66"/>
  <c r="L15" i="66"/>
  <c r="F15" i="66"/>
  <c r="D5" i="66" l="1"/>
  <c r="C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<sst xmlns="http://schemas.openxmlformats.org/spreadsheetml/2006/main" count="9376" uniqueCount="3438">
  <si>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</si>
  <si>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</si>
  <si>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</si>
  <si>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</si>
  <si>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</si>
  <si>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</si>
  <si>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</si>
  <si>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</si>
  <si>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</si>
  <si>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</si>
  <si>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</si>
  <si>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</si>
  <si>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</si>
  <si>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</si>
  <si>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</si>
  <si>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</si>
  <si>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</si>
  <si>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</si>
  <si>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</si>
  <si>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</si>
  <si>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</si>
  <si>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</si>
  <si>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</si>
  <si>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</si>
  <si>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</si>
  <si>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</si>
  <si>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</si>
  <si>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</si>
  <si>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</si>
  <si>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</si>
  <si>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</si>
  <si>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</si>
  <si>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</si>
  <si>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</si>
  <si>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</si>
  <si>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</si>
  <si>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</si>
  <si>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</si>
  <si>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</si>
  <si>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</si>
  <si>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</si>
  <si>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</si>
  <si>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</si>
  <si>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</si>
  <si>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</si>
  <si>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</si>
  <si>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</si>
  <si>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</si>
  <si>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</si>
  <si>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</si>
  <si>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</si>
  <si>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</si>
  <si>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</si>
  <si>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</si>
  <si>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</si>
  <si>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</si>
  <si>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</si>
  <si>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</si>
  <si>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</si>
  <si>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</si>
  <si>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</si>
  <si>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</si>
  <si>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</si>
  <si>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</si>
  <si>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</si>
  <si>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</si>
  <si>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</si>
  <si>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</si>
  <si>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</si>
  <si>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</si>
  <si>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</si>
  <si>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</si>
  <si>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</si>
  <si>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</si>
  <si>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</si>
  <si>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</si>
  <si>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</si>
  <si>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</si>
  <si>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</si>
  <si>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</si>
  <si>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</si>
  <si>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</si>
  <si>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</si>
  <si>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</si>
  <si>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</si>
  <si>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</si>
  <si>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</si>
  <si>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</si>
  <si>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</si>
  <si>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</si>
  <si>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</si>
  <si>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</si>
  <si>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</si>
  <si>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</si>
  <si>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</si>
  <si>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</si>
  <si>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</si>
  <si>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</si>
  <si>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</si>
  <si>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</si>
  <si>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</si>
  <si>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</si>
  <si>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</si>
  <si>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</si>
  <si>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</si>
  <si>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</si>
  <si>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</si>
  <si>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</si>
  <si>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</si>
  <si>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</si>
  <si>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</si>
  <si>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</si>
  <si>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</si>
  <si>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</si>
  <si>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</si>
  <si>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</si>
  <si>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</si>
  <si>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</si>
  <si>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</si>
  <si>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</si>
  <si>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</si>
  <si>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</si>
  <si>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</si>
  <si>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</si>
  <si>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</si>
  <si>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</si>
  <si>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</si>
  <si>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</si>
  <si>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</si>
  <si>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</si>
  <si>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</si>
  <si>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</si>
  <si>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</si>
  <si>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</si>
  <si>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</si>
  <si>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</si>
  <si>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</si>
  <si>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</si>
  <si>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</si>
  <si>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</si>
  <si>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</si>
  <si>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</si>
  <si>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</si>
  <si>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</si>
  <si>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</si>
  <si>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</si>
  <si>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</si>
  <si>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</si>
  <si>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</si>
  <si>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</si>
  <si>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</si>
  <si>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</si>
  <si>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</si>
  <si>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</si>
  <si>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</si>
  <si>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</si>
  <si>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</si>
  <si>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</si>
  <si>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</si>
  <si>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</si>
  <si>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</si>
  <si>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</si>
  <si>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</si>
  <si>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</si>
  <si>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</si>
  <si>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</si>
  <si>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</si>
  <si>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</si>
  <si>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</si>
  <si>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</si>
  <si>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</si>
  <si>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</si>
  <si>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</si>
  <si>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</si>
  <si>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</si>
  <si>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</si>
  <si>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</si>
  <si>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</si>
  <si>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</si>
  <si>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</si>
  <si>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</si>
  <si>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</si>
  <si>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</si>
  <si>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</si>
  <si>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</si>
  <si>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</si>
  <si>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</si>
  <si>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</si>
  <si>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</si>
  <si>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</si>
  <si>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</si>
  <si>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</si>
  <si>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</si>
  <si>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</si>
  <si>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</si>
  <si>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</si>
  <si>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</si>
  <si>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</si>
  <si>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</si>
  <si>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</si>
  <si>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</si>
  <si>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</si>
  <si>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</si>
  <si>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</si>
  <si>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</si>
  <si>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</si>
  <si>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</si>
  <si>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</si>
  <si>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</si>
  <si>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</si>
  <si>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</si>
  <si>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</si>
  <si>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</si>
  <si>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</si>
  <si>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</si>
  <si>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</si>
  <si>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</si>
  <si>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</si>
  <si>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</si>
  <si>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</si>
  <si>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</si>
  <si>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</si>
  <si>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</si>
  <si>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</si>
  <si>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</si>
  <si>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</si>
  <si>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</si>
  <si>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</si>
  <si>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</si>
  <si>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</si>
  <si>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</si>
  <si>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</si>
  <si>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</si>
  <si>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</si>
  <si>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</si>
  <si>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</si>
  <si>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</si>
  <si>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</si>
  <si>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</si>
  <si>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</si>
  <si>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</si>
  <si>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</si>
  <si>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</si>
  <si>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</si>
  <si>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</si>
  <si>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</si>
  <si>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</si>
  <si>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</si>
  <si>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</si>
  <si>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</si>
  <si>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</si>
  <si>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</si>
  <si>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</si>
  <si>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</si>
  <si>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</si>
  <si>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</si>
  <si>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</si>
  <si>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</si>
  <si>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</si>
  <si>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</si>
  <si>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</si>
  <si>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</si>
  <si>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</si>
  <si>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</si>
  <si>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</si>
  <si>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</si>
  <si>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</si>
  <si>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</si>
  <si>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</si>
  <si>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</si>
  <si>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</si>
  <si>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</si>
  <si>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</si>
  <si>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</si>
  <si>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</si>
  <si>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</si>
  <si>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</si>
  <si>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</si>
  <si>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</si>
  <si>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</si>
  <si>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</si>
  <si>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</si>
  <si>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</si>
  <si>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</si>
  <si>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</si>
  <si>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</si>
  <si>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</si>
  <si>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</si>
  <si>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</si>
  <si>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</si>
  <si>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</si>
  <si>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</si>
  <si>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</si>
  <si>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</si>
  <si>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</si>
  <si>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</si>
  <si>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</si>
  <si>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</si>
  <si>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</si>
  <si>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</si>
  <si>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</si>
  <si>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</si>
  <si>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</si>
  <si>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</si>
  <si>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</si>
  <si>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</si>
  <si>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</si>
  <si>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</si>
  <si>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</si>
  <si>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</si>
  <si>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</si>
  <si>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</si>
  <si>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</si>
  <si>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</si>
  <si>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</si>
  <si>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</si>
  <si>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</si>
  <si>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</si>
  <si>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</si>
  <si>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</si>
  <si>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</si>
  <si>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</si>
  <si>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</si>
  <si>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</si>
  <si>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</si>
  <si>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</si>
  <si>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</si>
  <si>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</si>
  <si>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</si>
  <si>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</si>
  <si>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</si>
  <si>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</si>
  <si>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</si>
  <si>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</si>
  <si>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</si>
  <si>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</si>
  <si>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</si>
  <si>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</si>
  <si>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</si>
  <si>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</si>
  <si>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</si>
  <si>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</si>
  <si>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</si>
  <si>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</si>
  <si>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</si>
  <si>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</si>
  <si>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</si>
  <si>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</si>
  <si>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</si>
  <si>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</si>
  <si>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</si>
  <si>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</si>
  <si>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</si>
  <si>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</si>
  <si>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</si>
  <si>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</si>
  <si>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</si>
  <si>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</si>
  <si>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</si>
  <si>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</si>
  <si>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</si>
  <si>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</si>
  <si>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</si>
  <si>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</si>
  <si>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</si>
  <si>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</si>
  <si>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</si>
  <si>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</si>
  <si>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</si>
  <si>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</si>
  <si>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</si>
  <si>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</si>
  <si>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</si>
  <si>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</si>
  <si>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</si>
  <si>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</si>
  <si>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</si>
  <si>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</si>
  <si>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</si>
  <si>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</si>
  <si>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</si>
  <si>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</si>
  <si>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</si>
  <si>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</si>
  <si>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</si>
  <si>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</si>
  <si>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</si>
  <si>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</si>
  <si>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</si>
  <si>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</si>
  <si>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</si>
  <si>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</si>
  <si>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</si>
  <si>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</si>
  <si>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</si>
  <si>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</si>
  <si>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</si>
  <si>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</si>
  <si>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</si>
  <si>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</si>
  <si>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</si>
  <si>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</si>
  <si>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</si>
  <si>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</si>
  <si>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</si>
  <si>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</si>
  <si>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</si>
  <si>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</si>
  <si>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</si>
  <si>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</si>
  <si>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</si>
  <si>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</si>
  <si>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</si>
  <si>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</si>
  <si>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</si>
  <si>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</si>
  <si>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</si>
  <si>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</si>
  <si>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</si>
  <si>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</si>
  <si>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</si>
  <si>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</si>
  <si>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</si>
  <si>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</si>
  <si>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</si>
  <si>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</si>
  <si>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</si>
  <si>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</si>
  <si>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</si>
  <si>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</si>
  <si>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</si>
  <si>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</si>
  <si>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</si>
  <si>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</si>
  <si>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</si>
  <si>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</si>
  <si>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</si>
  <si>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</si>
  <si>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</si>
  <si>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</si>
  <si>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</si>
  <si>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</si>
  <si>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</si>
  <si>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</si>
  <si>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</si>
  <si>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</si>
  <si>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</si>
  <si>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</si>
  <si>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</si>
  <si>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</si>
  <si>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</si>
  <si>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</si>
  <si>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</si>
  <si>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</si>
  <si>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</si>
  <si>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</si>
  <si>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</si>
  <si>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</si>
  <si>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</si>
  <si>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</si>
  <si>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</si>
  <si>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</si>
  <si>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</si>
  <si>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</si>
  <si>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</si>
  <si>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</si>
  <si>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</si>
  <si>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</si>
  <si>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</si>
  <si>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</si>
  <si>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</si>
  <si>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</si>
  <si>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</si>
  <si>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</si>
  <si>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</si>
  <si>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</si>
  <si>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</si>
  <si>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</si>
  <si>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</si>
  <si>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</si>
  <si>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</si>
  <si>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</si>
  <si>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</si>
  <si>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</si>
  <si>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</si>
  <si>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</si>
  <si>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</si>
  <si>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</si>
  <si>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</si>
  <si>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</si>
  <si>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</si>
  <si>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</si>
  <si>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</si>
  <si>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</si>
  <si>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</si>
  <si>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</si>
  <si>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</si>
  <si>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</si>
  <si>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</si>
  <si>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</si>
  <si>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</si>
  <si>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</si>
  <si>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</si>
  <si>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</si>
  <si>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</si>
  <si>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</si>
  <si>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</si>
  <si>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</si>
  <si>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</si>
  <si>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</si>
  <si>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</si>
  <si>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</si>
  <si>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</si>
  <si>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</si>
  <si>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</si>
  <si>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</si>
  <si>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</si>
  <si>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</si>
  <si>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</si>
  <si>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</si>
  <si>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</si>
  <si>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</si>
  <si>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</si>
  <si>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</si>
  <si>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</si>
  <si>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</si>
  <si>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</si>
  <si>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</si>
  <si>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</si>
  <si>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</si>
  <si>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</si>
  <si>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</si>
  <si>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</si>
  <si>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</si>
  <si>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</si>
  <si>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</si>
  <si>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</si>
  <si>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</si>
  <si>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</si>
  <si>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</si>
  <si>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</si>
  <si>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</si>
  <si>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</si>
  <si>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</si>
  <si>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</si>
  <si>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</si>
  <si>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</si>
  <si>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</si>
  <si>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</si>
  <si>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</si>
  <si>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</si>
  <si>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</si>
  <si>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</si>
  <si>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</si>
  <si>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</si>
  <si>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</si>
  <si>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</si>
  <si>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</si>
  <si>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</si>
  <si>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</si>
  <si>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</si>
  <si>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</si>
  <si>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</si>
  <si>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</si>
  <si>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</si>
  <si>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</si>
  <si>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</si>
  <si>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</si>
  <si>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</si>
  <si>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</si>
  <si>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</si>
  <si>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</si>
  <si>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</si>
  <si>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</si>
  <si>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</si>
  <si>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</si>
  <si>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</si>
  <si>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</si>
  <si>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</si>
  <si>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</si>
  <si>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</si>
  <si>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</si>
  <si>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</si>
  <si>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</si>
  <si>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</si>
  <si>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</si>
  <si>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</si>
  <si>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</si>
  <si>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</si>
  <si>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</si>
  <si>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</si>
  <si>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</si>
  <si>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</si>
  <si>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</si>
  <si>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</si>
  <si>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</si>
  <si>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</si>
  <si>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</si>
  <si>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</si>
  <si>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</si>
  <si>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</si>
  <si>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</si>
  <si>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</si>
  <si>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</si>
  <si>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</si>
  <si>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</si>
  <si>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</si>
  <si>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</si>
  <si>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</si>
  <si>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</si>
  <si>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</si>
  <si>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</si>
  <si>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</si>
  <si>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</si>
  <si>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</si>
  <si>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</si>
  <si>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</si>
  <si>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</si>
  <si>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</si>
  <si>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</si>
  <si>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</si>
  <si>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</si>
  <si>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</si>
  <si>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</si>
  <si>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</si>
  <si>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</si>
  <si>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</si>
  <si>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</si>
  <si>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</si>
  <si>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</si>
  <si>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</si>
  <si>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</si>
  <si>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</si>
  <si>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</si>
  <si>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</si>
  <si>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</si>
  <si>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</si>
  <si>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</si>
  <si>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</si>
  <si>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</si>
  <si>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</si>
  <si>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</si>
  <si>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</si>
  <si>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</si>
  <si>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</si>
  <si>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</si>
  <si>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</si>
  <si>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</si>
  <si>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</si>
  <si>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</si>
  <si>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</si>
  <si>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</si>
  <si>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</si>
  <si>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</si>
  <si>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</si>
  <si>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</si>
  <si>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</si>
  <si>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</si>
  <si>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</si>
  <si>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</si>
  <si>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</si>
  <si>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</si>
  <si>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</si>
  <si>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</si>
  <si>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</si>
  <si>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</si>
  <si>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</si>
  <si>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</si>
  <si>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</si>
  <si>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</si>
  <si>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</si>
  <si>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</si>
  <si>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</si>
  <si>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</si>
  <si>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</si>
  <si>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</si>
  <si>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</si>
  <si>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</si>
  <si>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</si>
  <si>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</si>
  <si>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</si>
  <si>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</si>
  <si>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</si>
  <si>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</si>
  <si>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</si>
  <si>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</si>
  <si>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</si>
  <si>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</si>
  <si>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</si>
  <si>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</si>
  <si>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</si>
  <si>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</si>
  <si>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</si>
  <si>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</si>
  <si>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</si>
  <si>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</si>
  <si>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</si>
  <si>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</si>
  <si>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</si>
  <si>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</si>
  <si>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</si>
  <si>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</si>
  <si>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</si>
  <si>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</si>
  <si>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</si>
  <si>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</si>
  <si>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</si>
  <si>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</si>
  <si>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</si>
  <si>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</si>
  <si>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</si>
  <si>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</si>
  <si>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</si>
  <si>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</si>
  <si>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</si>
  <si>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</si>
  <si>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</si>
  <si>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</si>
  <si>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</si>
  <si>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</si>
  <si>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</si>
  <si>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</si>
  <si>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</si>
  <si>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</si>
  <si>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</si>
  <si>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</si>
  <si>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</si>
  <si>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</si>
  <si>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</si>
  <si>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</si>
  <si>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</si>
  <si>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</si>
  <si>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</si>
  <si>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</si>
  <si>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</si>
  <si>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</si>
  <si>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</si>
  <si>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</si>
  <si>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</si>
  <si>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</si>
  <si>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</si>
  <si>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</si>
  <si>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</si>
  <si>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</si>
  <si>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</si>
  <si>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</si>
  <si>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</si>
  <si>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</si>
  <si>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</si>
  <si>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</si>
  <si>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</si>
  <si>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</si>
  <si>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</si>
  <si>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</si>
  <si>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</si>
  <si>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</si>
  <si>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</si>
  <si>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</si>
  <si>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</si>
  <si>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</si>
  <si>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</si>
  <si>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</si>
  <si>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</si>
  <si>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</si>
  <si>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</si>
  <si>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</si>
  <si>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</si>
  <si>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</si>
  <si>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</si>
  <si>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</si>
  <si>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</si>
  <si>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</si>
  <si>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</si>
  <si>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</si>
  <si>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</si>
  <si>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</si>
  <si>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</si>
  <si>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</si>
  <si>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</si>
  <si>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</si>
  <si>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</si>
  <si>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</si>
  <si>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</si>
  <si>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</si>
  <si>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</si>
  <si>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</si>
  <si>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</si>
  <si>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</si>
  <si>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</si>
  <si>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</si>
  <si>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</si>
  <si>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</si>
  <si>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</si>
  <si>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</si>
  <si>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</si>
  <si>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</si>
  <si>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</si>
  <si>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</si>
  <si>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</si>
  <si>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</si>
  <si>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</si>
  <si>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</si>
  <si>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</si>
  <si>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</si>
  <si>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</si>
  <si>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</si>
  <si>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</si>
  <si>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</si>
  <si>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</si>
  <si>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</si>
  <si>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</si>
  <si>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</si>
  <si>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</si>
  <si>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</si>
  <si>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</si>
  <si>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</si>
  <si>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</si>
  <si>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</si>
  <si>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</si>
  <si>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</si>
  <si>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</si>
  <si>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</si>
  <si>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</si>
  <si>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</si>
  <si>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</si>
  <si>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</si>
  <si>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</si>
  <si>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</si>
  <si>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</si>
  <si>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</si>
  <si>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</si>
  <si>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</si>
  <si>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</si>
  <si>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</si>
  <si>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</si>
  <si>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</si>
  <si>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</si>
  <si>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</si>
  <si>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</si>
  <si>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</si>
  <si>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</si>
  <si>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</si>
  <si>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</si>
  <si>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</si>
  <si>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</si>
  <si>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</si>
  <si>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</si>
  <si>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</si>
  <si>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</si>
  <si>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</si>
  <si>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</si>
  <si>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</si>
  <si>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</si>
  <si>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</si>
  <si>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</si>
  <si>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</si>
  <si>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</si>
  <si>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</si>
  <si>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</si>
  <si>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</si>
  <si>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</si>
  <si>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</si>
  <si>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</si>
  <si>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</si>
  <si>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</si>
  <si>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</si>
  <si>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</si>
  <si>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</si>
  <si>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</si>
  <si>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</si>
  <si>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</si>
  <si>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</si>
  <si>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</si>
  <si>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</si>
  <si>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</si>
  <si>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</si>
  <si>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</si>
  <si>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</si>
  <si>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</si>
  <si>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</si>
  <si>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</si>
  <si>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</si>
  <si>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</si>
  <si>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</si>
  <si>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</si>
  <si>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</si>
  <si>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</si>
  <si>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</si>
  <si>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</si>
  <si>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</si>
  <si>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</si>
  <si>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</si>
  <si>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</si>
  <si>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</si>
  <si>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</si>
  <si>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</si>
  <si>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</si>
  <si>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</si>
  <si>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</si>
  <si>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</si>
  <si>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</si>
  <si>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</si>
  <si>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</si>
  <si>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</si>
  <si>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</si>
  <si>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</si>
  <si>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</si>
  <si>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</si>
  <si>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</si>
  <si>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</si>
  <si>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</si>
  <si>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</si>
  <si>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</si>
  <si>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</si>
  <si>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</si>
  <si>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</si>
  <si>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</si>
  <si>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</si>
  <si>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</si>
  <si>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</si>
  <si>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</si>
  <si>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</si>
  <si>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</si>
  <si>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</si>
  <si>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</si>
  <si>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</si>
  <si>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</si>
  <si>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</si>
  <si>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</si>
  <si>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</si>
  <si>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</si>
  <si>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</si>
  <si>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</si>
  <si>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</si>
  <si>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</si>
  <si>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</si>
  <si>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</si>
  <si>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</si>
  <si>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</si>
  <si>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</si>
  <si>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</si>
  <si>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</si>
  <si>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</si>
  <si>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</si>
  <si>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</si>
  <si>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</si>
  <si>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</si>
  <si>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</si>
  <si>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</si>
  <si>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</si>
  <si>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</si>
  <si>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</si>
  <si>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</si>
  <si>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</si>
  <si>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</si>
  <si>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</si>
  <si>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</si>
  <si>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</si>
  <si>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</si>
  <si>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</si>
  <si>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</si>
  <si>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</si>
  <si>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</si>
  <si>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</si>
  <si>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</si>
  <si>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</si>
  <si>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</si>
  <si>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</si>
  <si>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</si>
  <si>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</si>
  <si>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</si>
  <si>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</si>
  <si>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</si>
  <si>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</si>
  <si>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</si>
  <si>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</si>
  <si>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</si>
  <si>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</si>
  <si>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</si>
  <si>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</si>
  <si>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</si>
  <si>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</si>
  <si>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</si>
  <si>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</si>
  <si>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</si>
  <si>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</si>
  <si>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</si>
  <si>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</si>
  <si>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</si>
  <si>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</si>
  <si>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</si>
  <si>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</si>
  <si>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</si>
  <si>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</si>
  <si>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</si>
  <si>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</si>
  <si>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</si>
  <si>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</si>
  <si>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</si>
  <si>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</si>
  <si>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</si>
  <si>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</si>
  <si>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</si>
  <si>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</si>
  <si>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</si>
  <si>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</si>
  <si>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</si>
  <si>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</si>
  <si>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</si>
  <si>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</si>
  <si>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</si>
  <si>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</si>
  <si>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</si>
  <si>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</si>
  <si>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</si>
  <si>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</si>
  <si>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</si>
  <si>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</si>
  <si>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</si>
  <si>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</si>
  <si>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</si>
  <si>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</si>
  <si>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</si>
  <si>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</si>
  <si>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</si>
  <si>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</si>
  <si>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</si>
  <si>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</si>
  <si>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</si>
  <si>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</si>
  <si>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</si>
  <si>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</si>
  <si>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</si>
  <si>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</si>
  <si>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</si>
  <si>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</si>
  <si>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</si>
  <si>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</si>
  <si>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</si>
  <si>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</si>
  <si>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</si>
  <si>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</si>
  <si>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</si>
  <si>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</si>
  <si>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</si>
  <si>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</si>
  <si>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</si>
  <si>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</si>
  <si>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</si>
  <si>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</si>
  <si>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</si>
  <si>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</si>
  <si>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</si>
  <si>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</si>
  <si>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</si>
  <si>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</si>
  <si>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</si>
  <si>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</si>
  <si>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</si>
  <si>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</si>
  <si>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</si>
  <si>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</si>
  <si>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</si>
  <si>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</si>
  <si>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</si>
  <si>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</si>
  <si>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</si>
  <si>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</si>
  <si>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</si>
  <si>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</si>
  <si>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</si>
  <si>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</si>
  <si>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</si>
  <si>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</si>
  <si>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</si>
  <si>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</si>
  <si>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</si>
  <si>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</si>
  <si>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</si>
  <si>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</si>
  <si>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</si>
  <si>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</si>
  <si>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</si>
  <si>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</si>
  <si>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</si>
  <si>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</si>
  <si>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</si>
  <si>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</si>
  <si>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</si>
  <si>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</si>
  <si>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</si>
  <si>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</si>
  <si>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</si>
  <si>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</si>
  <si>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</si>
  <si>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</si>
  <si>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</si>
  <si>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</si>
  <si>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</si>
  <si>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</si>
  <si>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</si>
  <si>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</si>
  <si>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</si>
  <si>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</si>
  <si>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</si>
  <si>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</si>
  <si>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</si>
  <si>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</si>
  <si>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</si>
  <si>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</si>
  <si>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</si>
  <si>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</si>
  <si>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</si>
  <si>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</si>
  <si>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</si>
  <si>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</si>
  <si>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</si>
  <si>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</si>
  <si>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</si>
  <si>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</si>
  <si>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</si>
  <si>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</si>
  <si>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</si>
  <si>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</si>
  <si>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</si>
  <si>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</si>
  <si>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</si>
  <si>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</si>
  <si>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</si>
  <si>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</si>
  <si>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</si>
  <si>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</si>
  <si>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</si>
  <si>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</si>
  <si>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</si>
  <si>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</si>
  <si>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</si>
  <si>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</si>
  <si>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</si>
  <si>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</si>
  <si>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</si>
  <si>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</si>
  <si>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</si>
  <si>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</si>
  <si>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</si>
  <si>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</si>
  <si>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</si>
  <si>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</si>
  <si>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</si>
  <si>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</si>
  <si>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</si>
  <si>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</si>
  <si>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</si>
  <si>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</si>
  <si>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</si>
  <si>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</si>
  <si>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</si>
  <si>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</si>
  <si>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</si>
  <si>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</si>
  <si>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</si>
  <si>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</si>
  <si>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</si>
  <si>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</si>
  <si>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</si>
  <si>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</si>
  <si>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</si>
  <si>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</si>
  <si>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</si>
  <si>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</si>
  <si>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</si>
  <si>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</si>
  <si>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</si>
  <si>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</si>
  <si>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</si>
  <si>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</si>
  <si>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</si>
  <si>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</si>
  <si>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</si>
  <si>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</si>
  <si>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</si>
  <si>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</si>
  <si>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</si>
  <si>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</si>
  <si>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</si>
  <si>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</si>
  <si>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</si>
  <si>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</si>
  <si>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</si>
  <si>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</si>
  <si>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</si>
  <si>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</si>
  <si>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</si>
  <si>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</si>
  <si>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</si>
  <si>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</si>
  <si>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</si>
  <si>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</si>
  <si>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</si>
  <si>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</si>
  <si>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</si>
  <si>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</si>
  <si>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</si>
  <si>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</si>
  <si>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</si>
  <si>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</si>
  <si>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</si>
  <si>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</si>
  <si>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</si>
  <si>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</si>
  <si>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</si>
  <si>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</si>
  <si>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</si>
  <si>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</si>
  <si>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</si>
  <si>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</si>
  <si>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</si>
  <si>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</si>
  <si>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</si>
  <si>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</si>
  <si>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</si>
  <si>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</si>
  <si>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</si>
  <si>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</si>
  <si>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</si>
  <si>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</si>
  <si>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</si>
  <si>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</si>
  <si>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</si>
  <si>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</si>
  <si>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</si>
  <si>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</si>
  <si>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</si>
  <si>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</si>
  <si>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</si>
  <si>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</si>
  <si>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</si>
  <si>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</si>
  <si>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</si>
  <si>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</si>
  <si>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</si>
  <si>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</si>
  <si>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</si>
  <si>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</si>
  <si>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</si>
  <si>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</si>
  <si>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</si>
  <si>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</si>
  <si>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</si>
  <si>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</si>
  <si>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</si>
  <si>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</si>
  <si>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</si>
  <si>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</si>
  <si>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</si>
  <si>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</si>
  <si>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</si>
  <si>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</si>
  <si>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</si>
  <si>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</si>
  <si>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</si>
  <si>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</si>
  <si>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</si>
  <si>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</si>
  <si>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</si>
  <si>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</si>
  <si>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</si>
  <si>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</si>
  <si>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</si>
  <si>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</si>
  <si>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</si>
  <si>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</si>
  <si>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</si>
  <si>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</si>
  <si>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</si>
  <si>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</si>
  <si>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</si>
  <si>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</si>
  <si>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</si>
  <si>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</si>
  <si>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</si>
  <si>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</si>
  <si>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</si>
  <si>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</si>
  <si>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</si>
  <si>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</si>
  <si>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</si>
  <si>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</si>
  <si>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</si>
  <si>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</si>
  <si>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</si>
  <si>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</si>
  <si>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</si>
  <si>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</si>
  <si>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</si>
  <si>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</si>
  <si>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</si>
  <si>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</si>
  <si>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</si>
  <si>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</si>
  <si>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</si>
  <si>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</si>
  <si>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</si>
  <si>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</si>
  <si>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</si>
  <si>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</si>
  <si>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</si>
  <si>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</si>
  <si>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</si>
  <si>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</si>
  <si>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</si>
  <si>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</si>
  <si>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</si>
  <si>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</si>
  <si>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</si>
  <si>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</si>
  <si>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</si>
  <si>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</si>
  <si>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</si>
  <si>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</si>
  <si>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</si>
  <si>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</si>
  <si>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</si>
  <si>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</si>
  <si>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</si>
  <si>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</si>
  <si>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</si>
  <si>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</si>
  <si>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</si>
  <si>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</si>
  <si>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</si>
  <si>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</si>
  <si>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</si>
  <si>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</si>
  <si>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</si>
  <si>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</si>
  <si>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</si>
  <si>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</si>
  <si>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</si>
  <si>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</si>
  <si>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</si>
  <si>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</si>
  <si>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</si>
  <si>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</si>
  <si>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</si>
  <si>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</si>
  <si>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</si>
  <si>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</si>
  <si>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</si>
  <si>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</si>
  <si>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</si>
  <si>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</si>
  <si>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</si>
  <si>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</si>
  <si>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</si>
  <si>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</si>
  <si>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</si>
  <si>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</si>
  <si>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</si>
  <si>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</si>
  <si>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</si>
  <si>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</si>
  <si>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</si>
  <si>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</si>
  <si>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</si>
  <si>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</si>
  <si>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</si>
  <si>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</si>
  <si>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</si>
  <si>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</si>
  <si>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</si>
  <si>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</si>
  <si>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</si>
  <si>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</si>
  <si>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</si>
  <si>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</si>
  <si>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</si>
  <si>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</si>
  <si>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</si>
  <si>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</si>
  <si>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</si>
  <si>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</si>
  <si>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</si>
  <si>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</si>
  <si>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</si>
  <si>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</si>
  <si>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</si>
  <si>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</si>
  <si>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</si>
  <si>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</si>
  <si>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</si>
  <si>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</si>
  <si>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</si>
  <si>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</si>
  <si>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</si>
  <si>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</si>
  <si>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</si>
  <si>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</si>
  <si>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</si>
  <si>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</si>
  <si>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</si>
  <si>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</si>
  <si>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</si>
  <si>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</si>
  <si>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</si>
  <si>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</si>
  <si>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</si>
  <si>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</si>
  <si>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</si>
  <si>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</si>
  <si>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</si>
  <si>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</si>
  <si>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</si>
  <si>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</si>
  <si>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</si>
  <si>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</si>
  <si>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</si>
  <si>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</si>
  <si>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</si>
  <si>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</si>
  <si>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</si>
  <si>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</si>
  <si>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</si>
  <si>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</si>
  <si>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</si>
  <si>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</si>
  <si>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</si>
  <si>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</si>
  <si>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</si>
  <si>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</si>
  <si>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</si>
  <si>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</si>
  <si>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</si>
  <si>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</si>
  <si>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</si>
  <si>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</si>
  <si>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</si>
  <si>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</si>
  <si>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</si>
  <si>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</si>
  <si>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</si>
  <si>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</si>
  <si>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</si>
  <si>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</si>
  <si>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</si>
  <si>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</si>
  <si>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</si>
  <si>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</si>
  <si>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</si>
  <si>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</si>
  <si>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</si>
  <si>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</si>
  <si>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</si>
  <si>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</si>
  <si>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</si>
  <si>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</si>
  <si>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</si>
  <si>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</si>
  <si>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</si>
  <si>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</si>
  <si>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</si>
  <si>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</si>
  <si>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</si>
  <si>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</si>
  <si>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</si>
  <si>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</si>
  <si>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</si>
  <si>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</si>
  <si>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</si>
  <si>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</si>
  <si>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</si>
  <si>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</si>
  <si>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</si>
  <si>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</si>
  <si>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</si>
  <si>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</si>
  <si>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</si>
  <si>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</si>
  <si>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</si>
  <si>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</si>
  <si>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</si>
  <si>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</si>
  <si>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</si>
  <si>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</si>
  <si>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</si>
  <si>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</si>
  <si>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</si>
  <si>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</si>
  <si>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</si>
  <si>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</si>
  <si>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</si>
  <si>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</si>
  <si>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</si>
  <si>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</si>
  <si>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</si>
  <si>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</si>
  <si>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</si>
  <si>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</si>
  <si>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</si>
  <si>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</si>
  <si>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</si>
  <si>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</si>
  <si>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</si>
  <si>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</si>
  <si>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</si>
  <si>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</si>
  <si>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</si>
  <si>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</si>
  <si>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</si>
  <si>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</si>
  <si>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</si>
  <si>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</si>
  <si>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</si>
  <si>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</si>
  <si>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</si>
  <si>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</si>
  <si>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</si>
  <si>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</si>
  <si>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</si>
  <si>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</si>
  <si>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</si>
  <si>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</si>
  <si>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</si>
  <si>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</si>
  <si>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</si>
  <si>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</si>
  <si>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</si>
  <si>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</si>
  <si>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</si>
  <si>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</si>
  <si>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</si>
  <si>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</si>
  <si>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</si>
  <si>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</si>
  <si>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</si>
  <si>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</si>
  <si>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</si>
  <si>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</si>
  <si>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</si>
  <si>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</si>
  <si>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</si>
  <si>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</si>
  <si>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</si>
  <si>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</si>
  <si>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</si>
  <si>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</si>
  <si>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</si>
  <si>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</si>
  <si>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</si>
  <si>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</si>
  <si>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</si>
  <si>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</si>
  <si>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</si>
  <si>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</si>
  <si>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</si>
  <si>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</si>
  <si>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</si>
  <si>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</si>
  <si>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</si>
  <si>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</si>
  <si>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</si>
  <si>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</si>
  <si>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</si>
  <si>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</si>
  <si>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</si>
  <si>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</si>
  <si>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</si>
  <si>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</si>
  <si>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</si>
  <si>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</si>
  <si>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</si>
  <si>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</si>
  <si>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</si>
  <si>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</si>
  <si>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</si>
  <si>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</si>
  <si>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</si>
  <si>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</si>
  <si>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</si>
  <si>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</si>
  <si>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</si>
  <si>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</si>
  <si>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</si>
  <si>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</si>
  <si>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</si>
  <si>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</si>
  <si>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</si>
  <si>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</si>
  <si>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</si>
  <si>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</si>
  <si>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</si>
  <si>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</si>
  <si>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</si>
  <si>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</si>
  <si>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</si>
  <si>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</si>
  <si>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</si>
  <si>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</si>
  <si>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</si>
  <si>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</si>
  <si>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</si>
  <si>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</si>
  <si>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</si>
  <si>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</si>
  <si>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</si>
  <si>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</si>
  <si>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</si>
  <si>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</si>
  <si>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</si>
  <si>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</si>
  <si>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</si>
  <si>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</si>
  <si>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</si>
  <si>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</si>
  <si>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</si>
  <si>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</si>
  <si>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</si>
  <si>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</si>
  <si>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</si>
  <si>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</si>
  <si>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</si>
  <si>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</si>
  <si>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</si>
  <si>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</si>
  <si>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</si>
  <si>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</si>
  <si>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</si>
  <si>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</si>
  <si>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</si>
  <si>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</si>
  <si>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</si>
  <si>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</si>
  <si>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</si>
  <si>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</si>
  <si>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</si>
  <si>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</si>
  <si>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</si>
  <si>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</si>
  <si>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</si>
  <si>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</si>
  <si>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</si>
  <si>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</si>
  <si>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</si>
  <si>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</si>
  <si>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</si>
  <si>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</si>
  <si>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</si>
  <si>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</si>
  <si>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</si>
  <si>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</si>
  <si>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</si>
  <si>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</si>
  <si>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</si>
  <si>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</si>
  <si>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</si>
  <si>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</si>
  <si>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</si>
  <si>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</si>
  <si>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</si>
  <si>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</si>
  <si>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</si>
  <si>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</si>
  <si>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</si>
  <si>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</si>
  <si>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</si>
  <si>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</si>
  <si>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</si>
  <si>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</si>
  <si>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</si>
  <si>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</si>
  <si>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</si>
  <si>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</si>
  <si>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</si>
  <si>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</si>
  <si>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</si>
  <si>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</si>
  <si>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</si>
  <si>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</si>
  <si>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</si>
  <si>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</si>
  <si>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</si>
  <si>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</si>
  <si>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</si>
  <si>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</si>
  <si>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</si>
  <si>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</si>
  <si>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</si>
  <si>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</si>
  <si>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</si>
  <si>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</si>
  <si>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</si>
  <si>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</si>
  <si>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</si>
  <si>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</si>
  <si>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</si>
  <si>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</si>
  <si>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</si>
  <si>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</si>
  <si>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</si>
  <si>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</si>
  <si>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</si>
  <si>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</si>
  <si>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</si>
  <si>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</si>
  <si>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</si>
  <si>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</si>
  <si>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</si>
  <si>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</si>
  <si>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</si>
  <si>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</si>
  <si>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</si>
  <si>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</si>
  <si>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</si>
  <si>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</si>
  <si>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</si>
  <si>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</si>
  <si>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</si>
  <si>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</si>
  <si>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</si>
  <si>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</si>
  <si>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</si>
  <si>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</si>
  <si>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</si>
  <si>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</si>
  <si>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</si>
  <si>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</si>
  <si>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</si>
  <si>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</si>
  <si>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</si>
  <si>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</si>
  <si>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</si>
  <si>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</si>
  <si>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</si>
  <si>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</si>
  <si>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</si>
  <si>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</si>
  <si>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</si>
  <si>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</si>
  <si>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</si>
  <si>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</si>
  <si>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</si>
  <si>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</si>
  <si>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</si>
  <si>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</si>
  <si>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</si>
  <si>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</si>
  <si>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</si>
  <si>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</si>
  <si>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</si>
  <si>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</si>
  <si>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</si>
  <si>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</si>
  <si>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</si>
  <si>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</si>
  <si>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</si>
  <si>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</si>
  <si>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</si>
  <si>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</si>
  <si>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</si>
  <si>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</si>
  <si>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</si>
  <si>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</si>
  <si>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</si>
  <si>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</si>
  <si>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</si>
  <si>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</si>
  <si>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</si>
  <si>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</si>
  <si>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</si>
  <si>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</si>
  <si>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</si>
  <si>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</si>
  <si>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</si>
  <si>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</si>
  <si>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</si>
  <si>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</si>
  <si>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</si>
  <si>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</si>
  <si>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</si>
  <si>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</si>
  <si>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</si>
  <si>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</si>
  <si>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</si>
  <si>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</si>
  <si>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</si>
  <si>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</si>
  <si>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</si>
  <si>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</si>
  <si>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</si>
  <si>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</si>
  <si>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</si>
  <si>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</si>
  <si>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</si>
  <si>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</si>
  <si>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</si>
  <si>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</si>
  <si>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</si>
  <si>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</si>
  <si>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</si>
  <si>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</si>
  <si>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</si>
  <si>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</si>
  <si>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</si>
  <si>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</si>
  <si>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</si>
  <si>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</si>
  <si>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</si>
  <si>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</si>
  <si>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</si>
  <si>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</si>
  <si>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</si>
  <si>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</si>
  <si>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</si>
  <si>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</si>
  <si>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</si>
  <si>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</si>
  <si>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</si>
  <si>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</si>
  <si>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</si>
  <si>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</si>
  <si>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</si>
  <si>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</si>
  <si>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</si>
  <si>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</si>
  <si>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</si>
  <si>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</si>
  <si>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</si>
  <si>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</si>
  <si>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</si>
  <si>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</si>
  <si>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</si>
  <si>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</si>
  <si>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</si>
  <si>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</si>
  <si>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</si>
  <si>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</si>
  <si>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</si>
  <si>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</si>
  <si>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</si>
  <si>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</si>
  <si>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</si>
  <si>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</si>
  <si>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</si>
  <si>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</si>
  <si>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</si>
  <si>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</si>
  <si>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</si>
  <si>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</si>
  <si>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</si>
  <si>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</si>
  <si>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</si>
  <si>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</si>
  <si>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</si>
  <si>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</si>
  <si>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</si>
  <si>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</si>
  <si>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</si>
  <si>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</si>
  <si>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</si>
  <si>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</si>
  <si>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</si>
  <si>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</si>
  <si>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</si>
  <si>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</si>
  <si>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</si>
  <si>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</si>
  <si>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</si>
  <si>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</si>
  <si>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</si>
  <si>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</si>
  <si>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</si>
  <si>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</si>
  <si>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</si>
  <si>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</si>
  <si>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</si>
  <si>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</si>
  <si>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</si>
  <si>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</si>
  <si>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</si>
  <si>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</si>
  <si>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</si>
  <si>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</si>
  <si>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</si>
  <si>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</si>
  <si>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</si>
  <si>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</si>
  <si>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</si>
  <si>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</si>
  <si>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</si>
  <si>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</si>
  <si>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</si>
  <si>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</si>
  <si>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</si>
  <si>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</si>
  <si>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</si>
  <si>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</si>
  <si>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</si>
  <si>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</si>
  <si>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</si>
  <si>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</si>
  <si>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</si>
  <si>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</si>
  <si>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</si>
  <si>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</si>
  <si>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</si>
  <si>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</si>
  <si>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</si>
  <si>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</si>
  <si>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</si>
  <si>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</si>
  <si>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</si>
  <si>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</si>
  <si>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</si>
  <si>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</si>
  <si>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</si>
  <si>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</si>
  <si>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</si>
  <si>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</si>
  <si>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</si>
  <si>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</si>
  <si>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</si>
  <si>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</si>
  <si>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</si>
  <si>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</si>
  <si>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</si>
  <si>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</si>
  <si>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</si>
  <si>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</si>
  <si>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</si>
  <si>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</si>
  <si>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</si>
  <si>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</si>
  <si>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</si>
  <si>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</si>
  <si>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</si>
  <si>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</si>
  <si>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</si>
  <si>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</si>
  <si>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</si>
  <si>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</si>
  <si>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</si>
  <si>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</si>
  <si>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</si>
  <si>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</si>
  <si>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</si>
  <si>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</si>
  <si>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</si>
  <si>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</si>
  <si>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</si>
  <si>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</si>
  <si>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</si>
  <si>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</si>
  <si>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</si>
  <si>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</si>
  <si>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</si>
  <si>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</si>
  <si>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</si>
  <si>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</si>
  <si>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</si>
  <si>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</si>
  <si>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</si>
  <si>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</si>
  <si>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</si>
  <si>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</si>
  <si>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</si>
  <si>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</si>
  <si>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</si>
  <si>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</si>
  <si>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</si>
  <si>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</si>
  <si>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</si>
  <si>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</si>
  <si>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</si>
  <si>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</si>
  <si>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</si>
  <si>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</si>
  <si>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</si>
  <si>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</si>
  <si>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</si>
  <si>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</si>
  <si>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</si>
  <si>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</si>
  <si>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</si>
  <si>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</si>
  <si>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</si>
  <si>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</si>
  <si>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</si>
  <si>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</si>
  <si>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</si>
  <si>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</si>
  <si>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</si>
  <si>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</si>
  <si>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</si>
  <si>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</si>
  <si>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</si>
  <si>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</si>
  <si>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</si>
  <si>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</si>
  <si>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</si>
  <si>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</si>
  <si>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</si>
  <si>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</si>
  <si>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</si>
  <si>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</si>
  <si>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</si>
  <si>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</si>
  <si>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</si>
  <si>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</si>
  <si>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</si>
  <si>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</si>
  <si>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</si>
  <si>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</si>
  <si>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</si>
  <si>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</si>
  <si>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</si>
  <si>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</si>
  <si>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</si>
  <si>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</si>
  <si>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</si>
  <si>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</si>
  <si>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</si>
  <si>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</si>
  <si>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</si>
  <si>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</si>
  <si>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</si>
  <si>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</si>
  <si>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</si>
  <si>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</si>
  <si>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</si>
  <si>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</si>
  <si>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</si>
  <si>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</si>
  <si>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</si>
  <si>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</si>
  <si>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</si>
  <si>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</si>
  <si>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</si>
  <si>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</si>
  <si>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</si>
  <si>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</si>
  <si>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</si>
  <si>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</si>
  <si>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</si>
  <si>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</si>
  <si>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</si>
  <si>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</si>
  <si>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</si>
  <si>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</si>
  <si>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</si>
  <si>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</si>
  <si>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</si>
  <si>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</si>
  <si>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</si>
  <si>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</si>
  <si>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</si>
  <si>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</si>
  <si>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</si>
  <si>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</si>
  <si>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</si>
  <si>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</si>
  <si>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</si>
  <si>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</si>
  <si>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</si>
  <si>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</si>
  <si>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</si>
  <si>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</si>
  <si>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</si>
  <si>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</si>
  <si>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</si>
  <si>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</si>
  <si>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</si>
  <si>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</si>
  <si>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</si>
  <si>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</si>
  <si>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</si>
  <si>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</si>
  <si>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</si>
  <si>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</si>
  <si>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</si>
  <si>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</si>
  <si>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</si>
  <si>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</si>
  <si>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</si>
  <si>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</si>
  <si>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</si>
  <si>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</si>
  <si>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</si>
  <si>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</si>
  <si>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</si>
  <si>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</si>
  <si>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</si>
  <si>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</si>
  <si>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</si>
  <si>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</si>
  <si>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</si>
  <si>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</si>
  <si>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</si>
  <si>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</si>
  <si>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</si>
  <si>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</si>
  <si>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</si>
  <si>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</si>
  <si>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</si>
  <si>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</si>
  <si>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</si>
  <si>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</si>
  <si>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</si>
  <si>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</si>
  <si>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</si>
  <si>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</si>
  <si>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</si>
  <si>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</si>
  <si>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</si>
  <si>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</si>
  <si>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</si>
  <si>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</si>
  <si>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</si>
  <si>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</si>
  <si>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</si>
  <si>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</si>
  <si>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</si>
  <si>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</si>
  <si>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</si>
  <si>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</si>
  <si>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</si>
  <si>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</si>
  <si>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</si>
  <si>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</si>
  <si>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</si>
  <si>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</si>
  <si>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</si>
  <si>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</si>
  <si>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</si>
  <si>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</si>
  <si>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</si>
  <si>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</si>
  <si>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</si>
  <si>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</si>
  <si>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</si>
  <si>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</si>
  <si>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</si>
  <si>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</si>
  <si>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</si>
  <si>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</si>
  <si>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</si>
  <si>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</si>
  <si>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</si>
  <si>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</si>
  <si>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</si>
  <si>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</si>
  <si>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</si>
  <si>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</si>
  <si>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</si>
  <si>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</si>
  <si>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</si>
  <si>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</si>
  <si>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</si>
  <si>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</si>
  <si>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</si>
  <si>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</si>
  <si>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</si>
  <si>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</si>
  <si>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</si>
  <si>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</si>
  <si>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</si>
  <si>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</si>
  <si>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</si>
  <si>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</si>
  <si>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</si>
  <si>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</si>
  <si>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</si>
  <si>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</si>
  <si>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</si>
  <si>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</si>
  <si>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</si>
  <si>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</si>
  <si>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</si>
  <si>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</si>
  <si>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</si>
  <si>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</si>
  <si>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</si>
  <si>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</si>
  <si>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</si>
  <si>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</si>
  <si>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</si>
  <si>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</si>
  <si>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</si>
  <si>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</si>
  <si>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</si>
  <si>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</si>
  <si>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</si>
  <si>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</si>
  <si>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</si>
  <si>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</si>
  <si>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</si>
  <si>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</si>
  <si>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</si>
  <si>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</si>
  <si>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</si>
  <si>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</si>
  <si>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</si>
  <si>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</si>
  <si>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</si>
  <si>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</si>
  <si>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</si>
  <si>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</si>
  <si>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</si>
  <si>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</si>
  <si>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</si>
  <si>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</si>
  <si>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</si>
  <si>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</si>
  <si>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</si>
  <si>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</si>
  <si>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</si>
  <si>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</si>
  <si>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</si>
  <si>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</si>
  <si>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</si>
  <si>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</si>
  <si>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</si>
  <si>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</si>
  <si>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</si>
  <si>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</si>
  <si>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</si>
  <si>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</si>
  <si>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</si>
  <si>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</si>
  <si>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</si>
  <si>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</si>
  <si>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</si>
  <si>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</si>
  <si>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</si>
  <si>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</si>
  <si>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</si>
  <si>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</si>
  <si>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</si>
  <si>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</si>
  <si>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</si>
  <si>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</si>
  <si>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</si>
  <si>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</si>
  <si>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</si>
  <si>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</si>
  <si>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</si>
  <si>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</si>
  <si>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</si>
  <si>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</si>
  <si>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</si>
  <si>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</si>
  <si>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</si>
  <si>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</si>
  <si>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</si>
  <si>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</si>
  <si>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</si>
  <si>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</si>
  <si>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</si>
  <si>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</si>
  <si>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</si>
  <si>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</si>
  <si>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</si>
  <si>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</si>
  <si>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</si>
  <si>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</si>
  <si>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</si>
  <si>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</si>
  <si>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</si>
  <si>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</si>
  <si>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</si>
  <si>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</si>
  <si>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</si>
  <si>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</si>
  <si>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</si>
  <si>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</si>
  <si>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</si>
  <si>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</si>
  <si>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</si>
  <si>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</si>
  <si>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</si>
  <si>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</si>
  <si>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</si>
  <si>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</si>
  <si>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</si>
  <si>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</si>
  <si>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</si>
  <si>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</si>
  <si>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</si>
  <si>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</si>
  <si>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</si>
  <si>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</si>
  <si>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</si>
  <si>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</si>
  <si>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</si>
  <si>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</si>
  <si>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</si>
  <si>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</si>
  <si>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</si>
  <si>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</si>
  <si>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</si>
  <si>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</si>
  <si>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</si>
  <si>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</si>
  <si>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</si>
  <si>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</si>
  <si>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</si>
  <si>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</si>
  <si>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</si>
  <si>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</si>
  <si>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</si>
  <si>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</si>
  <si>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</si>
  <si>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</si>
  <si>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</si>
  <si>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</si>
  <si>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</si>
  <si>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</si>
  <si>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</si>
  <si>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</si>
  <si>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</si>
  <si>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</si>
  <si>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</si>
  <si>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</si>
  <si>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</si>
  <si>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</si>
  <si>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</si>
  <si>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</si>
  <si>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</si>
  <si>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</si>
  <si>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</si>
  <si>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</si>
  <si>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</si>
  <si>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</si>
  <si>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</si>
  <si>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</si>
  <si>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</si>
  <si>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</si>
  <si>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</si>
  <si>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</si>
  <si>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</si>
  <si>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</si>
  <si>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</si>
  <si>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</si>
  <si>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</si>
  <si>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</si>
  <si>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</si>
  <si>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</si>
  <si>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</si>
  <si>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</si>
  <si>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</si>
  <si>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</si>
  <si>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</si>
  <si>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</si>
  <si>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</si>
  <si>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</si>
  <si>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</si>
  <si>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</si>
  <si>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</si>
  <si>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</si>
  <si>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</si>
  <si>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</si>
  <si>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</si>
  <si>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</si>
  <si>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</si>
  <si>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</si>
  <si>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</si>
  <si>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</si>
  <si>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</si>
  <si>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</si>
  <si>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</si>
  <si>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</si>
  <si>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</si>
  <si>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</si>
  <si>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</si>
  <si>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</si>
  <si>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</si>
  <si>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</si>
  <si>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</si>
  <si>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</si>
  <si>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</si>
  <si>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</si>
  <si>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</si>
  <si>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</si>
  <si>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</si>
  <si>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</si>
  <si>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</si>
  <si>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</si>
  <si>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</si>
  <si>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</si>
  <si>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</si>
  <si>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</si>
  <si>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</si>
  <si>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</si>
  <si>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</si>
  <si>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</si>
  <si>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</si>
  <si>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</si>
  <si>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</si>
  <si>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</si>
  <si>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</si>
  <si>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</si>
  <si>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</si>
  <si>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</si>
  <si>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</si>
  <si>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</si>
  <si>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</si>
  <si>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</si>
  <si>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</si>
  <si>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</si>
  <si>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</si>
  <si>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</si>
  <si>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</si>
  <si>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</si>
  <si>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</si>
  <si>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</si>
  <si>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</si>
  <si>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</si>
  <si>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</si>
  <si>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</si>
  <si>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</si>
  <si>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</si>
  <si>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</si>
  <si>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</si>
  <si>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</si>
  <si>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</si>
  <si>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</si>
  <si>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</si>
  <si>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</si>
  <si>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</si>
  <si>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</si>
  <si>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</si>
  <si>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</si>
  <si>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</si>
  <si>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</si>
  <si>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</si>
  <si>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</si>
  <si>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</si>
  <si>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</si>
  <si>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</si>
  <si>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</si>
  <si>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</si>
  <si>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</si>
  <si>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</si>
  <si>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</si>
  <si>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</si>
  <si>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</si>
  <si>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</si>
  <si>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</si>
  <si>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</si>
  <si>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</si>
  <si>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</si>
  <si>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</si>
  <si>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</si>
  <si>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</si>
  <si>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</si>
  <si>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</si>
  <si>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</si>
  <si>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</si>
  <si>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</si>
  <si>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</si>
  <si>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</si>
  <si>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</si>
  <si>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</si>
  <si>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</si>
  <si>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</si>
  <si>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</si>
  <si>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</si>
  <si>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</si>
  <si>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</si>
  <si>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</si>
  <si>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</si>
  <si>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</si>
  <si>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</si>
  <si>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</si>
  <si>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</si>
  <si>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</si>
  <si>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</si>
  <si>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</si>
  <si>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</si>
  <si>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</si>
  <si>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</si>
  <si>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</si>
  <si>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</si>
  <si>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</si>
  <si>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</si>
  <si>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</si>
  <si>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</si>
  <si>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</si>
  <si>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</si>
  <si>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</si>
  <si>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</si>
  <si>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</si>
  <si>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</si>
  <si>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</si>
  <si>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</si>
  <si>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</si>
  <si>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</si>
  <si>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</si>
  <si>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</si>
  <si>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</si>
  <si>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</si>
  <si>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</si>
  <si>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</si>
  <si>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</si>
  <si>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</si>
  <si>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</si>
  <si>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</si>
  <si>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</si>
  <si>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</si>
  <si>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</si>
  <si>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</si>
  <si>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</si>
  <si>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</si>
  <si>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</si>
  <si>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</si>
  <si>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</si>
  <si>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</si>
  <si>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</si>
  <si>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</si>
  <si>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</si>
  <si>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</si>
  <si>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</si>
  <si>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</si>
  <si>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</si>
  <si>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</si>
  <si>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</si>
  <si>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</si>
  <si>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</si>
  <si>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</si>
  <si>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</si>
  <si>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</si>
  <si>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</si>
  <si>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</si>
  <si>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</si>
  <si>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</si>
  <si>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</si>
  <si>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</si>
  <si>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</si>
  <si>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</si>
  <si>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</si>
  <si>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</si>
  <si>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</si>
  <si>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</si>
  <si>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</si>
  <si>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</si>
  <si>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</si>
  <si>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</si>
  <si>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</si>
  <si>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</si>
  <si>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</si>
  <si>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</si>
  <si>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</si>
  <si>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</si>
  <si>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</si>
  <si>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</si>
  <si>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</si>
  <si>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</si>
  <si>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</si>
  <si>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</si>
  <si>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</si>
  <si>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</si>
  <si>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</si>
  <si>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</si>
  <si>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</si>
  <si>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</si>
  <si>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</si>
  <si>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</si>
  <si>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</si>
  <si>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</si>
  <si>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</si>
  <si>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</si>
  <si>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</si>
  <si>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</si>
  <si>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</si>
  <si>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</si>
  <si>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</si>
  <si>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</si>
  <si>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</si>
  <si>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</si>
  <si>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</si>
  <si>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</si>
  <si>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</si>
  <si>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</si>
  <si>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</si>
  <si>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</si>
  <si>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</si>
  <si>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</si>
  <si>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</si>
  <si>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</si>
  <si>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</si>
  <si>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</si>
  <si>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</si>
  <si>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</si>
  <si>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</si>
  <si>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</si>
  <si>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</si>
  <si>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</si>
  <si>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</si>
  <si>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</si>
  <si>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</si>
  <si>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</si>
  <si>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</si>
  <si>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</si>
  <si>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</si>
  <si>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</si>
  <si>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</si>
  <si>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</si>
  <si>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</si>
  <si>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</si>
  <si>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</si>
  <si>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</si>
  <si>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</si>
  <si>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</si>
  <si>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</si>
  <si>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</si>
  <si>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</si>
  <si>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</si>
  <si>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</si>
  <si>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</si>
  <si>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</si>
  <si>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</si>
  <si>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</si>
  <si>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</si>
  <si>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</si>
  <si>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</si>
  <si>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</si>
  <si>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</si>
  <si>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</si>
  <si>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</si>
  <si>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</si>
  <si>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</si>
  <si>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</si>
  <si>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</si>
  <si>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</si>
  <si>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</si>
  <si>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</si>
  <si>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</si>
  <si>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</si>
  <si>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</si>
  <si>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</si>
  <si>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</si>
  <si>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</si>
  <si>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</si>
  <si>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</si>
  <si>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</si>
  <si>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</si>
  <si>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</si>
  <si>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</si>
  <si>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</si>
  <si>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</si>
  <si>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</si>
  <si>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</si>
  <si>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</si>
  <si>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</si>
  <si>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</si>
  <si>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</si>
  <si>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</si>
  <si>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</si>
  <si>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</si>
  <si>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</si>
  <si>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</si>
  <si>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</si>
  <si>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</si>
  <si>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</si>
  <si>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</si>
  <si>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</si>
  <si>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</si>
  <si>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</si>
  <si>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</si>
  <si>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</si>
  <si>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</si>
  <si>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</si>
  <si>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</si>
  <si>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</si>
  <si>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</si>
  <si>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</si>
  <si>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</si>
  <si>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</si>
  <si>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</si>
  <si>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</si>
  <si>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</si>
  <si>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</si>
  <si>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</si>
  <si>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</si>
  <si>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</si>
  <si>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</si>
  <si>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</si>
  <si>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</si>
  <si>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</si>
  <si>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</si>
  <si>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</si>
  <si>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</si>
  <si>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</si>
  <si>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</si>
  <si>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</si>
  <si>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</si>
  <si>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</si>
  <si>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</si>
  <si>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</si>
  <si>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</si>
  <si>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</si>
  <si>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</si>
  <si>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</si>
  <si>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</si>
  <si>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</si>
  <si>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</si>
  <si>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</si>
  <si>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</si>
  <si>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</si>
  <si>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</si>
  <si>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</si>
  <si>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</si>
  <si>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</si>
  <si>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</si>
  <si>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</si>
  <si>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</si>
  <si>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</si>
  <si>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</si>
  <si>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</si>
  <si>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</si>
  <si>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</si>
  <si>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</si>
  <si>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</si>
  <si>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</si>
  <si>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</si>
  <si>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</si>
  <si>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</si>
  <si>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</si>
  <si>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</si>
  <si>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</si>
  <si>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</si>
  <si>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</si>
  <si>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</si>
  <si>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</si>
  <si>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</si>
  <si>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</si>
  <si>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</si>
  <si>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</si>
  <si>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</si>
  <si>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</si>
  <si>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</si>
  <si>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</si>
  <si>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</si>
  <si>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</si>
  <si>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</si>
  <si>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</si>
  <si>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</si>
  <si>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</si>
  <si>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</si>
  <si>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</si>
  <si>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</si>
  <si>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</si>
  <si>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</si>
  <si>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</si>
  <si>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</si>
  <si>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</si>
  <si>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</si>
  <si>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</si>
  <si>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</si>
  <si>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</si>
  <si>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</si>
  <si>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</si>
  <si>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</si>
  <si>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</si>
  <si>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</si>
  <si>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</si>
  <si>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</si>
  <si>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</si>
  <si>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</si>
  <si>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</si>
  <si>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</si>
  <si>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</si>
  <si>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</si>
  <si>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</si>
  <si>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</si>
  <si>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</si>
  <si>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</si>
  <si>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</si>
  <si>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</si>
  <si>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</si>
  <si>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</si>
  <si>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</si>
  <si>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</si>
  <si>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</si>
  <si>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</si>
  <si>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</si>
  <si>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</si>
  <si>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</si>
  <si>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</si>
  <si>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</si>
  <si>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</si>
  <si>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</si>
  <si>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</si>
  <si>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</si>
  <si>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</si>
  <si>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</si>
  <si>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</si>
  <si>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</si>
  <si>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</si>
  <si>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</si>
  <si>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</si>
  <si>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</si>
  <si>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</si>
  <si>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</si>
  <si>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</si>
  <si>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</si>
  <si>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</si>
  <si>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</si>
  <si>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</si>
  <si>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</si>
  <si>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</si>
  <si>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</si>
  <si>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</si>
  <si>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</si>
  <si>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</si>
  <si>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</si>
  <si>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</si>
  <si>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</si>
  <si>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</si>
  <si>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</si>
  <si>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</si>
  <si>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</si>
  <si>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</si>
  <si>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</si>
  <si>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</si>
  <si>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</si>
  <si>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</si>
  <si>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</si>
  <si>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</si>
  <si>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</si>
  <si>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</si>
  <si>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</si>
  <si>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</si>
  <si>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</si>
  <si>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</si>
  <si>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</si>
  <si>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</si>
  <si>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</si>
  <si>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</si>
  <si>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</si>
  <si>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</si>
  <si>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</si>
  <si>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</si>
  <si>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</si>
  <si>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</si>
  <si>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</si>
  <si>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</si>
  <si>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</si>
  <si>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</si>
  <si>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</si>
  <si>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</si>
  <si>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</si>
  <si>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</si>
  <si>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</si>
  <si>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</si>
  <si>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</si>
  <si>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</si>
  <si>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</si>
  <si>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</si>
  <si>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</si>
  <si>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</si>
  <si>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</si>
  <si>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</si>
  <si>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</si>
  <si>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</si>
  <si>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</si>
  <si>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</si>
  <si>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</si>
  <si>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</si>
  <si>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</si>
  <si>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</si>
  <si>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</si>
  <si>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</si>
  <si>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</si>
  <si>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</si>
  <si>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</si>
  <si>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</si>
  <si>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</si>
  <si>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</si>
  <si>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</si>
  <si>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</si>
  <si>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</si>
  <si>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</si>
  <si>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</si>
  <si>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</si>
  <si>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</si>
  <si>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</si>
  <si>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</si>
  <si>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</si>
  <si>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</si>
  <si>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</si>
  <si>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</si>
  <si>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</si>
  <si>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</si>
  <si>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</si>
  <si>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</si>
  <si>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</si>
  <si>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</si>
  <si>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</si>
  <si>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</si>
  <si>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</si>
  <si>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</si>
  <si>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</si>
  <si>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</si>
  <si>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</si>
  <si>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</si>
  <si>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</si>
  <si>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</si>
  <si>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</si>
  <si>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</si>
  <si>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</si>
  <si>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</si>
  <si>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</si>
  <si>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</si>
  <si>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</si>
  <si>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</si>
  <si>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</si>
  <si>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</si>
  <si>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</si>
  <si>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</si>
  <si>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</si>
  <si>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</si>
  <si>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</si>
  <si>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</si>
  <si>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</si>
  <si>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</si>
  <si>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</si>
  <si>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</si>
  <si>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</si>
  <si>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</si>
  <si>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</si>
  <si>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</si>
  <si>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</si>
  <si>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</si>
  <si>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</si>
  <si>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</si>
  <si>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</si>
  <si>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</si>
  <si>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</si>
  <si>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</si>
  <si>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</si>
  <si>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</si>
  <si>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</si>
  <si>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</si>
  <si>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</si>
  <si>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</si>
  <si>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</si>
  <si>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</si>
  <si>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</si>
  <si>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</si>
  <si>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</si>
  <si>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</si>
  <si>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</si>
  <si>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</si>
  <si>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</si>
  <si>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</si>
  <si>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</si>
  <si>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</si>
  <si>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</si>
  <si>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</si>
  <si>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</si>
  <si>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</si>
  <si>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</si>
  <si>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</si>
  <si>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</si>
  <si>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</si>
  <si>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</si>
  <si>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</si>
  <si>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</si>
  <si>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</si>
  <si>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</si>
  <si>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</si>
  <si>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</si>
  <si>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</si>
  <si>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</si>
  <si>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</si>
  <si>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</si>
  <si>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</si>
  <si>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</si>
  <si>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</si>
  <si>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</si>
  <si>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</si>
  <si>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</si>
  <si>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</si>
  <si>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</si>
  <si>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</si>
  <si>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</si>
  <si>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</si>
  <si>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</si>
  <si>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</si>
  <si>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</si>
  <si>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</si>
  <si>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</si>
  <si>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</si>
  <si>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</si>
  <si>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</si>
  <si>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</si>
  <si>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</si>
  <si>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</si>
  <si>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</si>
  <si>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</si>
  <si>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</si>
  <si>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</si>
  <si>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</si>
  <si>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</si>
  <si>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</si>
  <si>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</si>
  <si>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</si>
  <si>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</si>
  <si>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</si>
  <si>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</si>
  <si>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</si>
  <si>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</si>
  <si>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</si>
  <si>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</si>
  <si>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</si>
  <si>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</si>
  <si>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</si>
  <si>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</si>
  <si>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</si>
  <si>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</si>
  <si>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</si>
  <si>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</si>
  <si>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</si>
  <si>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</si>
  <si>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</si>
  <si>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</si>
  <si>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</si>
  <si>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</si>
  <si>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</si>
  <si>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</si>
  <si>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</si>
  <si>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</si>
  <si>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</si>
  <si>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</si>
  <si>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</si>
  <si>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</si>
  <si>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</si>
  <si>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</si>
  <si>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</si>
  <si>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</si>
  <si>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</si>
  <si>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</si>
  <si>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</si>
  <si>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</si>
  <si>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</si>
  <si>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</si>
  <si>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</si>
  <si>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</si>
  <si>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</si>
  <si>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</si>
  <si>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</si>
  <si>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</si>
  <si>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</si>
  <si>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</si>
  <si>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</si>
  <si>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</si>
  <si>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</si>
  <si>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</si>
  <si>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</si>
  <si>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</si>
  <si>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</si>
  <si>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</si>
  <si>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</si>
  <si>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</si>
  <si>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</si>
  <si>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</si>
  <si>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</si>
  <si>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</si>
  <si>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</si>
  <si>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</si>
  <si>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</si>
  <si>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</si>
  <si>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</si>
  <si>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</si>
  <si>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</si>
  <si>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</si>
  <si>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</si>
  <si>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</si>
  <si>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</si>
  <si>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</si>
  <si>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</si>
  <si>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</si>
  <si>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</si>
  <si>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</si>
  <si>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</si>
  <si>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</si>
  <si>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</si>
  <si>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</si>
  <si>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</si>
  <si>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</si>
  <si>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</si>
  <si>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</si>
  <si>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</si>
  <si>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</si>
  <si>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</si>
  <si>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</si>
  <si>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</si>
  <si>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</si>
  <si>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</si>
  <si>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</si>
  <si>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</si>
  <si>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</si>
  <si>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</si>
  <si>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</si>
  <si>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</si>
  <si>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</si>
  <si>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</si>
  <si>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</si>
  <si>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</si>
  <si>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</si>
  <si>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</si>
  <si>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</si>
  <si>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</si>
  <si>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</si>
  <si>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</si>
  <si>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</si>
  <si>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</si>
  <si>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</si>
  <si>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</si>
  <si>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</si>
  <si>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</si>
  <si>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</si>
  <si>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</si>
  <si>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</si>
  <si>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</si>
  <si>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</si>
  <si>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</si>
  <si>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</si>
  <si>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</si>
  <si>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</si>
  <si>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</si>
  <si>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</si>
  <si>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</si>
  <si>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</si>
  <si>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</si>
  <si>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</si>
  <si>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</si>
  <si>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</si>
  <si>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</si>
  <si>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</si>
  <si>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</si>
  <si>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</si>
  <si>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</si>
  <si>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</si>
  <si>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</si>
  <si>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</si>
  <si>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</si>
  <si>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</si>
  <si>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</si>
  <si>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</si>
  <si>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</si>
  <si>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</si>
  <si>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</si>
  <si>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</si>
  <si>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</si>
  <si>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</si>
  <si>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</si>
  <si>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</si>
  <si>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</si>
  <si>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</si>
  <si>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</si>
  <si>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</si>
  <si>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</si>
  <si>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</si>
  <si>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</si>
  <si>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</si>
  <si>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</si>
  <si>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</si>
  <si>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</si>
  <si>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</si>
  <si>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</si>
  <si>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</si>
  <si>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</si>
  <si>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</si>
  <si>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</si>
  <si>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</si>
  <si>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</si>
  <si>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</si>
  <si>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</si>
  <si>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</si>
  <si>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</si>
  <si>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</si>
  <si>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</si>
  <si>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</si>
  <si>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</si>
  <si>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</si>
  <si>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</si>
  <si>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</si>
  <si>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</si>
  <si>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</si>
  <si>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</si>
  <si>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</si>
  <si>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</si>
  <si>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</si>
  <si>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</si>
  <si>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</si>
  <si>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</si>
  <si>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</si>
  <si>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</si>
  <si>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</si>
  <si>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</si>
  <si>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</si>
  <si>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</si>
  <si>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</si>
  <si>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</si>
  <si>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</si>
  <si>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</si>
  <si>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</si>
  <si>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</si>
  <si>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</si>
  <si>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</si>
  <si>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</si>
  <si>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</si>
  <si>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</si>
  <si>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</si>
  <si>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</si>
  <si>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</si>
  <si>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</si>
  <si>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</si>
  <si>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</si>
  <si>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</si>
  <si>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</si>
  <si>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</si>
  <si>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</si>
  <si>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</si>
  <si>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</si>
  <si>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</si>
  <si>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</si>
  <si>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</si>
  <si>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</si>
  <si>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</si>
  <si>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</si>
  <si>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</si>
  <si>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</si>
  <si>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</si>
  <si>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</si>
  <si>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</si>
  <si>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</si>
  <si>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</si>
  <si>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</si>
  <si>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</si>
  <si>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</si>
  <si>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</si>
  <si>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</si>
  <si>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</si>
  <si>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</si>
  <si>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</si>
  <si>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</si>
  <si>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</si>
  <si>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</si>
  <si>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</si>
  <si>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</si>
  <si>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</si>
  <si>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</si>
  <si>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</si>
  <si>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</si>
  <si>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</si>
  <si>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</si>
  <si>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</si>
  <si>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</si>
  <si>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</si>
  <si>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</si>
  <si>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</si>
  <si>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</si>
  <si>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</si>
  <si>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</si>
  <si>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</si>
  <si>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</si>
  <si>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</si>
  <si>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</si>
  <si>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</si>
  <si>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</si>
  <si>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</si>
  <si>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</si>
  <si>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</si>
  <si>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</si>
  <si>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</si>
  <si>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</si>
  <si>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</si>
  <si>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</si>
  <si>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</si>
  <si>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</si>
  <si>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</si>
  <si>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</si>
  <si>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</si>
  <si>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</si>
  <si>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</si>
  <si>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</si>
  <si>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</si>
  <si>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</si>
  <si>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</si>
  <si>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</si>
  <si>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</si>
  <si>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</si>
  <si>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</si>
  <si>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</si>
  <si>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</si>
  <si>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</si>
  <si>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</si>
  <si>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</si>
  <si>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</si>
  <si>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</si>
  <si>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</si>
  <si>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</si>
  <si>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</si>
  <si>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</si>
  <si>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</si>
  <si>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</si>
  <si>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</si>
  <si>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</si>
  <si>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</si>
  <si>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</si>
  <si>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</si>
  <si>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</si>
  <si>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</si>
  <si>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</si>
  <si>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</si>
  <si>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</si>
  <si>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</si>
  <si>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</si>
  <si>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</si>
  <si>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</si>
  <si>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</si>
  <si>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</si>
  <si>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</si>
  <si>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</si>
  <si>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</si>
  <si>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</si>
  <si>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</si>
  <si>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</si>
  <si>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</si>
  <si>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</si>
  <si>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</si>
  <si>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</si>
  <si>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</si>
  <si>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</si>
  <si>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</si>
  <si>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</si>
  <si>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</si>
  <si>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</si>
  <si>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</si>
  <si>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</si>
  <si>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</si>
  <si>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</si>
  <si>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</si>
  <si>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</si>
  <si>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</si>
  <si>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</si>
  <si>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</si>
  <si>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</si>
  <si>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</si>
  <si>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</si>
  <si>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</si>
  <si>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</si>
  <si>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</si>
  <si>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</si>
  <si>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</si>
  <si>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</si>
  <si>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</si>
  <si>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</si>
  <si>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</si>
  <si>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</si>
  <si>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</si>
  <si>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</si>
  <si>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</si>
  <si>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</si>
  <si>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</si>
  <si>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</si>
  <si>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</si>
  <si>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</si>
  <si>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</si>
  <si>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</si>
  <si>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</si>
  <si>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</si>
  <si>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</si>
  <si>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</si>
  <si>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</si>
  <si>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</si>
  <si>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</si>
  <si>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</si>
  <si>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</si>
  <si>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</si>
  <si>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</si>
  <si>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</si>
  <si>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</si>
  <si>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</si>
  <si>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</si>
  <si>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</si>
  <si>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</si>
  <si>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</si>
  <si>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</si>
  <si>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</si>
  <si>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</si>
  <si>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</si>
  <si>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</si>
  <si>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</si>
  <si>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</si>
  <si>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</si>
  <si>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</si>
  <si>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</si>
  <si>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</si>
  <si>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</si>
  <si>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</si>
  <si>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</si>
  <si>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</si>
  <si>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</si>
  <si>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</si>
  <si>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</si>
  <si>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</si>
  <si>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</si>
  <si>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</si>
  <si>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</si>
  <si>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</si>
  <si>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</si>
  <si>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</si>
  <si>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</si>
  <si>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</si>
  <si>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</si>
  <si>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</si>
  <si>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</si>
  <si>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</si>
  <si>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</si>
  <si>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</si>
  <si>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</si>
  <si>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</si>
  <si>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</si>
  <si>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</si>
  <si>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</si>
  <si>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</si>
  <si>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法定年限</t>
    <phoneticPr fontId="26"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</si>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</sst>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cell r="C14">
            <v>41299</v>
          </cell>
          <cell r="D14">
            <v>23440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5674</v>
      </c>
    </row>
    <row r="47" spans="1:2">
      <c r="A47" s="2877" t="s">
        <v>2721</v>
      </c>
      <c r="B47" s="2878">
        <f ca="1">'预评函-2'!Q5</f>
        <v>3783</v>
      </c>
    </row>
    <row r="48" spans="1:2">
      <c r="A48" s="2877" t="s">
        <v>2722</v>
      </c>
      <c r="B48" s="2878">
        <f ca="1">'预评函-2'!R5</f>
        <v>38602</v>
      </c>
    </row>
    <row r="49" spans="1:2">
      <c r="A49" s="2877" t="s">
        <v>2738</v>
      </c>
      <c r="B49" s="2878" t="str">
        <f>'预评函-2'!A6</f>
        <v>抵押价格</v>
      </c>
    </row>
    <row r="50" spans="1:2">
      <c r="A50" s="2877" t="s">
        <v>2723</v>
      </c>
      <c r="B50" s="2878">
        <f ca="1">'预评函-2'!R6</f>
        <v>38602</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277" t="str">
        <f>IF(B10="北京市","北京市",C10)&amp;F10&amp;B16&amp;"国有建设用地使用权"&amp;B9&amp;"预评估"</f>
        <v>重庆两江新区航悦项目E01-04-02出让国有建设用地使用权抵押价格预评估</v>
      </c>
      <c r="C1" s="3278"/>
      <c r="D1" s="3278"/>
      <c r="E1" s="3278"/>
      <c r="F1" s="3278"/>
      <c r="G1" s="3278"/>
      <c r="H1" s="3278"/>
      <c r="I1" s="3279"/>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83"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284"/>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80"/>
      <c r="C12" s="3281"/>
      <c r="D12" s="3282"/>
      <c r="E12" s="1697" t="s">
        <v>2062</v>
      </c>
      <c r="F12" s="3298" t="s">
        <v>2886</v>
      </c>
      <c r="G12" s="3299"/>
      <c r="H12" s="3299"/>
      <c r="I12" s="3300"/>
      <c r="J12" s="1692"/>
      <c r="K12" s="1772"/>
      <c r="L12" s="1721"/>
      <c r="M12" s="1721"/>
      <c r="N12" s="1692"/>
      <c r="O12" s="1693"/>
      <c r="P12" s="1692"/>
      <c r="Q12" s="1692"/>
      <c r="R12" s="1692"/>
      <c r="S12" s="1692"/>
      <c r="T12" s="1692"/>
      <c r="U12" s="1692"/>
    </row>
    <row r="13" spans="1:21">
      <c r="A13" s="1685" t="s">
        <v>2060</v>
      </c>
      <c r="B13" s="3280"/>
      <c r="C13" s="3281"/>
      <c r="D13" s="3282"/>
      <c r="E13" s="1697" t="s">
        <v>2062</v>
      </c>
      <c r="F13" s="3298" t="s">
        <v>2887</v>
      </c>
      <c r="G13" s="3299"/>
      <c r="H13" s="3299"/>
      <c r="I13" s="3300"/>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95"/>
      <c r="E20" s="3296"/>
      <c r="F20" s="3296"/>
      <c r="G20" s="3296"/>
      <c r="H20" s="3296"/>
      <c r="I20" s="3297"/>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285" t="s">
        <v>1999</v>
      </c>
      <c r="F21" s="3286"/>
      <c r="G21" s="3286"/>
      <c r="H21" s="3286"/>
      <c r="I21" s="3287"/>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285" t="s">
        <v>2888</v>
      </c>
      <c r="F22" s="3286"/>
      <c r="G22" s="3286"/>
      <c r="H22" s="3286"/>
      <c r="I22" s="3287"/>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8" t="s">
        <v>1967</v>
      </c>
      <c r="C24" s="3289"/>
      <c r="D24" s="3290" t="s">
        <v>1968</v>
      </c>
      <c r="E24" s="3291"/>
      <c r="F24" s="1706" t="s">
        <v>1969</v>
      </c>
      <c r="G24" s="1692"/>
      <c r="H24" s="1692"/>
      <c r="I24" s="1705"/>
      <c r="J24" s="1692"/>
      <c r="K24" s="3276"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27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27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262" t="s">
        <v>2002</v>
      </c>
      <c r="B31" s="1762" t="s">
        <v>2003</v>
      </c>
      <c r="C31" s="3301" t="s">
        <v>3000</v>
      </c>
      <c r="D31" s="3302"/>
      <c r="E31" s="1692"/>
      <c r="F31" s="1692"/>
      <c r="G31" s="1692"/>
      <c r="H31" s="1692"/>
      <c r="I31" s="1705"/>
      <c r="J31" s="1692"/>
      <c r="K31" s="2457"/>
      <c r="L31" s="1692"/>
      <c r="M31" s="1692"/>
      <c r="N31" s="1692"/>
      <c r="O31" s="1692"/>
      <c r="P31" s="1692"/>
      <c r="Q31" s="1692"/>
      <c r="R31" s="1692"/>
      <c r="S31" s="1692"/>
      <c r="T31" s="1692"/>
      <c r="U31" s="1692"/>
    </row>
    <row r="32" spans="1:21">
      <c r="A32" s="3262"/>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2006</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846</v>
      </c>
      <c r="B35" s="1720" t="s">
        <v>3003</v>
      </c>
      <c r="C35" s="1774" t="str">
        <f>IF(B35="场地平整","——","具体情况：")</f>
        <v>——</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2055</v>
      </c>
      <c r="C36" s="3272"/>
      <c r="D36" s="1790" t="s">
        <v>3004</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31.2">
      <c r="A37" s="3262"/>
      <c r="B37" s="329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93"/>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263"/>
      <c r="B39" s="329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275" t="s">
        <v>1986</v>
      </c>
      <c r="T40" s="1729" t="str">
        <f>NUMBERSTRING(7-K40,1)&amp;"通"</f>
        <v>七通</v>
      </c>
      <c r="U40" s="1692"/>
    </row>
    <row r="41" spans="1:21">
      <c r="A41" s="1661"/>
      <c r="B41" s="3267" t="s">
        <v>1720</v>
      </c>
      <c r="C41" s="3267"/>
      <c r="D41" s="3267"/>
      <c r="E41" s="3267"/>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75"/>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C23" sqref="C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46.8">
      <c r="A3" s="3303"/>
      <c r="B3" s="3303"/>
      <c r="C3" s="3303"/>
      <c r="D3" s="3304"/>
      <c r="E3" s="330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37" sqref="F37"/>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14" t="s">
        <v>202</v>
      </c>
      <c r="B2" s="3314"/>
      <c r="C2" s="3314"/>
      <c r="D2" s="1974" t="s">
        <v>203</v>
      </c>
      <c r="E2" s="106" t="s">
        <v>204</v>
      </c>
      <c r="F2" s="1983"/>
      <c r="G2" s="1198"/>
      <c r="H2" s="1199"/>
      <c r="I2" s="1200" t="s">
        <v>856</v>
      </c>
      <c r="J2" s="1983"/>
      <c r="K2" s="1983"/>
      <c r="L2" s="1983"/>
    </row>
    <row r="3" spans="1:16" ht="15" thickBot="1">
      <c r="A3" s="3315" t="s">
        <v>205</v>
      </c>
      <c r="B3" s="3315"/>
      <c r="C3" s="3315"/>
      <c r="D3" s="107">
        <f>'数据-基础表'!AY6</f>
        <v>68029</v>
      </c>
      <c r="E3" s="107">
        <f>'数据-基础表'!AZ5</f>
        <v>102043.5</v>
      </c>
      <c r="F3" s="1983"/>
      <c r="G3" s="280" t="s">
        <v>857</v>
      </c>
      <c r="H3" s="275" t="s">
        <v>858</v>
      </c>
      <c r="I3" s="1975">
        <f>ROUND('数据-基础表'!B3/'数据-基础表'!A3,2)</f>
        <v>1.5</v>
      </c>
      <c r="J3" s="1983"/>
      <c r="K3" s="1983"/>
      <c r="L3" s="1983"/>
    </row>
    <row r="4" spans="1:16" ht="14.4">
      <c r="A4" s="3316"/>
      <c r="B4" s="3317"/>
      <c r="C4" s="3318"/>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19" t="s">
        <v>229</v>
      </c>
      <c r="C5" s="3319"/>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19" t="s">
        <v>207</v>
      </c>
      <c r="C6" s="3319"/>
      <c r="D6" s="111">
        <f>ROUND($D$3*E6/$E$3,2)</f>
        <v>13605.8</v>
      </c>
      <c r="E6" s="112">
        <f>E3-E5</f>
        <v>20408.699999999997</v>
      </c>
      <c r="F6" s="1983"/>
      <c r="G6" s="1201"/>
      <c r="H6" s="275" t="s">
        <v>859</v>
      </c>
      <c r="I6" s="1975">
        <f>ROUND(F31/D31,2)</f>
        <v>1.5</v>
      </c>
      <c r="J6" s="1983"/>
      <c r="K6" s="1983"/>
      <c r="L6" s="1983"/>
    </row>
    <row r="7" spans="1:16" ht="14.4">
      <c r="A7" s="3311"/>
      <c r="B7" s="3312"/>
      <c r="C7" s="3313"/>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05" t="s">
        <v>2564</v>
      </c>
      <c r="L16" s="3306"/>
      <c r="M16" s="3306"/>
      <c r="N16" s="3306"/>
      <c r="O16" s="3306"/>
      <c r="P16" s="3307"/>
    </row>
    <row r="17" spans="1:19" ht="14.4">
      <c r="A17" s="121" t="s">
        <v>215</v>
      </c>
      <c r="B17" s="122" t="s">
        <v>216</v>
      </c>
      <c r="C17" s="2297" t="s">
        <v>2313</v>
      </c>
      <c r="D17" s="108" t="s">
        <v>203</v>
      </c>
      <c r="E17" s="124" t="s">
        <v>204</v>
      </c>
      <c r="F17" s="125"/>
      <c r="G17" s="1365"/>
      <c r="H17" s="970" t="s">
        <v>217</v>
      </c>
      <c r="I17" s="971" t="s">
        <v>2312</v>
      </c>
      <c r="J17" s="1983"/>
      <c r="K17" s="3308" t="s">
        <v>2565</v>
      </c>
      <c r="L17" s="3309"/>
      <c r="M17" s="3310"/>
      <c r="N17" s="3308" t="s">
        <v>2566</v>
      </c>
      <c r="O17" s="3309"/>
      <c r="P17" s="3310"/>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10" sqref="L10"/>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3000</v>
      </c>
      <c r="M6" s="177">
        <f t="shared" ref="M6:M14" si="0">ROUND(K6*L6/10000,0)</f>
        <v>24490</v>
      </c>
      <c r="N6" s="3025">
        <v>0</v>
      </c>
      <c r="O6" s="177">
        <f>IF($N$5="成新度","——",ROUND(M6*N6,0))</f>
        <v>0</v>
      </c>
      <c r="P6" s="178">
        <f>IF($N$5="成新度","——",M6-O6)</f>
        <v>24490</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3000</v>
      </c>
      <c r="M7" s="177">
        <f t="shared" si="0"/>
        <v>6123</v>
      </c>
      <c r="N7" s="3025">
        <v>0</v>
      </c>
      <c r="O7" s="177">
        <f t="shared" ref="O7:O14" si="3">IF($N$5="成新度","——",ROUND(M7*N7,0))</f>
        <v>0</v>
      </c>
      <c r="P7" s="178">
        <f t="shared" ref="P7:P14" si="4">IF($N$5="成新度","——",M7-O7)</f>
        <v>6123</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33.07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3000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3000</v>
      </c>
      <c r="M16" s="206">
        <f>SUM(M6:M14)</f>
        <v>30613</v>
      </c>
      <c r="N16" s="207">
        <f>ROUND(SUMPRODUCT(M6:M14,N6:N14)/M16,3)</f>
        <v>0</v>
      </c>
      <c r="O16" s="206">
        <f>SUM(O6:O14)</f>
        <v>0</v>
      </c>
      <c r="P16" s="206">
        <f>SUM(P6:P14)</f>
        <v>30613</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140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60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0.05</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20" t="s">
        <v>1663</v>
      </c>
      <c r="B1" s="3321"/>
      <c r="C1" s="3321"/>
      <c r="D1" s="3321"/>
      <c r="E1" s="3321"/>
      <c r="F1" s="3321"/>
      <c r="G1" s="3321"/>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20" sqref="C20"/>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62042</v>
      </c>
      <c r="C5" s="3043">
        <f ca="1">ROUND(B5*10000/$B$1,0)</f>
        <v>3783</v>
      </c>
      <c r="D5" s="3043">
        <f ca="1">ROUND(B5*10000/$B$2,0)</f>
        <v>5675</v>
      </c>
      <c r="E5" s="3044"/>
      <c r="F5" s="3044"/>
    </row>
    <row r="6" spans="1:12" ht="15.6">
      <c r="A6" s="3043" t="s">
        <v>2849</v>
      </c>
      <c r="B6" s="3043">
        <f ca="1">SUM(G14:G23)</f>
        <v>62042</v>
      </c>
      <c r="C6" s="3043">
        <f t="shared" ref="C6:C8" ca="1" si="0">ROUND(B6*10000/$B$1,0)</f>
        <v>3783</v>
      </c>
      <c r="D6" s="3043">
        <f t="shared" ref="D6:D8" ca="1" si="1">ROUND(B6*10000/$B$2,0)</f>
        <v>5675</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102043.5</v>
      </c>
      <c r="C14" s="3047">
        <f>结果表!K38</f>
        <v>68029</v>
      </c>
      <c r="D14" s="3047">
        <f ca="1">结果表!C42</f>
        <v>38602</v>
      </c>
      <c r="E14" s="3047">
        <f ca="1">ROUND(D14*10000/B14,0)</f>
        <v>3783</v>
      </c>
      <c r="F14" s="3047">
        <f ca="1">ROUND(D14*10000/C14,0)</f>
        <v>5674</v>
      </c>
      <c r="G14" s="3047">
        <f ca="1">结果表!C44</f>
        <v>38602</v>
      </c>
      <c r="H14" s="3047" t="str">
        <f>结果表!C45</f>
        <v>——</v>
      </c>
      <c r="I14" s="3047" t="str">
        <f>结果表!C46</f>
        <v>——</v>
      </c>
      <c r="J14" s="3220" t="s">
        <v>3317</v>
      </c>
      <c r="K14">
        <f>ROUND(B14/C14,2)</f>
        <v>1.5</v>
      </c>
      <c r="L14">
        <f ca="1">ROUND(D14/C14*666.67,0)</f>
        <v>378</v>
      </c>
    </row>
    <row r="15" spans="1:12" ht="15.6">
      <c r="A15" s="3050" t="s">
        <v>2858</v>
      </c>
      <c r="B15" s="3051">
        <f>[1]系统读取表!$B$14</f>
        <v>61948.5</v>
      </c>
      <c r="C15" s="3051">
        <f>[1]系统读取表!$C$14</f>
        <v>41299</v>
      </c>
      <c r="D15" s="3051">
        <f ca="1">[1]系统读取表!$D$14</f>
        <v>23440</v>
      </c>
      <c r="E15" s="3047">
        <f t="shared" ref="E15:E23" ca="1" si="2">ROUND(D15*10000/B15,0)</f>
        <v>3784</v>
      </c>
      <c r="F15" s="3047">
        <f t="shared" ref="F15:F23" ca="1" si="3">ROUND(D15*10000/C15,0)</f>
        <v>5676</v>
      </c>
      <c r="G15" s="3048">
        <f ca="1">D15</f>
        <v>23440</v>
      </c>
      <c r="H15" s="3048"/>
      <c r="I15" s="3051"/>
      <c r="J15" s="3220" t="s">
        <v>3318</v>
      </c>
      <c r="K15">
        <f t="shared" ref="K15:K18" si="4">ROUND(B15/C15,2)</f>
        <v>1.5</v>
      </c>
      <c r="L15">
        <f t="shared" ref="L15:L18" ca="1" si="5">ROUND(D15/C15*666.67,0)</f>
        <v>378</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SheetLayoutView="80" zoomScalePageLayoutView="80" workbookViewId="0">
      <selection activeCell="H28" sqref="H28"/>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358" t="str">
        <f>项目基本情况!K2</f>
        <v>重庆两江新区航悦项目E01-04-02出让国有建设用地使用权</v>
      </c>
      <c r="B2" s="3359"/>
      <c r="C2" s="3360"/>
      <c r="D2" s="3360"/>
      <c r="E2" s="3360"/>
      <c r="F2" s="3360"/>
      <c r="G2" s="3359"/>
      <c r="H2" s="3359"/>
      <c r="I2" s="3361"/>
      <c r="J2" s="2029"/>
      <c r="K2" s="2028"/>
      <c r="L2" s="2028"/>
      <c r="M2" s="2028"/>
      <c r="N2" s="2028"/>
      <c r="O2" s="2028"/>
      <c r="P2" s="2028"/>
      <c r="Q2" s="2028"/>
      <c r="R2" s="2028"/>
      <c r="S2" s="2028"/>
      <c r="T2" s="2028"/>
      <c r="U2" s="2028"/>
      <c r="V2" s="2028"/>
    </row>
    <row r="3" spans="1:22" ht="13.8">
      <c r="A3" s="3351" t="s">
        <v>297</v>
      </c>
      <c r="B3" s="3352"/>
      <c r="C3" s="3352"/>
      <c r="D3" s="3352"/>
      <c r="E3" s="3352"/>
      <c r="F3" s="3352"/>
      <c r="G3" s="3352"/>
      <c r="H3" s="3352"/>
      <c r="I3" s="3352"/>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23" t="s">
        <v>300</v>
      </c>
      <c r="F4" s="3324"/>
      <c r="G4" s="3324"/>
      <c r="H4" s="3324"/>
      <c r="I4" s="335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22" t="s">
        <v>301</v>
      </c>
      <c r="B5" s="3348">
        <v>25</v>
      </c>
      <c r="C5" s="3346"/>
      <c r="D5" s="3350"/>
      <c r="E5" s="261" t="s">
        <v>302</v>
      </c>
      <c r="F5" s="262"/>
      <c r="G5" s="262"/>
      <c r="H5" s="262"/>
      <c r="I5" s="263"/>
      <c r="J5" s="2029"/>
      <c r="K5" s="2028"/>
      <c r="L5" s="2028"/>
      <c r="M5" s="2028"/>
      <c r="N5" s="2028"/>
      <c r="O5" s="2028"/>
      <c r="P5" s="2028"/>
      <c r="Q5" s="2028"/>
      <c r="R5" s="2028"/>
      <c r="S5" s="2028"/>
      <c r="T5" s="2028"/>
      <c r="U5" s="2028"/>
      <c r="V5" s="2028"/>
    </row>
    <row r="6" spans="1:22" ht="13.8">
      <c r="A6" s="3322"/>
      <c r="B6" s="3348"/>
      <c r="C6" s="3349"/>
      <c r="D6" s="3350"/>
      <c r="E6" s="261" t="s">
        <v>303</v>
      </c>
      <c r="F6" s="262"/>
      <c r="G6" s="262"/>
      <c r="H6" s="262"/>
      <c r="I6" s="263"/>
      <c r="J6" s="2029"/>
      <c r="K6" s="2028"/>
      <c r="L6" s="2028"/>
      <c r="M6" s="2028"/>
      <c r="N6" s="2028"/>
      <c r="O6" s="2028"/>
      <c r="P6" s="2028"/>
      <c r="Q6" s="2028"/>
      <c r="R6" s="2028"/>
      <c r="S6" s="2028"/>
      <c r="T6" s="2028"/>
      <c r="U6" s="2028"/>
      <c r="V6" s="2028"/>
    </row>
    <row r="7" spans="1:22" ht="13.8">
      <c r="A7" s="3322"/>
      <c r="B7" s="3348"/>
      <c r="C7" s="3347"/>
      <c r="D7" s="3350"/>
      <c r="E7" s="261" t="s">
        <v>304</v>
      </c>
      <c r="F7" s="262"/>
      <c r="G7" s="262"/>
      <c r="H7" s="262"/>
      <c r="I7" s="263"/>
      <c r="J7" s="2029"/>
      <c r="K7" s="2028"/>
      <c r="L7" s="2028"/>
      <c r="M7" s="2028"/>
      <c r="N7" s="2028"/>
      <c r="O7" s="2028"/>
      <c r="P7" s="2028"/>
      <c r="Q7" s="2028"/>
      <c r="R7" s="2028"/>
      <c r="S7" s="2028"/>
      <c r="T7" s="2028"/>
      <c r="U7" s="2028"/>
      <c r="V7" s="2028"/>
    </row>
    <row r="8" spans="1:22" ht="13.8">
      <c r="A8" s="3322" t="s">
        <v>305</v>
      </c>
      <c r="B8" s="3348">
        <v>15</v>
      </c>
      <c r="C8" s="3346"/>
      <c r="D8" s="3350"/>
      <c r="E8" s="261" t="s">
        <v>306</v>
      </c>
      <c r="F8" s="262"/>
      <c r="G8" s="262"/>
      <c r="H8" s="262"/>
      <c r="I8" s="263"/>
      <c r="J8" s="2029"/>
      <c r="K8" s="2028"/>
      <c r="L8" s="2028"/>
      <c r="M8" s="2028"/>
      <c r="N8" s="2028"/>
      <c r="O8" s="2028"/>
      <c r="P8" s="2028"/>
      <c r="Q8" s="2028"/>
      <c r="R8" s="2028"/>
      <c r="S8" s="2028"/>
      <c r="T8" s="2028"/>
      <c r="U8" s="2028"/>
      <c r="V8" s="2028"/>
    </row>
    <row r="9" spans="1:22" ht="13.8">
      <c r="A9" s="3322"/>
      <c r="B9" s="3348"/>
      <c r="C9" s="3347"/>
      <c r="D9" s="3350"/>
      <c r="E9" s="261" t="s">
        <v>307</v>
      </c>
      <c r="F9" s="262"/>
      <c r="G9" s="262"/>
      <c r="H9" s="262"/>
      <c r="I9" s="263"/>
      <c r="J9" s="2029"/>
      <c r="K9" s="2028"/>
      <c r="L9" s="2028"/>
      <c r="M9" s="2028"/>
      <c r="N9" s="2028"/>
      <c r="O9" s="2028"/>
      <c r="P9" s="2028"/>
      <c r="Q9" s="2028"/>
      <c r="R9" s="2028"/>
      <c r="S9" s="2028"/>
      <c r="T9" s="2028"/>
      <c r="U9" s="2028"/>
      <c r="V9" s="2028"/>
    </row>
    <row r="10" spans="1:22" ht="13.8">
      <c r="A10" s="3322" t="s">
        <v>308</v>
      </c>
      <c r="B10" s="3348">
        <v>15</v>
      </c>
      <c r="C10" s="3346"/>
      <c r="D10" s="3350"/>
      <c r="E10" s="261" t="s">
        <v>309</v>
      </c>
      <c r="F10" s="262"/>
      <c r="G10" s="262"/>
      <c r="H10" s="262"/>
      <c r="I10" s="263"/>
      <c r="J10" s="2029"/>
      <c r="K10" s="2028"/>
      <c r="L10" s="2028"/>
      <c r="M10" s="2028"/>
      <c r="N10" s="2028"/>
      <c r="O10" s="2028"/>
      <c r="P10" s="2028"/>
      <c r="Q10" s="2028"/>
      <c r="R10" s="2028"/>
      <c r="S10" s="2028"/>
      <c r="T10" s="2028"/>
      <c r="U10" s="2028"/>
      <c r="V10" s="2028"/>
    </row>
    <row r="11" spans="1:22" ht="13.8">
      <c r="A11" s="3322"/>
      <c r="B11" s="3348"/>
      <c r="C11" s="3347"/>
      <c r="D11" s="3350"/>
      <c r="E11" s="261" t="s">
        <v>310</v>
      </c>
      <c r="F11" s="262"/>
      <c r="G11" s="262"/>
      <c r="H11" s="262"/>
      <c r="I11" s="263"/>
      <c r="J11" s="2029"/>
      <c r="K11" s="2028"/>
      <c r="L11" s="2028"/>
      <c r="M11" s="2028"/>
      <c r="N11" s="2028"/>
      <c r="O11" s="2028"/>
      <c r="P11" s="2028"/>
      <c r="Q11" s="2028"/>
      <c r="R11" s="2028"/>
      <c r="S11" s="2028"/>
      <c r="T11" s="2028"/>
      <c r="U11" s="2028"/>
      <c r="V11" s="2028"/>
    </row>
    <row r="12" spans="1:22" ht="13.8">
      <c r="A12" s="3322" t="s">
        <v>311</v>
      </c>
      <c r="B12" s="3348">
        <v>15</v>
      </c>
      <c r="C12" s="3346"/>
      <c r="D12" s="3350"/>
      <c r="E12" s="261" t="s">
        <v>312</v>
      </c>
      <c r="F12" s="262"/>
      <c r="G12" s="262"/>
      <c r="H12" s="262"/>
      <c r="I12" s="263"/>
      <c r="J12" s="2029"/>
      <c r="K12" s="2028"/>
      <c r="L12" s="2028"/>
      <c r="M12" s="2028"/>
      <c r="N12" s="2028"/>
      <c r="O12" s="2028"/>
      <c r="P12" s="2028"/>
      <c r="Q12" s="2028"/>
      <c r="R12" s="2028"/>
      <c r="S12" s="2028"/>
      <c r="T12" s="2028"/>
      <c r="U12" s="2028"/>
      <c r="V12" s="2028"/>
    </row>
    <row r="13" spans="1:22" ht="13.8">
      <c r="A13" s="3322"/>
      <c r="B13" s="3348"/>
      <c r="C13" s="3347"/>
      <c r="D13" s="3350"/>
      <c r="E13" s="261" t="s">
        <v>313</v>
      </c>
      <c r="F13" s="262"/>
      <c r="G13" s="262"/>
      <c r="H13" s="262"/>
      <c r="I13" s="263"/>
      <c r="J13" s="2029"/>
      <c r="K13" s="2028"/>
      <c r="L13" s="2028"/>
      <c r="M13" s="2028"/>
      <c r="N13" s="2028"/>
      <c r="O13" s="2028"/>
      <c r="P13" s="2028"/>
      <c r="Q13" s="2028"/>
      <c r="R13" s="2028"/>
      <c r="S13" s="2028"/>
      <c r="T13" s="2028"/>
      <c r="U13" s="2028"/>
      <c r="V13" s="2028"/>
    </row>
    <row r="14" spans="1:22" ht="13.8">
      <c r="A14" s="3322" t="s">
        <v>314</v>
      </c>
      <c r="B14" s="3348">
        <v>30</v>
      </c>
      <c r="C14" s="3346">
        <v>5</v>
      </c>
      <c r="D14" s="3350">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22"/>
      <c r="B15" s="3348"/>
      <c r="C15" s="3349"/>
      <c r="D15" s="3350"/>
      <c r="E15" s="261" t="s">
        <v>316</v>
      </c>
      <c r="F15" s="262"/>
      <c r="G15" s="262"/>
      <c r="H15" s="262"/>
      <c r="I15" s="263"/>
      <c r="J15" s="2029"/>
      <c r="K15" s="2028"/>
      <c r="L15" s="2028"/>
      <c r="M15" s="2028"/>
      <c r="N15" s="2028"/>
      <c r="O15" s="2028"/>
      <c r="P15" s="2028"/>
      <c r="Q15" s="2028"/>
      <c r="R15" s="2028"/>
      <c r="S15" s="2028"/>
      <c r="T15" s="2028"/>
      <c r="U15" s="2028"/>
      <c r="V15" s="2028"/>
    </row>
    <row r="16" spans="1:22" ht="13.8">
      <c r="A16" s="3322"/>
      <c r="B16" s="3348"/>
      <c r="C16" s="3347"/>
      <c r="D16" s="3350"/>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33889</v>
      </c>
      <c r="D19" s="271">
        <f ca="1">SUMIF(INDIRECT("'"&amp;D4&amp;"'"&amp;"!A:A"),结果表!B19,INDIRECT("'"&amp;D4&amp;"'"&amp;"!B:B"))</f>
        <v>43315</v>
      </c>
      <c r="E19" s="268" t="s">
        <v>322</v>
      </c>
      <c r="F19" s="269" t="s">
        <v>321</v>
      </c>
      <c r="G19" s="272">
        <f ca="1">ROUND(C19*$C$18+D19*$D$18,0)</f>
        <v>38602</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3321</v>
      </c>
      <c r="D20" s="277">
        <f ca="1">SUMIF(INDIRECT("'"&amp;D4&amp;"'"&amp;"!A:A"),结果表!B20,INDIRECT("'"&amp;D4&amp;"'"&amp;"!B:B"))</f>
        <v>4245</v>
      </c>
      <c r="E20" s="274"/>
      <c r="F20" s="275" t="s">
        <v>324</v>
      </c>
      <c r="G20" s="278">
        <f ca="1">ROUND(C20*$C$18+D20*$D$18,0)</f>
        <v>3783</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4982</v>
      </c>
      <c r="D21" s="151">
        <f ca="1">SUMIF(INDIRECT("'"&amp;D4&amp;"'"&amp;"!A:A"),结果表!B21,INDIRECT("'"&amp;D4&amp;"'"&amp;"!B:B"))</f>
        <v>6367</v>
      </c>
      <c r="E21" s="274"/>
      <c r="F21" s="280" t="s">
        <v>326</v>
      </c>
      <c r="G21" s="282">
        <f ca="1">ROUND(C21*$C$18+D21*$D$18,0)</f>
        <v>5675</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0.27814335034967108</v>
      </c>
      <c r="E22" s="284"/>
      <c r="F22" s="285"/>
      <c r="G22" s="286">
        <f ca="1">ROUND(G19/('数据-汇总表'!D3/666.67),0)</f>
        <v>378</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8"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29"/>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出让国有建设用地使用权价格：38602万元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大写金额：人民币叁亿捌仟陆佰零贰万元整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f ca="1">G19/'数据-汇总表'!F31*10000</f>
        <v>3782.8965098217914</v>
      </c>
      <c r="E27" s="311"/>
      <c r="F27" s="311"/>
      <c r="G27" s="311"/>
      <c r="H27" s="311"/>
      <c r="I27" s="311"/>
      <c r="J27" s="2028"/>
      <c r="K27" s="1258" t="str">
        <f ca="1">"单位面积地价："&amp;M38&amp;"元/平方米"</f>
        <v>单位面积地价：5674元/平方米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楼面地价：3783元/平方米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抵押价格：38602万元</v>
      </c>
      <c r="L29" s="1252"/>
      <c r="M29" s="1252"/>
      <c r="N29" s="1252"/>
      <c r="O29" s="1251"/>
      <c r="P29" s="2028"/>
      <c r="Q29" s="3216">
        <f ca="1">ROUND(G19/'数据-汇总表'!F27*10000,0)</f>
        <v>3783</v>
      </c>
      <c r="V29" s="2028"/>
    </row>
    <row r="30" spans="1:26" ht="18" thickBot="1">
      <c r="A30" s="3126" t="s">
        <v>335</v>
      </c>
      <c r="B30" s="309"/>
      <c r="C30" s="309"/>
      <c r="D30" s="310"/>
      <c r="E30" s="3127" t="s">
        <v>2964</v>
      </c>
      <c r="F30" s="311"/>
      <c r="G30" s="311"/>
      <c r="H30" s="311"/>
      <c r="I30" s="311"/>
      <c r="J30" s="2028"/>
      <c r="K30" s="1258" t="str">
        <f ca="1">IF(K29="——","——","大写金额：人民币"&amp;NUMBERSTRING(INT(O39*10000),2)&amp;"元整")</f>
        <v>大写金额：人民币叁亿捌仟陆佰零贰万元整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38602</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3783</v>
      </c>
      <c r="D33" s="1385" t="s">
        <v>1690</v>
      </c>
      <c r="E33" s="3328"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5674</v>
      </c>
      <c r="D34" s="1387" t="s">
        <v>1690</v>
      </c>
      <c r="E34" s="3369"/>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378</v>
      </c>
      <c r="D35" s="1390" t="s">
        <v>1692</v>
      </c>
      <c r="E35" s="3370"/>
      <c r="F35" s="301" t="s">
        <v>341</v>
      </c>
      <c r="G35" s="982"/>
      <c r="H35" s="981" t="s">
        <v>342</v>
      </c>
      <c r="I35" s="311"/>
      <c r="J35" s="2028"/>
      <c r="K35" s="3343" t="s">
        <v>349</v>
      </c>
      <c r="L35" s="3343" t="s">
        <v>350</v>
      </c>
      <c r="M35" s="1264" t="s">
        <v>351</v>
      </c>
      <c r="N35" s="3343" t="s">
        <v>352</v>
      </c>
      <c r="O35" s="3343" t="s">
        <v>353</v>
      </c>
      <c r="P35" s="2028"/>
      <c r="V35" s="2028"/>
    </row>
    <row r="36" spans="1:26" ht="16.5" customHeight="1">
      <c r="A36" s="303" t="s">
        <v>343</v>
      </c>
      <c r="B36" s="304" t="s">
        <v>332</v>
      </c>
      <c r="C36" s="305" t="s">
        <v>344</v>
      </c>
      <c r="D36" s="305" t="s">
        <v>345</v>
      </c>
      <c r="E36" s="306" t="s">
        <v>346</v>
      </c>
      <c r="F36" s="311"/>
      <c r="G36" s="311"/>
      <c r="H36" s="311"/>
      <c r="I36" s="311"/>
      <c r="J36" s="2030"/>
      <c r="K36" s="3344"/>
      <c r="L36" s="3344"/>
      <c r="M36" s="1266" t="s">
        <v>354</v>
      </c>
      <c r="N36" s="3344"/>
      <c r="O36" s="3344"/>
      <c r="P36" s="2028"/>
      <c r="V36" s="2028"/>
    </row>
    <row r="37" spans="1:26" ht="16.5" customHeight="1" thickBot="1">
      <c r="A37" s="1260" t="s">
        <v>347</v>
      </c>
      <c r="B37" s="307"/>
      <c r="C37" s="294"/>
      <c r="D37" s="294"/>
      <c r="E37" s="295"/>
      <c r="F37" s="311"/>
      <c r="G37" s="311"/>
      <c r="H37" s="311"/>
      <c r="I37" s="311"/>
      <c r="J37" s="2030"/>
      <c r="K37" s="3345"/>
      <c r="L37" s="3345"/>
      <c r="M37" s="1267"/>
      <c r="N37" s="3345"/>
      <c r="O37" s="3345"/>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5674</v>
      </c>
      <c r="N38" s="1269">
        <f ca="1">C33</f>
        <v>3783</v>
      </c>
      <c r="O38" s="1270">
        <f ca="1">C32</f>
        <v>38602</v>
      </c>
      <c r="P38" s="2028"/>
      <c r="V38" s="2028"/>
    </row>
    <row r="39" spans="1:26" ht="16.5" customHeight="1" thickBot="1">
      <c r="A39" s="1265"/>
      <c r="B39" s="308"/>
      <c r="C39" s="309"/>
      <c r="D39" s="309"/>
      <c r="E39" s="310"/>
      <c r="F39" s="311"/>
      <c r="G39" s="311"/>
      <c r="H39" s="311"/>
      <c r="I39" s="311"/>
      <c r="J39" s="2030"/>
      <c r="K39" s="3388" t="str">
        <f>MID(A44,3,LEN(A44)-2)</f>
        <v>抵押价格</v>
      </c>
      <c r="L39" s="3389"/>
      <c r="M39" s="3389"/>
      <c r="N39" s="3390"/>
      <c r="O39" s="1392">
        <f ca="1">C44</f>
        <v>38602</v>
      </c>
      <c r="P39" s="2028"/>
      <c r="V39" s="2028"/>
    </row>
    <row r="40" spans="1:26" ht="18" thickBot="1">
      <c r="A40" s="104" t="s">
        <v>872</v>
      </c>
      <c r="B40" s="311"/>
      <c r="C40" s="311"/>
      <c r="D40" s="311"/>
      <c r="E40" s="311"/>
      <c r="F40" s="311"/>
      <c r="G40" s="311"/>
      <c r="H40" s="311"/>
      <c r="I40" s="311"/>
      <c r="J40" s="2030"/>
      <c r="K40" s="3388" t="str">
        <f t="shared" ref="K40:K41" si="0">MID(A45,3,LEN(A45)-2)</f>
        <v/>
      </c>
      <c r="L40" s="3389"/>
      <c r="M40" s="3389"/>
      <c r="N40" s="3390"/>
      <c r="O40" s="1392" t="str">
        <f>C45</f>
        <v>——</v>
      </c>
      <c r="P40" s="2028"/>
      <c r="V40" s="2028"/>
    </row>
    <row r="41" spans="1:26" ht="16.2" thickBot="1">
      <c r="A41" s="312" t="s">
        <v>355</v>
      </c>
      <c r="B41" s="313"/>
      <c r="C41" s="314" t="s">
        <v>356</v>
      </c>
      <c r="D41" s="315" t="s">
        <v>357</v>
      </c>
      <c r="E41" s="315" t="s">
        <v>358</v>
      </c>
      <c r="F41" s="316" t="s">
        <v>359</v>
      </c>
      <c r="G41" s="311"/>
      <c r="H41" s="311"/>
      <c r="I41" s="311"/>
      <c r="J41" s="2030"/>
      <c r="K41" s="3388" t="str">
        <f t="shared" si="0"/>
        <v/>
      </c>
      <c r="L41" s="3389"/>
      <c r="M41" s="3389"/>
      <c r="N41" s="3390"/>
      <c r="O41" s="1392" t="str">
        <f>C46</f>
        <v>——</v>
      </c>
      <c r="P41" s="2028"/>
      <c r="V41" s="2028"/>
    </row>
    <row r="42" spans="1:26" ht="31.2">
      <c r="A42" s="3330" t="s">
        <v>2068</v>
      </c>
      <c r="B42" s="3331"/>
      <c r="C42" s="264">
        <f ca="1">C32</f>
        <v>38602</v>
      </c>
      <c r="D42" s="317">
        <f ca="1">C33</f>
        <v>3783</v>
      </c>
      <c r="E42" s="317">
        <f ca="1">C34</f>
        <v>5674</v>
      </c>
      <c r="F42" s="318">
        <f ca="1">C35</f>
        <v>378</v>
      </c>
      <c r="G42" s="311"/>
      <c r="H42" s="311"/>
      <c r="I42" s="319"/>
      <c r="J42" s="2030"/>
      <c r="K42" s="1271" t="s">
        <v>360</v>
      </c>
      <c r="L42" s="2047" t="s">
        <v>361</v>
      </c>
      <c r="M42" s="1272" t="s">
        <v>362</v>
      </c>
      <c r="N42" s="2048" t="s">
        <v>363</v>
      </c>
      <c r="O42" s="2049" t="s">
        <v>364</v>
      </c>
      <c r="P42" s="2028"/>
      <c r="V42" s="2028"/>
    </row>
    <row r="43" spans="1:26" ht="30">
      <c r="A43" s="3341" t="s">
        <v>2727</v>
      </c>
      <c r="B43" s="3342"/>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33889</v>
      </c>
      <c r="M43" s="1275">
        <f>C18</f>
        <v>0.5</v>
      </c>
      <c r="N43" s="1276">
        <f ca="1">IF(N42="测算结果/万元",G19,G20)</f>
        <v>38602</v>
      </c>
      <c r="O43" s="1277">
        <f ca="1">IF(O42="最终结果/万元",C32,C33)</f>
        <v>38602</v>
      </c>
      <c r="P43" s="2028"/>
      <c r="V43" s="2028"/>
    </row>
    <row r="44" spans="1:26" ht="30.6" thickBot="1">
      <c r="A44" s="3330" t="str">
        <f>IF(OR(项目基本情况!E8="抵押价格",项目基本情况!E8="已注销及未注销"),"3.抵押价格","——")</f>
        <v>3.抵押价格</v>
      </c>
      <c r="B44" s="3331"/>
      <c r="C44" s="264">
        <f ca="1">IF(A44="——","——",C42-C43)</f>
        <v>38602</v>
      </c>
      <c r="D44" s="317">
        <f ca="1">ROUND(C44*10000/'数据-汇总表'!E3,0)</f>
        <v>3783</v>
      </c>
      <c r="E44" s="317">
        <f ca="1">ROUND(C44*10000/'数据-汇总表'!D3,0)</f>
        <v>5674</v>
      </c>
      <c r="F44" s="318">
        <f ca="1">ROUND(C44/('数据-汇总表'!D3/666.67),0)</f>
        <v>378</v>
      </c>
      <c r="G44" s="311"/>
      <c r="H44" s="311"/>
      <c r="I44" s="319"/>
      <c r="J44" s="2030"/>
      <c r="K44" s="1278" t="str">
        <f>D4</f>
        <v>剩余法-待开发</v>
      </c>
      <c r="L44" s="1279">
        <f ca="1">IF(L42="估价结果/万元",D19,D20)</f>
        <v>43315</v>
      </c>
      <c r="M44" s="1280">
        <f>D18</f>
        <v>0.5</v>
      </c>
      <c r="N44" s="1281"/>
      <c r="O44" s="1282"/>
      <c r="P44" s="2028"/>
      <c r="V44" s="2028"/>
    </row>
    <row r="45" spans="1:26" ht="13.8">
      <c r="A45" s="3336" t="str">
        <f>IF(项目基本情况!E8="已注销及未注销","4.抵押担保权已注销时的抵押价格",IF(项目基本情况!E8="已注销","3.抵押担保权已注销时的抵押价格","——"))</f>
        <v>——</v>
      </c>
      <c r="B45" s="333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32" t="str">
        <f>IF(项目基本情况!E9="抵押净值",IF(A45="——","4.抵押净值","5.抵押净值"),"——")</f>
        <v>——</v>
      </c>
      <c r="B46" s="333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77" t="s">
        <v>373</v>
      </c>
      <c r="B63" s="3378"/>
      <c r="C63" s="3379"/>
      <c r="D63" s="341">
        <f ca="1">ROUND(C42*F63,0)</f>
        <v>38602</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38" t="s">
        <v>377</v>
      </c>
      <c r="B64" s="3339"/>
      <c r="C64" s="3339"/>
      <c r="D64" s="3339"/>
      <c r="E64" s="3339"/>
      <c r="F64" s="3339"/>
      <c r="G64" s="3340"/>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34" t="s">
        <v>385</v>
      </c>
      <c r="B66" s="3335"/>
      <c r="C66" s="3335"/>
      <c r="D66" s="261">
        <f ca="1">IF(H66="情况1",0,IF(H66="情况2",D70,IF(H66="情况3",D71,IF(H66="情况4",D72))))</f>
        <v>2059</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92" t="s">
        <v>384</v>
      </c>
      <c r="M66" s="3393"/>
      <c r="N66" s="2458"/>
      <c r="O66" s="2459"/>
      <c r="P66" s="2460"/>
      <c r="Q66" s="2028"/>
      <c r="R66" s="2028"/>
      <c r="S66" s="2028"/>
      <c r="T66" s="2028"/>
      <c r="U66" s="2028"/>
      <c r="V66" s="2028"/>
    </row>
    <row r="67" spans="1:22" ht="25.5" customHeight="1">
      <c r="A67" s="352" t="s">
        <v>389</v>
      </c>
      <c r="B67" s="3325" t="s">
        <v>390</v>
      </c>
      <c r="C67" s="3325"/>
      <c r="D67" s="353">
        <v>0</v>
      </c>
      <c r="E67" s="41" t="s">
        <v>391</v>
      </c>
      <c r="F67" s="62" t="s">
        <v>21</v>
      </c>
      <c r="G67" s="3380"/>
      <c r="H67" s="311"/>
      <c r="I67" s="1292"/>
      <c r="J67" s="2035"/>
      <c r="K67" s="1976">
        <v>2</v>
      </c>
      <c r="L67" s="3391" t="s">
        <v>388</v>
      </c>
      <c r="M67" s="3391"/>
      <c r="N67" s="1325">
        <f>'数据-取费表'!B2</f>
        <v>43626</v>
      </c>
      <c r="O67" s="1325"/>
      <c r="P67" s="1325"/>
      <c r="Q67" s="2028"/>
      <c r="R67" s="2028"/>
      <c r="S67" s="2028"/>
      <c r="T67" s="2028"/>
      <c r="U67" s="2028"/>
      <c r="V67" s="2028"/>
    </row>
    <row r="68" spans="1:22" ht="25.5" customHeight="1">
      <c r="A68" s="354"/>
      <c r="B68" s="3325" t="s">
        <v>393</v>
      </c>
      <c r="C68" s="3325"/>
      <c r="D68" s="355"/>
      <c r="E68" s="77"/>
      <c r="F68" s="356"/>
      <c r="G68" s="3381"/>
      <c r="H68" s="311"/>
      <c r="I68" s="1292"/>
      <c r="J68" s="2035"/>
      <c r="K68" s="1976">
        <v>3</v>
      </c>
      <c r="L68" s="3391" t="s">
        <v>392</v>
      </c>
      <c r="M68" s="3391"/>
      <c r="N68" s="1293">
        <f ca="1">C42</f>
        <v>38602</v>
      </c>
      <c r="O68" s="1293"/>
      <c r="P68" s="1293"/>
      <c r="Q68" s="2028"/>
      <c r="R68" s="2028"/>
      <c r="S68" s="2028"/>
      <c r="T68" s="2028"/>
      <c r="U68" s="2028"/>
      <c r="V68" s="2028"/>
    </row>
    <row r="69" spans="1:22" ht="12" customHeight="1">
      <c r="A69" s="357"/>
      <c r="B69" s="3325" t="s">
        <v>394</v>
      </c>
      <c r="C69" s="3325"/>
      <c r="D69" s="358"/>
      <c r="E69" s="73"/>
      <c r="F69" s="356"/>
      <c r="G69" s="3382"/>
      <c r="H69" s="311"/>
      <c r="I69" s="1292"/>
      <c r="J69" s="2035"/>
      <c r="K69" s="1294">
        <v>4</v>
      </c>
      <c r="L69" s="3396" t="s">
        <v>2880</v>
      </c>
      <c r="M69" s="3397"/>
      <c r="N69" s="1295">
        <f ca="1">C44</f>
        <v>38602</v>
      </c>
      <c r="O69" s="1295"/>
      <c r="P69" s="1295"/>
      <c r="Q69" s="2028"/>
      <c r="R69" s="2028"/>
      <c r="S69" s="2028"/>
      <c r="T69" s="2028"/>
      <c r="U69" s="2028"/>
      <c r="V69" s="2028"/>
    </row>
    <row r="70" spans="1:22" ht="24" customHeight="1">
      <c r="A70" s="359" t="s">
        <v>395</v>
      </c>
      <c r="B70" s="3325" t="s">
        <v>396</v>
      </c>
      <c r="C70" s="3325"/>
      <c r="D70" s="358">
        <f ca="1">ROUND(D63*'数据-取费表'!B41/(1+'数据-取费表'!C42),0)</f>
        <v>2059</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26" t="s">
        <v>404</v>
      </c>
      <c r="C71" s="3327"/>
      <c r="D71" s="358">
        <f ca="1">ROUND(D63*'数据-取费表'!B41/(1+'数据-取费表'!C42),0)</f>
        <v>2059</v>
      </c>
      <c r="E71" s="17" t="s">
        <v>397</v>
      </c>
      <c r="F71" s="360">
        <f>'数据-取费表'!B41</f>
        <v>5.6000000000000001E-2</v>
      </c>
      <c r="G71" s="361"/>
      <c r="H71" s="311"/>
      <c r="I71" s="1292"/>
      <c r="J71" s="2035"/>
      <c r="K71" s="3059" t="s">
        <v>398</v>
      </c>
      <c r="L71" s="3398" t="s">
        <v>399</v>
      </c>
      <c r="M71" s="3398"/>
      <c r="N71" s="3059" t="s">
        <v>400</v>
      </c>
      <c r="O71" s="3059" t="s">
        <v>401</v>
      </c>
      <c r="P71" s="3059" t="s">
        <v>402</v>
      </c>
      <c r="Q71" s="2028"/>
      <c r="R71" s="2028"/>
      <c r="S71" s="2028"/>
      <c r="T71" s="2028"/>
      <c r="U71" s="2028"/>
      <c r="V71" s="2028"/>
    </row>
    <row r="72" spans="1:22" ht="12" customHeight="1">
      <c r="A72" s="359" t="s">
        <v>406</v>
      </c>
      <c r="B72" s="3326" t="s">
        <v>407</v>
      </c>
      <c r="C72" s="3327"/>
      <c r="D72" s="358">
        <f ca="1">C86</f>
        <v>1947</v>
      </c>
      <c r="E72" s="73" t="s">
        <v>408</v>
      </c>
      <c r="F72" s="360">
        <f>'数据-取费表'!B41</f>
        <v>5.6000000000000001E-2</v>
      </c>
      <c r="G72" s="361"/>
      <c r="H72" s="1298"/>
      <c r="I72" s="1292"/>
      <c r="J72" s="2035"/>
      <c r="K72" s="1976">
        <v>1</v>
      </c>
      <c r="L72" s="3373" t="s">
        <v>405</v>
      </c>
      <c r="M72" s="3373"/>
      <c r="N72" s="1296">
        <f ca="1">D66</f>
        <v>2059</v>
      </c>
      <c r="O72" s="1859" t="str">
        <f>E66</f>
        <v>销售额×税（费）率</v>
      </c>
      <c r="P72" s="1297">
        <f>F66</f>
        <v>5.6000000000000001E-2</v>
      </c>
      <c r="Q72" s="2028"/>
      <c r="R72" s="2028"/>
      <c r="S72" s="2028"/>
      <c r="T72" s="2028"/>
      <c r="U72" s="2028"/>
      <c r="V72" s="2028"/>
    </row>
    <row r="73" spans="1:22" ht="24" customHeight="1">
      <c r="A73" s="3367" t="s">
        <v>410</v>
      </c>
      <c r="B73" s="3335"/>
      <c r="C73" s="3335"/>
      <c r="D73" s="362">
        <f ca="1">IF(H73="个人住宅",0,ROUND(D63*I73,0))</f>
        <v>19</v>
      </c>
      <c r="E73" s="17" t="s">
        <v>411</v>
      </c>
      <c r="F73" s="360">
        <f>IF(H73="正常",I73,"免征")</f>
        <v>5.0000000000000001E-4</v>
      </c>
      <c r="G73" s="361"/>
      <c r="H73" s="191" t="s">
        <v>3008</v>
      </c>
      <c r="I73" s="360">
        <f>'数据-取费表'!B49</f>
        <v>5.0000000000000001E-4</v>
      </c>
      <c r="J73" s="2035"/>
      <c r="K73" s="1976">
        <v>2</v>
      </c>
      <c r="L73" s="3373" t="s">
        <v>409</v>
      </c>
      <c r="M73" s="3373"/>
      <c r="N73" s="1296">
        <f t="shared" ref="N73:P74" ca="1" si="1">D73</f>
        <v>19</v>
      </c>
      <c r="O73" s="1859" t="str">
        <f t="shared" si="1"/>
        <v>销售额×税（费）率</v>
      </c>
      <c r="P73" s="1297">
        <f t="shared" si="1"/>
        <v>5.0000000000000001E-4</v>
      </c>
      <c r="Q73" s="2028"/>
      <c r="R73" s="2028"/>
      <c r="S73" s="2028"/>
      <c r="T73" s="2028"/>
      <c r="U73" s="2028"/>
      <c r="V73" s="2028"/>
    </row>
    <row r="74" spans="1:22" ht="25.2">
      <c r="A74" s="3367" t="s">
        <v>414</v>
      </c>
      <c r="B74" s="3335"/>
      <c r="C74" s="3335"/>
      <c r="D74" s="362">
        <f ca="1">IF(H74="个人住宅",D75,D76)</f>
        <v>0</v>
      </c>
      <c r="E74" s="17" t="s">
        <v>415</v>
      </c>
      <c r="F74" s="360" t="str">
        <f>IF(H74="正常",F76,"免征")</f>
        <v>——</v>
      </c>
      <c r="G74" s="983" t="s">
        <v>416</v>
      </c>
      <c r="H74" s="363" t="s">
        <v>412</v>
      </c>
      <c r="I74" s="42"/>
      <c r="J74" s="2035"/>
      <c r="K74" s="1976">
        <v>3</v>
      </c>
      <c r="L74" s="3373" t="s">
        <v>413</v>
      </c>
      <c r="M74" s="3373"/>
      <c r="N74" s="1296">
        <f t="shared" ca="1" si="1"/>
        <v>0</v>
      </c>
      <c r="O74" s="1859" t="str">
        <f t="shared" si="1"/>
        <v>增值额×税（费）率</v>
      </c>
      <c r="P74" s="1299" t="str">
        <f t="shared" si="1"/>
        <v>——</v>
      </c>
      <c r="Q74" s="2028"/>
      <c r="R74" s="2028"/>
      <c r="S74" s="2028"/>
      <c r="T74" s="2028"/>
      <c r="U74" s="2028"/>
      <c r="V74" s="2028"/>
    </row>
    <row r="75" spans="1:22" ht="13.2">
      <c r="A75" s="359" t="s">
        <v>417</v>
      </c>
      <c r="B75" s="3323" t="s">
        <v>418</v>
      </c>
      <c r="C75" s="3353"/>
      <c r="D75" s="364">
        <v>0</v>
      </c>
      <c r="E75" s="41" t="s">
        <v>419</v>
      </c>
      <c r="F75" s="365"/>
      <c r="G75" s="361"/>
      <c r="H75" s="42"/>
      <c r="I75" s="42"/>
      <c r="J75" s="2035"/>
      <c r="K75" s="3052" t="str">
        <f>IF(H77="非个人房产","",4)</f>
        <v/>
      </c>
      <c r="L75" s="3373" t="str">
        <f>IF(H77="非个人房产","——","个人所得税")</f>
        <v>——</v>
      </c>
      <c r="M75" s="3373"/>
      <c r="N75" s="1300" t="str">
        <f>D77</f>
        <v>——</v>
      </c>
      <c r="O75" s="1872" t="str">
        <f>E77</f>
        <v>——</v>
      </c>
      <c r="P75" s="1301" t="str">
        <f>F77</f>
        <v>——</v>
      </c>
      <c r="Q75" s="2028"/>
      <c r="R75" s="2028"/>
      <c r="S75" s="2028"/>
      <c r="T75" s="2028"/>
      <c r="U75" s="2028"/>
      <c r="V75" s="2028"/>
    </row>
    <row r="76" spans="1:22" ht="25.2">
      <c r="A76" s="359" t="s">
        <v>395</v>
      </c>
      <c r="B76" s="3323" t="s">
        <v>421</v>
      </c>
      <c r="C76" s="3324"/>
      <c r="D76" s="362">
        <f ca="1">IF(H76="转让取得",C99,C115)</f>
        <v>0</v>
      </c>
      <c r="E76" s="17" t="s">
        <v>422</v>
      </c>
      <c r="F76" s="53" t="s">
        <v>21</v>
      </c>
      <c r="G76" s="361"/>
      <c r="H76" s="363" t="s">
        <v>423</v>
      </c>
      <c r="I76" s="42"/>
      <c r="J76" s="2035"/>
      <c r="K76" s="3052" t="str">
        <f>IF(项目基本情况!K6="上海银行",IF(K75="",4,K75+1),"")</f>
        <v/>
      </c>
      <c r="L76" s="3384" t="str">
        <f>IF(项目基本情况!K6="上海银行","其他处置费用","")</f>
        <v/>
      </c>
      <c r="M76" s="3385"/>
      <c r="N76" s="1296" t="str">
        <f>IF(项目基本情况!K6="上海银行",N89,"")</f>
        <v/>
      </c>
      <c r="O76" s="3386" t="str">
        <f>IF(项目基本情况!K6="上海银行","包含处置中涉及的律师、诉讼、拍卖、评估等费用","")</f>
        <v/>
      </c>
      <c r="P76" s="3387"/>
      <c r="Q76" s="2028"/>
      <c r="R76" s="2028"/>
      <c r="S76" s="2028"/>
      <c r="T76" s="2028"/>
      <c r="U76" s="2028"/>
      <c r="V76" s="2028"/>
    </row>
    <row r="77" spans="1:22" ht="24.6" thickBot="1">
      <c r="A77" s="3375" t="s">
        <v>425</v>
      </c>
      <c r="B77" s="3376"/>
      <c r="C77" s="3376"/>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74">
        <f>IF(AND(K75="",K76=""),4,IF(项目基本情况!K6="上海银行",K76+1,K75+1))</f>
        <v>4</v>
      </c>
      <c r="L77" s="3373" t="s">
        <v>2881</v>
      </c>
      <c r="M77" s="3058" t="s">
        <v>420</v>
      </c>
      <c r="N77" s="1302"/>
      <c r="O77" s="1303">
        <f ca="1">SUMIF(N72:N76,"&lt;9e307")</f>
        <v>2078</v>
      </c>
      <c r="P77" s="1304"/>
      <c r="Q77" s="3056">
        <f ca="1">O77/N69</f>
        <v>5.3831407699082949E-2</v>
      </c>
      <c r="R77" s="2028"/>
      <c r="S77" s="2028"/>
      <c r="T77" s="2028"/>
      <c r="U77" s="2028"/>
      <c r="V77" s="2028"/>
    </row>
    <row r="78" spans="1:22" ht="12" customHeight="1">
      <c r="A78" s="1305"/>
      <c r="B78" s="311"/>
      <c r="C78" s="311"/>
      <c r="D78" s="311"/>
      <c r="E78" s="42"/>
      <c r="F78" s="42"/>
      <c r="G78" s="42"/>
      <c r="H78" s="1003"/>
      <c r="I78" s="311"/>
      <c r="J78" s="2035"/>
      <c r="K78" s="3374"/>
      <c r="L78" s="3373"/>
      <c r="M78" s="3058" t="s">
        <v>424</v>
      </c>
      <c r="N78" s="1302"/>
      <c r="O78" s="1303" t="str">
        <f ca="1">NUMBERSTRING(INT(O77*10000),2)&amp;"元整"</f>
        <v>贰仟零柒拾捌万元整</v>
      </c>
      <c r="P78" s="1304"/>
      <c r="Q78" s="2028"/>
      <c r="R78" s="2028"/>
      <c r="S78" s="2028"/>
      <c r="T78" s="2028"/>
      <c r="U78" s="2028"/>
      <c r="V78" s="2028"/>
    </row>
    <row r="79" spans="1:22" ht="13.8" thickBot="1">
      <c r="A79" s="3368" t="s">
        <v>426</v>
      </c>
      <c r="B79" s="3368"/>
      <c r="C79" s="3368"/>
      <c r="D79" s="3368"/>
      <c r="E79" s="3368"/>
      <c r="F79" s="42"/>
      <c r="G79" s="42"/>
      <c r="H79" s="1003"/>
      <c r="I79" s="311"/>
      <c r="J79" s="2035"/>
      <c r="K79" s="3394">
        <f>K77+1</f>
        <v>5</v>
      </c>
      <c r="L79" s="3373" t="s">
        <v>2882</v>
      </c>
      <c r="M79" s="3058" t="s">
        <v>420</v>
      </c>
      <c r="N79" s="1302"/>
      <c r="O79" s="1303">
        <f ca="1">N69-O77</f>
        <v>36524</v>
      </c>
      <c r="P79" s="1304"/>
      <c r="Q79" s="2028"/>
      <c r="R79" s="2028"/>
      <c r="S79" s="2028"/>
      <c r="T79" s="2028"/>
      <c r="U79" s="2028"/>
      <c r="V79" s="2028"/>
    </row>
    <row r="80" spans="1:22" ht="26.4">
      <c r="A80" s="3363" t="s">
        <v>427</v>
      </c>
      <c r="B80" s="3364"/>
      <c r="C80" s="994"/>
      <c r="D80" s="994" t="s">
        <v>428</v>
      </c>
      <c r="E80" s="370" t="s">
        <v>429</v>
      </c>
      <c r="F80" s="42"/>
      <c r="G80" s="42"/>
      <c r="H80" s="1003"/>
      <c r="I80" s="311"/>
      <c r="J80" s="2028"/>
      <c r="K80" s="3395"/>
      <c r="L80" s="3373"/>
      <c r="M80" s="3058" t="s">
        <v>424</v>
      </c>
      <c r="N80" s="1302"/>
      <c r="O80" s="1303" t="str">
        <f ca="1">NUMBERSTRING(INT(O79*10000),2)&amp;"元整"</f>
        <v>叁亿陆仟伍佰贰拾肆万元整</v>
      </c>
      <c r="P80" s="1304"/>
      <c r="Q80" s="2028"/>
      <c r="R80" s="2028"/>
      <c r="S80" s="2028"/>
      <c r="T80" s="2028"/>
      <c r="U80" s="2028"/>
      <c r="V80" s="2028"/>
    </row>
    <row r="81" spans="1:26" ht="13.8" thickBot="1">
      <c r="A81" s="381" t="s">
        <v>1822</v>
      </c>
      <c r="B81" s="371" t="s">
        <v>430</v>
      </c>
      <c r="C81" s="372">
        <f ca="1">ROUND((C82+C83)/(1+'数据-取费表'!C42),0)</f>
        <v>36764</v>
      </c>
      <c r="D81" s="373"/>
      <c r="E81" s="374"/>
      <c r="F81" s="42"/>
      <c r="G81" s="42"/>
      <c r="H81" s="1003"/>
      <c r="I81" s="311"/>
      <c r="J81" s="2028"/>
      <c r="K81" s="3052">
        <f>K79+1</f>
        <v>6</v>
      </c>
      <c r="L81" s="3371" t="s">
        <v>2883</v>
      </c>
      <c r="M81" s="3372"/>
      <c r="N81" s="1306"/>
      <c r="O81" s="1307">
        <f ca="1">ROUND(O79*10000/'数据-汇总表'!E3,0)</f>
        <v>3579</v>
      </c>
      <c r="P81" s="1308"/>
      <c r="Q81" s="2028"/>
      <c r="R81" s="2028"/>
      <c r="S81" s="2028"/>
      <c r="T81" s="2028"/>
      <c r="U81" s="2028"/>
      <c r="V81" s="2028"/>
    </row>
    <row r="82" spans="1:26" ht="13.8" thickTop="1">
      <c r="A82" s="375" t="s">
        <v>1823</v>
      </c>
      <c r="B82" s="376" t="s">
        <v>431</v>
      </c>
      <c r="C82" s="377">
        <f ca="1">D63</f>
        <v>38602</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83" t="s">
        <v>2871</v>
      </c>
      <c r="L83" s="3064" t="s">
        <v>2872</v>
      </c>
      <c r="M83" s="3054">
        <f ca="1">IF(N69&gt;10000,N69*0.5%,IF(AND(N69&gt;1000,N69&lt;=10000),N69*1%,IF(AND(N69&gt;100,N69&lt;=1000),N69*3%,IF(AND(N69&gt;10,N69&lt;=100),N69*5%,N69*8%))))</f>
        <v>193.01</v>
      </c>
      <c r="N83" s="53">
        <f ca="1">ROUND(M83,1)</f>
        <v>193</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83"/>
      <c r="L84" s="3064" t="s">
        <v>2873</v>
      </c>
      <c r="M84" s="3054">
        <f ca="1">IF(N69&gt;2000,N69*0.5%,IF(AND(N69&gt;1000,N69&lt;=2000),N69*0.6%,IF(AND(N69&gt;500,N69&lt;=1000),N69*0.7%,IF(AND(N69&gt;200,N69&lt;=500),N69*0.8%,IF(AND(N69&gt;100,N69&lt;=200),N69*0.9%,IF(AND(N69&gt;50,N69&lt;=100),N69*1%,IF(AND(N69&gt;20,N69&lt;=50),N69*1.5%,IF(AND(N69&gt;10,N69&lt;=20),N69*2%,IF(AND(N69&gt;1,N69&lt;=10),N69*2.5%)))))))))</f>
        <v>193.01</v>
      </c>
      <c r="N84" s="53">
        <f t="shared" ref="N84:N85" ca="1" si="2">ROUND(M84,1)</f>
        <v>193</v>
      </c>
      <c r="O84" s="2028" t="s">
        <v>2874</v>
      </c>
      <c r="P84" s="2028"/>
      <c r="Q84" s="2028"/>
      <c r="R84" s="2028"/>
      <c r="S84" s="2028"/>
      <c r="T84" s="2028"/>
      <c r="U84" s="2028"/>
      <c r="V84" s="2028"/>
    </row>
    <row r="85" spans="1:26" ht="13.2">
      <c r="A85" s="381" t="s">
        <v>1826</v>
      </c>
      <c r="B85" s="382" t="s">
        <v>434</v>
      </c>
      <c r="C85" s="385">
        <f ca="1">C81-C84</f>
        <v>34764</v>
      </c>
      <c r="D85" s="378" t="s">
        <v>19</v>
      </c>
      <c r="E85" s="379"/>
      <c r="F85" s="42"/>
      <c r="G85" s="42"/>
      <c r="H85" s="1003"/>
      <c r="I85" s="311"/>
      <c r="J85" s="2028"/>
      <c r="K85" s="3383"/>
      <c r="L85" s="3064" t="s">
        <v>2875</v>
      </c>
      <c r="M85" s="3054">
        <f ca="1">IF(N69&gt;1000,N69*0.1%,IF(AND(N69&gt;500,N69&lt;=1000),N69*0.5%,IF(AND(N69&gt;50,N69&lt;=500),N69*1%,IF(AND(N69&gt;1,N69&lt;=50),N69*1.5%))))</f>
        <v>38.602000000000004</v>
      </c>
      <c r="N85" s="53">
        <f t="shared" ca="1" si="2"/>
        <v>38.6</v>
      </c>
      <c r="O85" s="2028" t="s">
        <v>2874</v>
      </c>
      <c r="P85" s="2028"/>
      <c r="Q85" s="2028"/>
      <c r="R85" s="2028"/>
      <c r="S85" s="2028"/>
      <c r="T85" s="2028"/>
      <c r="U85" s="2028"/>
      <c r="V85" s="2028"/>
    </row>
    <row r="86" spans="1:26" ht="13.8" thickBot="1">
      <c r="A86" s="386" t="s">
        <v>1827</v>
      </c>
      <c r="B86" s="387" t="s">
        <v>435</v>
      </c>
      <c r="C86" s="388">
        <f ca="1">IF(C85&lt;=0,0,ROUND(C85*D86,0))</f>
        <v>1947</v>
      </c>
      <c r="D86" s="389">
        <f>'数据-取费表'!B41</f>
        <v>5.6000000000000001E-2</v>
      </c>
      <c r="E86" s="390"/>
      <c r="F86" s="42"/>
      <c r="G86" s="42"/>
      <c r="H86" s="1003"/>
      <c r="I86" s="311"/>
      <c r="J86" s="2028"/>
      <c r="K86" s="3383"/>
      <c r="L86" s="3064" t="s">
        <v>2876</v>
      </c>
      <c r="M86" s="3054">
        <f ca="1">N69*0.5%</f>
        <v>193.01</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3"/>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11.110200000000001</v>
      </c>
      <c r="N87" s="53">
        <f ca="1">ROUND(M87*0.9,1)</f>
        <v>10</v>
      </c>
      <c r="O87" s="3057"/>
      <c r="P87" s="311"/>
      <c r="Q87" s="2028"/>
      <c r="R87" s="2028"/>
      <c r="S87" s="2028"/>
      <c r="T87" s="2028"/>
      <c r="U87" s="2028"/>
      <c r="V87" s="2028"/>
      <c r="W87" s="292"/>
      <c r="X87" s="292"/>
      <c r="Y87" s="292"/>
      <c r="Z87" s="292"/>
    </row>
    <row r="88" spans="1:26" s="1314" customFormat="1" ht="14.4" thickBot="1">
      <c r="A88" s="3365" t="s">
        <v>436</v>
      </c>
      <c r="B88" s="3366"/>
      <c r="C88" s="3366"/>
      <c r="D88" s="3366"/>
      <c r="E88" s="3366"/>
      <c r="F88" s="3366"/>
      <c r="G88" s="3366"/>
      <c r="H88" s="3366"/>
      <c r="I88" s="1315"/>
      <c r="J88" s="2036"/>
      <c r="K88" s="3383"/>
      <c r="L88" s="3064" t="s">
        <v>2879</v>
      </c>
      <c r="M88" s="3054">
        <f ca="1">IF(N69&gt;10000,N69*0.5%,IF(AND(N69&gt;5000,N69&lt;=10000),N69*1%,IF(AND(N69&gt;1000,N69&lt;=5000),N69*2%,IF(AND(N69&gt;200,N69&lt;=1000),N69*3%,N69*5%))))</f>
        <v>193.01</v>
      </c>
      <c r="N88" s="53">
        <f ca="1">ROUND(M88,1)</f>
        <v>193</v>
      </c>
      <c r="O88" s="3057"/>
      <c r="P88" s="11"/>
      <c r="Q88" s="2033"/>
      <c r="R88" s="2033"/>
      <c r="S88" s="2033"/>
      <c r="T88" s="2033"/>
      <c r="U88" s="2033"/>
      <c r="V88" s="2033"/>
      <c r="W88" s="2037"/>
      <c r="X88" s="2037"/>
      <c r="Y88" s="2037"/>
      <c r="Z88" s="2037"/>
    </row>
    <row r="89" spans="1:26" s="1314" customFormat="1" ht="13.8">
      <c r="A89" s="3363" t="s">
        <v>427</v>
      </c>
      <c r="B89" s="3364"/>
      <c r="C89" s="994"/>
      <c r="D89" s="994" t="s">
        <v>428</v>
      </c>
      <c r="E89" s="391" t="s">
        <v>437</v>
      </c>
      <c r="F89" s="392"/>
      <c r="G89" s="392"/>
      <c r="H89" s="393"/>
      <c r="I89" s="1316"/>
      <c r="J89" s="2038"/>
      <c r="K89" s="3383"/>
      <c r="L89" s="3064" t="s">
        <v>27</v>
      </c>
      <c r="M89" s="3055"/>
      <c r="N89" s="53">
        <f ca="1">ROUND(SUM(N83:N88),0)</f>
        <v>628</v>
      </c>
      <c r="O89" s="3065">
        <f ca="1">N89/N69</f>
        <v>1.6268587119838352E-2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36764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26" t="s">
        <v>446</v>
      </c>
      <c r="F94" s="3325"/>
      <c r="G94" s="3325"/>
      <c r="H94" s="336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354" t="s">
        <v>2428</v>
      </c>
      <c r="F96" s="3355"/>
      <c r="G96" s="3355"/>
      <c r="H96" s="335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33982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12.214953271028037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19416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65" t="s">
        <v>453</v>
      </c>
      <c r="B101" s="3366"/>
      <c r="C101" s="3366"/>
      <c r="D101" s="3366"/>
      <c r="E101" s="3366"/>
      <c r="F101" s="3366"/>
      <c r="G101" s="3366"/>
      <c r="H101" s="336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63" t="s">
        <v>427</v>
      </c>
      <c r="B102" s="3364"/>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36764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57" t="s">
        <v>461</v>
      </c>
      <c r="F109" s="3355"/>
      <c r="G109" s="3355"/>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57" t="s">
        <v>463</v>
      </c>
      <c r="F110" s="3355"/>
      <c r="G110" s="3355"/>
      <c r="H110" s="335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354" t="s">
        <v>2428</v>
      </c>
      <c r="F111" s="3355"/>
      <c r="G111" s="3355"/>
      <c r="H111" s="335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57" t="s">
        <v>2452</v>
      </c>
      <c r="F112" s="3355"/>
      <c r="G112" s="3355"/>
      <c r="H112" s="335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-8807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55" zoomScaleNormal="95" zoomScaleSheetLayoutView="55" workbookViewId="0">
      <selection activeCell="K29" sqref="K29"/>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33889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3321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4982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332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08" t="s">
        <v>521</v>
      </c>
      <c r="D6" s="3409"/>
      <c r="E6" s="3408" t="s">
        <v>522</v>
      </c>
      <c r="F6" s="3409"/>
      <c r="G6" s="3408" t="s">
        <v>523</v>
      </c>
      <c r="H6" s="3409"/>
      <c r="I6" s="3408" t="s">
        <v>524</v>
      </c>
      <c r="J6" s="3409"/>
      <c r="K6" s="514" t="s">
        <v>525</v>
      </c>
      <c r="L6" s="2133"/>
      <c r="M6" s="2132"/>
      <c r="N6" s="2132"/>
      <c r="O6" s="2134"/>
      <c r="P6" s="3410" t="s">
        <v>526</v>
      </c>
      <c r="Q6" s="3411"/>
      <c r="R6" s="3416" t="s">
        <v>522</v>
      </c>
      <c r="S6" s="3417"/>
      <c r="T6" s="3416" t="s">
        <v>523</v>
      </c>
      <c r="U6" s="3417"/>
      <c r="V6" s="3403" t="s">
        <v>524</v>
      </c>
      <c r="W6" s="3403"/>
      <c r="X6" s="1566"/>
      <c r="Y6" s="3416" t="s">
        <v>526</v>
      </c>
      <c r="Z6" s="3417"/>
      <c r="AA6" s="3405" t="s">
        <v>522</v>
      </c>
      <c r="AB6" s="3406" t="s">
        <v>523</v>
      </c>
      <c r="AC6" s="3405" t="s">
        <v>524</v>
      </c>
    </row>
    <row r="7" spans="1:30" ht="67.2" customHeight="1">
      <c r="A7" s="515"/>
      <c r="B7" s="516"/>
      <c r="C7" s="3426" t="s">
        <v>3154</v>
      </c>
      <c r="D7" s="3425"/>
      <c r="E7" s="3424" t="str">
        <f>土地案例!A19</f>
        <v>两江新区龙兴组团H分区H13-1/01、H16-1/01、H17-1/01、H17-2/01、H19-1/01、H26-1/01号宗地</v>
      </c>
      <c r="F7" s="3425"/>
      <c r="G7" s="3424" t="str">
        <f>土地案例!A20</f>
        <v>两江新区龙兴组团H分区H23-1/01、H18-2/01、H20-1/01、H21-1/01、H26-2/01、H26-3/01、H26-4/01、H28-3/01、H29-1/01号宗地</v>
      </c>
      <c r="H7" s="3425"/>
      <c r="I7" s="3424" t="str">
        <f>土地案例!A25</f>
        <v>两江新区龙兴组团K、H分区K27-1/01、K29-1/01、*K30-3/01、K31-1/01、K31-8/01、K33-2/01、H25-2/01号宗地</v>
      </c>
      <c r="J7" s="3425"/>
      <c r="K7" s="514"/>
      <c r="L7" s="2133"/>
      <c r="M7" s="2132"/>
      <c r="N7" s="2132"/>
      <c r="O7" s="2134"/>
      <c r="P7" s="3412"/>
      <c r="Q7" s="3413"/>
      <c r="R7" s="3418"/>
      <c r="S7" s="3419"/>
      <c r="T7" s="3418"/>
      <c r="U7" s="3419"/>
      <c r="V7" s="3403"/>
      <c r="W7" s="3403"/>
      <c r="X7" s="1566"/>
      <c r="Y7" s="3418"/>
      <c r="Z7" s="3419"/>
      <c r="AA7" s="3406"/>
      <c r="AB7" s="3406"/>
      <c r="AC7" s="3406"/>
    </row>
    <row r="8" spans="1:30" ht="21.6" thickBot="1">
      <c r="A8" s="515"/>
      <c r="B8" s="516"/>
      <c r="C8" s="3427" t="s">
        <v>3155</v>
      </c>
      <c r="D8" s="3428"/>
      <c r="E8" s="3429" t="str">
        <f>C8</f>
        <v>重庆两江新区</v>
      </c>
      <c r="F8" s="3428"/>
      <c r="G8" s="3422" t="str">
        <f>E8</f>
        <v>重庆两江新区</v>
      </c>
      <c r="H8" s="3423"/>
      <c r="I8" s="3422" t="str">
        <f>E8</f>
        <v>重庆两江新区</v>
      </c>
      <c r="J8" s="3423"/>
      <c r="K8" s="514" t="s">
        <v>527</v>
      </c>
      <c r="L8" s="2133"/>
      <c r="M8" s="2132"/>
      <c r="N8" s="2132"/>
      <c r="O8" s="2134"/>
      <c r="P8" s="3414"/>
      <c r="Q8" s="3415"/>
      <c r="R8" s="3418"/>
      <c r="S8" s="3419"/>
      <c r="T8" s="3420"/>
      <c r="U8" s="3421"/>
      <c r="V8" s="3403"/>
      <c r="W8" s="3403"/>
      <c r="X8" s="1566"/>
      <c r="Y8" s="3420"/>
      <c r="Z8" s="3421"/>
      <c r="AA8" s="3407"/>
      <c r="AB8" s="3407"/>
      <c r="AC8" s="3407"/>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35" t="s">
        <v>529</v>
      </c>
      <c r="Q9" s="3437"/>
      <c r="R9" s="1567" t="s">
        <v>8</v>
      </c>
      <c r="S9" s="1568">
        <f t="shared" ref="S9:S17" si="0">F9</f>
        <v>95</v>
      </c>
      <c r="T9" s="1567" t="s">
        <v>8</v>
      </c>
      <c r="U9" s="1568">
        <f t="shared" ref="U9:U17" si="1">H9</f>
        <v>95</v>
      </c>
      <c r="V9" s="1567" t="s">
        <v>8</v>
      </c>
      <c r="W9" s="1568">
        <f t="shared" ref="W9:W17" si="2">J9</f>
        <v>95</v>
      </c>
      <c r="X9" s="1569"/>
      <c r="Y9" s="3435" t="s">
        <v>529</v>
      </c>
      <c r="Z9" s="3436"/>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35" t="s">
        <v>532</v>
      </c>
      <c r="Q10" s="3436"/>
      <c r="R10" s="1567" t="s">
        <v>8</v>
      </c>
      <c r="S10" s="1568">
        <f t="shared" si="0"/>
        <v>100</v>
      </c>
      <c r="T10" s="1567" t="s">
        <v>8</v>
      </c>
      <c r="U10" s="1568">
        <f t="shared" si="1"/>
        <v>100</v>
      </c>
      <c r="V10" s="1567" t="s">
        <v>8</v>
      </c>
      <c r="W10" s="1568">
        <f t="shared" si="2"/>
        <v>100</v>
      </c>
      <c r="X10" s="1569"/>
      <c r="Y10" s="3435" t="s">
        <v>532</v>
      </c>
      <c r="Z10" s="3436"/>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02" t="s">
        <v>534</v>
      </c>
      <c r="Q11" s="1151" t="str">
        <f t="shared" ref="Q11:Q17" si="6">B11</f>
        <v>用途</v>
      </c>
      <c r="R11" s="1567" t="s">
        <v>8</v>
      </c>
      <c r="S11" s="1568">
        <f t="shared" si="0"/>
        <v>100</v>
      </c>
      <c r="T11" s="1567" t="s">
        <v>8</v>
      </c>
      <c r="U11" s="1568">
        <f t="shared" si="1"/>
        <v>100</v>
      </c>
      <c r="V11" s="1567" t="s">
        <v>8</v>
      </c>
      <c r="W11" s="1568">
        <f t="shared" si="2"/>
        <v>100</v>
      </c>
      <c r="X11" s="1569"/>
      <c r="Y11" s="3348"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02"/>
      <c r="Q12" s="1151" t="str">
        <f t="shared" si="6"/>
        <v>土地使用年限（年）</v>
      </c>
      <c r="R12" s="1567" t="s">
        <v>8</v>
      </c>
      <c r="S12" s="1568">
        <f t="shared" si="0"/>
        <v>103</v>
      </c>
      <c r="T12" s="1567" t="s">
        <v>8</v>
      </c>
      <c r="U12" s="1568">
        <f t="shared" si="1"/>
        <v>103</v>
      </c>
      <c r="V12" s="1567" t="s">
        <v>8</v>
      </c>
      <c r="W12" s="1568">
        <f t="shared" si="2"/>
        <v>103</v>
      </c>
      <c r="X12" s="1569"/>
      <c r="Y12" s="3348"/>
      <c r="Z12" s="1150" t="str">
        <f t="shared" si="7"/>
        <v>土地使用年限（年）</v>
      </c>
      <c r="AA12" s="1570">
        <f t="shared" si="3"/>
        <v>0.970873786407767</v>
      </c>
      <c r="AB12" s="1570">
        <f t="shared" si="4"/>
        <v>0.970873786407767</v>
      </c>
      <c r="AC12" s="1570">
        <f t="shared" si="5"/>
        <v>0.970873786407767</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02"/>
      <c r="Q13" s="1151" t="str">
        <f t="shared" si="6"/>
        <v>容积率</v>
      </c>
      <c r="R13" s="1567" t="s">
        <v>8</v>
      </c>
      <c r="S13" s="1568">
        <f t="shared" si="0"/>
        <v>100</v>
      </c>
      <c r="T13" s="1567" t="s">
        <v>8</v>
      </c>
      <c r="U13" s="1568">
        <f t="shared" si="1"/>
        <v>101</v>
      </c>
      <c r="V13" s="1567" t="s">
        <v>8</v>
      </c>
      <c r="W13" s="1568">
        <f t="shared" si="2"/>
        <v>100</v>
      </c>
      <c r="X13" s="1569"/>
      <c r="Y13" s="3348"/>
      <c r="Z13" s="1150" t="str">
        <f t="shared" si="7"/>
        <v>容积率</v>
      </c>
      <c r="AA13" s="1570">
        <f t="shared" si="3"/>
        <v>1</v>
      </c>
      <c r="AB13" s="1570">
        <f t="shared" si="4"/>
        <v>0.99009900990099009</v>
      </c>
      <c r="AC13" s="1570">
        <f t="shared" si="5"/>
        <v>1</v>
      </c>
    </row>
    <row r="14" spans="1:30" s="1220" customFormat="1" ht="21"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02"/>
      <c r="Q14" s="1151" t="str">
        <f t="shared" si="6"/>
        <v>配建</v>
      </c>
      <c r="R14" s="1567" t="s">
        <v>8</v>
      </c>
      <c r="S14" s="1568">
        <f t="shared" si="0"/>
        <v>100</v>
      </c>
      <c r="T14" s="1567" t="s">
        <v>8</v>
      </c>
      <c r="U14" s="1568">
        <f t="shared" si="1"/>
        <v>100</v>
      </c>
      <c r="V14" s="1567" t="s">
        <v>8</v>
      </c>
      <c r="W14" s="1568">
        <f t="shared" si="2"/>
        <v>100</v>
      </c>
      <c r="X14" s="1569"/>
      <c r="Y14" s="3348"/>
      <c r="Z14" s="1150" t="str">
        <f t="shared" si="7"/>
        <v>配建</v>
      </c>
      <c r="AA14" s="1570">
        <f>D14/F14</f>
        <v>1</v>
      </c>
      <c r="AB14" s="1570">
        <f>D14/H14</f>
        <v>1</v>
      </c>
      <c r="AC14" s="1570">
        <f>D14/J14</f>
        <v>1</v>
      </c>
    </row>
    <row r="15" spans="1:30" ht="21">
      <c r="A15" s="2917"/>
      <c r="B15" s="3537" t="s">
        <v>3429</v>
      </c>
      <c r="C15" s="912">
        <v>50</v>
      </c>
      <c r="D15" s="540">
        <v>100</v>
      </c>
      <c r="E15" s="541">
        <v>40</v>
      </c>
      <c r="F15" s="255">
        <f>SUMIF(86:86,E15,87:87)-SUMIF(86:86,C15,87:87)+100</f>
        <v>99</v>
      </c>
      <c r="G15" s="542">
        <v>40</v>
      </c>
      <c r="H15" s="540">
        <f>SUMIF(86:86,G15,87:87)-SUMIF(86:86,C15,87:87)+100</f>
        <v>99</v>
      </c>
      <c r="I15" s="542">
        <v>40</v>
      </c>
      <c r="J15" s="540">
        <f>SUMIF(86:86,I15,87:87)-SUMIF(86:86,C15,87:87)+100</f>
        <v>99</v>
      </c>
      <c r="K15" s="531"/>
      <c r="L15" s="2142"/>
      <c r="M15" s="2132"/>
      <c r="N15" s="2132"/>
      <c r="O15" s="2141"/>
      <c r="P15" s="3402"/>
      <c r="Q15" s="1151" t="str">
        <f t="shared" si="6"/>
        <v>法定年限</v>
      </c>
      <c r="R15" s="1567" t="s">
        <v>8</v>
      </c>
      <c r="S15" s="1568">
        <f t="shared" si="0"/>
        <v>99</v>
      </c>
      <c r="T15" s="1567" t="s">
        <v>8</v>
      </c>
      <c r="U15" s="1568">
        <f t="shared" si="1"/>
        <v>99</v>
      </c>
      <c r="V15" s="1567" t="s">
        <v>8</v>
      </c>
      <c r="W15" s="1568">
        <f t="shared" si="2"/>
        <v>99</v>
      </c>
      <c r="X15" s="1569"/>
      <c r="Y15" s="3348"/>
      <c r="Z15" s="1150" t="str">
        <f t="shared" si="7"/>
        <v>法定年限</v>
      </c>
      <c r="AA15" s="1570">
        <f>D15/F15</f>
        <v>1.0101010101010102</v>
      </c>
      <c r="AB15" s="1570">
        <f>D15/H15</f>
        <v>1.0101010101010102</v>
      </c>
      <c r="AC15" s="1570">
        <f>D15/J15</f>
        <v>1.0101010101010102</v>
      </c>
    </row>
    <row r="16" spans="1:30" ht="21.6" thickBot="1">
      <c r="A16" s="2918"/>
      <c r="B16" s="3538" t="s">
        <v>3435</v>
      </c>
      <c r="C16" s="3539" t="s">
        <v>3430</v>
      </c>
      <c r="D16" s="546">
        <v>100</v>
      </c>
      <c r="E16" s="3539" t="s">
        <v>3430</v>
      </c>
      <c r="F16" s="546">
        <f>SUMIF(88:88,E16,89:89)-SUMIF(88:88,C16,89:89)+100</f>
        <v>100</v>
      </c>
      <c r="G16" s="3540" t="s">
        <v>3431</v>
      </c>
      <c r="H16" s="546">
        <f>SUMIF(88:88,G16,89:89)-SUMIF(88:88,C16,89:89)+100</f>
        <v>95</v>
      </c>
      <c r="I16" s="3539" t="s">
        <v>3430</v>
      </c>
      <c r="J16" s="546">
        <f>SUMIF(88:88,I16,89:89)-SUMIF(88:88,C16,89:89)+100</f>
        <v>100</v>
      </c>
      <c r="K16" s="531"/>
      <c r="L16" s="2142"/>
      <c r="M16" s="2132"/>
      <c r="N16" s="2132"/>
      <c r="O16" s="2141"/>
      <c r="P16" s="3402"/>
      <c r="Q16" s="1151" t="str">
        <f t="shared" si="6"/>
        <v>是否有自持</v>
      </c>
      <c r="R16" s="1567" t="s">
        <v>8</v>
      </c>
      <c r="S16" s="1568">
        <f t="shared" si="0"/>
        <v>100</v>
      </c>
      <c r="T16" s="1567" t="s">
        <v>8</v>
      </c>
      <c r="U16" s="1568">
        <f t="shared" si="1"/>
        <v>95</v>
      </c>
      <c r="V16" s="1567" t="s">
        <v>8</v>
      </c>
      <c r="W16" s="1568">
        <f t="shared" si="2"/>
        <v>100</v>
      </c>
      <c r="X16" s="1569"/>
      <c r="Y16" s="3348"/>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38" t="s">
        <v>539</v>
      </c>
      <c r="Q17" s="1571" t="str">
        <f t="shared" si="6"/>
        <v>居住社区成熟度</v>
      </c>
      <c r="R17" s="1572" t="s">
        <v>8</v>
      </c>
      <c r="S17" s="1573">
        <f t="shared" si="0"/>
        <v>100</v>
      </c>
      <c r="T17" s="1572" t="s">
        <v>8</v>
      </c>
      <c r="U17" s="1573">
        <f t="shared" si="1"/>
        <v>100</v>
      </c>
      <c r="V17" s="1572" t="s">
        <v>8</v>
      </c>
      <c r="W17" s="1573">
        <f t="shared" si="2"/>
        <v>98</v>
      </c>
      <c r="X17" s="1566"/>
      <c r="Y17" s="3438"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39"/>
      <c r="Q18" s="1571"/>
      <c r="R18" s="1572"/>
      <c r="S18" s="1573"/>
      <c r="T18" s="1572"/>
      <c r="U18" s="1573"/>
      <c r="V18" s="1572"/>
      <c r="W18" s="1573"/>
      <c r="X18" s="1566"/>
      <c r="Y18" s="3439"/>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39"/>
      <c r="Q19" s="1571" t="str">
        <f>B19</f>
        <v>商业繁华度</v>
      </c>
      <c r="R19" s="1572" t="s">
        <v>8</v>
      </c>
      <c r="S19" s="1573">
        <f>F19</f>
        <v>102</v>
      </c>
      <c r="T19" s="1572" t="s">
        <v>8</v>
      </c>
      <c r="U19" s="1573">
        <f>H19</f>
        <v>102</v>
      </c>
      <c r="V19" s="1572" t="s">
        <v>8</v>
      </c>
      <c r="W19" s="1573">
        <f>J19</f>
        <v>100</v>
      </c>
      <c r="X19" s="1566"/>
      <c r="Y19" s="3439"/>
      <c r="Z19" s="1574" t="str">
        <f>Q19</f>
        <v>商业繁华度</v>
      </c>
      <c r="AA19" s="1575">
        <f t="shared" si="3"/>
        <v>0.98039215686274506</v>
      </c>
      <c r="AB19" s="1575">
        <f t="shared" si="4"/>
        <v>0.98039215686274506</v>
      </c>
      <c r="AC19" s="1575">
        <f t="shared" si="5"/>
        <v>1</v>
      </c>
    </row>
    <row r="20" spans="1:29" ht="21">
      <c r="A20" s="532"/>
      <c r="B20" s="566"/>
      <c r="C20" s="554" t="s">
        <v>3420</v>
      </c>
      <c r="D20" s="563"/>
      <c r="E20" s="554" t="s">
        <v>3061</v>
      </c>
      <c r="F20" s="559"/>
      <c r="G20" s="554" t="s">
        <v>3061</v>
      </c>
      <c r="H20" s="555"/>
      <c r="I20" s="558" t="s">
        <v>3420</v>
      </c>
      <c r="J20" s="555"/>
      <c r="K20" s="531"/>
      <c r="L20" s="2142"/>
      <c r="M20" s="2132"/>
      <c r="N20" s="2132"/>
      <c r="O20" s="2141"/>
      <c r="P20" s="3439"/>
      <c r="Q20" s="1571"/>
      <c r="R20" s="1572"/>
      <c r="S20" s="1573"/>
      <c r="T20" s="1572"/>
      <c r="U20" s="1573"/>
      <c r="V20" s="1572"/>
      <c r="W20" s="1573"/>
      <c r="X20" s="1566"/>
      <c r="Y20" s="3439"/>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39"/>
      <c r="Q21" s="1571" t="str">
        <f>B21</f>
        <v>办公集聚程度</v>
      </c>
      <c r="R21" s="1572" t="s">
        <v>8</v>
      </c>
      <c r="S21" s="1573">
        <f>F21</f>
        <v>100</v>
      </c>
      <c r="T21" s="1572" t="s">
        <v>8</v>
      </c>
      <c r="U21" s="1573">
        <f>H21</f>
        <v>100</v>
      </c>
      <c r="V21" s="1572" t="s">
        <v>8</v>
      </c>
      <c r="W21" s="1573">
        <f>J21</f>
        <v>100</v>
      </c>
      <c r="X21" s="1566"/>
      <c r="Y21" s="3439"/>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39"/>
      <c r="Q22" s="1571"/>
      <c r="R22" s="1572"/>
      <c r="S22" s="1573"/>
      <c r="T22" s="1572"/>
      <c r="U22" s="1573"/>
      <c r="V22" s="1572"/>
      <c r="W22" s="1573"/>
      <c r="X22" s="1566"/>
      <c r="Y22" s="3439"/>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39"/>
      <c r="Q23" s="1571" t="str">
        <f>B23</f>
        <v>交通便捷度</v>
      </c>
      <c r="R23" s="1572" t="s">
        <v>8</v>
      </c>
      <c r="S23" s="1573">
        <f>F23</f>
        <v>102</v>
      </c>
      <c r="T23" s="1572" t="s">
        <v>8</v>
      </c>
      <c r="U23" s="1573">
        <f>H23</f>
        <v>102</v>
      </c>
      <c r="V23" s="1572" t="s">
        <v>8</v>
      </c>
      <c r="W23" s="1573">
        <f>J23</f>
        <v>100</v>
      </c>
      <c r="X23" s="1566"/>
      <c r="Y23" s="3439"/>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39"/>
      <c r="Q24" s="1571"/>
      <c r="R24" s="1572"/>
      <c r="S24" s="1573"/>
      <c r="T24" s="1572"/>
      <c r="U24" s="1573"/>
      <c r="V24" s="1572"/>
      <c r="W24" s="1573"/>
      <c r="X24" s="1566"/>
      <c r="Y24" s="3439"/>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39"/>
      <c r="Q25" s="1571" t="str">
        <f t="shared" ref="Q25:Q39" si="8">B25</f>
        <v>区域土地利用方向</v>
      </c>
      <c r="R25" s="1572" t="s">
        <v>8</v>
      </c>
      <c r="S25" s="1573">
        <f>F25</f>
        <v>100</v>
      </c>
      <c r="T25" s="1572" t="s">
        <v>8</v>
      </c>
      <c r="U25" s="1573">
        <f>H25</f>
        <v>100</v>
      </c>
      <c r="V25" s="1572" t="s">
        <v>8</v>
      </c>
      <c r="W25" s="1573">
        <f>J25</f>
        <v>100</v>
      </c>
      <c r="X25" s="1566"/>
      <c r="Y25" s="3439"/>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39"/>
      <c r="Q26" s="1571"/>
      <c r="R26" s="1572"/>
      <c r="S26" s="1573"/>
      <c r="T26" s="1572"/>
      <c r="U26" s="1573"/>
      <c r="V26" s="1572"/>
      <c r="W26" s="1573"/>
      <c r="X26" s="1566"/>
      <c r="Y26" s="3439"/>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39"/>
      <c r="Q27" s="1571" t="str">
        <f t="shared" si="8"/>
        <v>自然及人文环境状况</v>
      </c>
      <c r="R27" s="1572" t="s">
        <v>8</v>
      </c>
      <c r="S27" s="1573">
        <f>F27</f>
        <v>102</v>
      </c>
      <c r="T27" s="1572" t="s">
        <v>8</v>
      </c>
      <c r="U27" s="1573">
        <f>H27</f>
        <v>102</v>
      </c>
      <c r="V27" s="1572" t="s">
        <v>8</v>
      </c>
      <c r="W27" s="1573">
        <f>J27</f>
        <v>102</v>
      </c>
      <c r="X27" s="1566"/>
      <c r="Y27" s="3439"/>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39"/>
      <c r="Q28" s="1571"/>
      <c r="R28" s="1572"/>
      <c r="S28" s="1573"/>
      <c r="T28" s="1572"/>
      <c r="U28" s="1573"/>
      <c r="V28" s="1572"/>
      <c r="W28" s="1573"/>
      <c r="X28" s="1566"/>
      <c r="Y28" s="3439"/>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39"/>
      <c r="Q29" s="1151" t="str">
        <f t="shared" si="8"/>
        <v>公共配套设施</v>
      </c>
      <c r="R29" s="1567" t="s">
        <v>8</v>
      </c>
      <c r="S29" s="1568">
        <f>F29</f>
        <v>102</v>
      </c>
      <c r="T29" s="1567" t="s">
        <v>8</v>
      </c>
      <c r="U29" s="1568">
        <f>H29</f>
        <v>102</v>
      </c>
      <c r="V29" s="1567" t="s">
        <v>8</v>
      </c>
      <c r="W29" s="1568">
        <f>J29</f>
        <v>98</v>
      </c>
      <c r="X29" s="1569"/>
      <c r="Y29" s="3439"/>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3420</v>
      </c>
      <c r="J30" s="555"/>
      <c r="K30" s="531"/>
      <c r="L30" s="2135"/>
      <c r="M30" s="2132"/>
      <c r="N30" s="2132"/>
      <c r="O30" s="2137"/>
      <c r="P30" s="3439"/>
      <c r="Q30" s="1151"/>
      <c r="R30" s="1567"/>
      <c r="S30" s="1568"/>
      <c r="T30" s="1567"/>
      <c r="U30" s="1568"/>
      <c r="V30" s="1567"/>
      <c r="W30" s="1568"/>
      <c r="X30" s="1569"/>
      <c r="Y30" s="3439"/>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9"/>
      <c r="Q31" s="2578" t="str">
        <f t="shared" ref="Q31" si="9">B31</f>
        <v>基础设施水平</v>
      </c>
      <c r="R31" s="1567" t="s">
        <v>8</v>
      </c>
      <c r="S31" s="1568">
        <f>F31</f>
        <v>100</v>
      </c>
      <c r="T31" s="1567" t="s">
        <v>8</v>
      </c>
      <c r="U31" s="1568">
        <f>H31</f>
        <v>100</v>
      </c>
      <c r="V31" s="1567" t="s">
        <v>8</v>
      </c>
      <c r="W31" s="1568">
        <f>J31</f>
        <v>100</v>
      </c>
      <c r="X31" s="1569"/>
      <c r="Y31" s="3439"/>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39"/>
      <c r="Q32" s="2578"/>
      <c r="R32" s="1567"/>
      <c r="S32" s="1568"/>
      <c r="T32" s="1567"/>
      <c r="U32" s="1568"/>
      <c r="V32" s="1567"/>
      <c r="W32" s="1568"/>
      <c r="X32" s="1569"/>
      <c r="Y32" s="3439"/>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3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9"/>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39"/>
      <c r="Q34" s="1571" t="str">
        <f t="shared" si="8"/>
        <v>毗邻道路的类型与等级</v>
      </c>
      <c r="R34" s="1572" t="s">
        <v>8</v>
      </c>
      <c r="S34" s="1573">
        <f t="shared" si="10"/>
        <v>100</v>
      </c>
      <c r="T34" s="1572" t="s">
        <v>8</v>
      </c>
      <c r="U34" s="1573">
        <f t="shared" si="11"/>
        <v>100</v>
      </c>
      <c r="V34" s="1572" t="s">
        <v>8</v>
      </c>
      <c r="W34" s="1573">
        <f t="shared" si="12"/>
        <v>100</v>
      </c>
      <c r="X34" s="1566"/>
      <c r="Y34" s="3439"/>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39"/>
      <c r="Q35" s="1571"/>
      <c r="R35" s="1572"/>
      <c r="S35" s="1573"/>
      <c r="T35" s="1572"/>
      <c r="U35" s="1573"/>
      <c r="V35" s="1572"/>
      <c r="W35" s="1573"/>
      <c r="X35" s="1566"/>
      <c r="Y35" s="3439"/>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9"/>
      <c r="Q36" s="1571" t="str">
        <f t="shared" si="8"/>
        <v>土地级别</v>
      </c>
      <c r="R36" s="1572" t="s">
        <v>8</v>
      </c>
      <c r="S36" s="1573">
        <f t="shared" si="10"/>
        <v>100</v>
      </c>
      <c r="T36" s="1572" t="s">
        <v>8</v>
      </c>
      <c r="U36" s="1573">
        <f t="shared" si="11"/>
        <v>100</v>
      </c>
      <c r="V36" s="1572" t="s">
        <v>8</v>
      </c>
      <c r="W36" s="1573">
        <f t="shared" si="12"/>
        <v>100</v>
      </c>
      <c r="X36" s="1566"/>
      <c r="Y36" s="3439"/>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9"/>
      <c r="Q37" s="1571">
        <f t="shared" si="8"/>
        <v>111</v>
      </c>
      <c r="R37" s="1572" t="s">
        <v>8</v>
      </c>
      <c r="S37" s="1573">
        <f t="shared" si="10"/>
        <v>100</v>
      </c>
      <c r="T37" s="1572" t="s">
        <v>8</v>
      </c>
      <c r="U37" s="1573">
        <f t="shared" si="11"/>
        <v>100</v>
      </c>
      <c r="V37" s="1572" t="s">
        <v>8</v>
      </c>
      <c r="W37" s="1573">
        <f t="shared" si="12"/>
        <v>100</v>
      </c>
      <c r="X37" s="1566"/>
      <c r="Y37" s="3439"/>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0" t="s">
        <v>549</v>
      </c>
      <c r="Q38" s="1571">
        <f t="shared" si="8"/>
        <v>111</v>
      </c>
      <c r="R38" s="1572" t="s">
        <v>8</v>
      </c>
      <c r="S38" s="1573">
        <f t="shared" si="10"/>
        <v>100</v>
      </c>
      <c r="T38" s="1572" t="s">
        <v>8</v>
      </c>
      <c r="U38" s="1573">
        <f t="shared" si="11"/>
        <v>100</v>
      </c>
      <c r="V38" s="1572" t="s">
        <v>8</v>
      </c>
      <c r="W38" s="1573">
        <f t="shared" si="12"/>
        <v>100</v>
      </c>
      <c r="X38" s="1566"/>
      <c r="Y38" s="3441"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1"/>
      <c r="Q39" s="1571">
        <f t="shared" si="8"/>
        <v>111</v>
      </c>
      <c r="R39" s="1576" t="s">
        <v>8</v>
      </c>
      <c r="S39" s="1577">
        <f t="shared" si="10"/>
        <v>100</v>
      </c>
      <c r="T39" s="1576" t="s">
        <v>8</v>
      </c>
      <c r="U39" s="1577">
        <f t="shared" si="11"/>
        <v>100</v>
      </c>
      <c r="V39" s="1576" t="s">
        <v>8</v>
      </c>
      <c r="W39" s="1577">
        <f t="shared" si="12"/>
        <v>100</v>
      </c>
      <c r="X39" s="1578"/>
      <c r="Y39" s="3441"/>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41"/>
      <c r="Q40" s="1571" t="str">
        <f>B40</f>
        <v>宗地面积</v>
      </c>
      <c r="R40" s="1572" t="s">
        <v>8</v>
      </c>
      <c r="S40" s="1573">
        <f t="shared" si="10"/>
        <v>102</v>
      </c>
      <c r="T40" s="1572" t="s">
        <v>8</v>
      </c>
      <c r="U40" s="1573">
        <f t="shared" si="11"/>
        <v>102</v>
      </c>
      <c r="V40" s="1572" t="s">
        <v>8</v>
      </c>
      <c r="W40" s="1573">
        <f t="shared" si="12"/>
        <v>102</v>
      </c>
      <c r="X40" s="1566"/>
      <c r="Y40" s="3441"/>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41"/>
      <c r="Q41" s="1571" t="str">
        <f t="shared" ref="Q41:Q47" si="14">B41</f>
        <v>宗地形状</v>
      </c>
      <c r="R41" s="1572" t="s">
        <v>8</v>
      </c>
      <c r="S41" s="1573">
        <f t="shared" si="10"/>
        <v>100</v>
      </c>
      <c r="T41" s="1572" t="s">
        <v>8</v>
      </c>
      <c r="U41" s="1573">
        <f t="shared" si="11"/>
        <v>100</v>
      </c>
      <c r="V41" s="1572" t="s">
        <v>8</v>
      </c>
      <c r="W41" s="1573">
        <f t="shared" si="12"/>
        <v>100</v>
      </c>
      <c r="X41" s="1566"/>
      <c r="Y41" s="3441"/>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41"/>
      <c r="Q42" s="1571" t="str">
        <f t="shared" si="14"/>
        <v>临街宽度及深度</v>
      </c>
      <c r="R42" s="1572" t="s">
        <v>8</v>
      </c>
      <c r="S42" s="1573">
        <f t="shared" si="10"/>
        <v>100</v>
      </c>
      <c r="T42" s="1572" t="s">
        <v>8</v>
      </c>
      <c r="U42" s="1573">
        <f t="shared" si="11"/>
        <v>100</v>
      </c>
      <c r="V42" s="1572" t="s">
        <v>8</v>
      </c>
      <c r="W42" s="1573">
        <f t="shared" si="12"/>
        <v>100</v>
      </c>
      <c r="X42" s="1566"/>
      <c r="Y42" s="3441"/>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41"/>
      <c r="Q43" s="1571" t="str">
        <f t="shared" si="14"/>
        <v>宗地开发程度</v>
      </c>
      <c r="R43" s="1567" t="s">
        <v>8</v>
      </c>
      <c r="S43" s="1568">
        <f t="shared" si="10"/>
        <v>100</v>
      </c>
      <c r="T43" s="1567" t="s">
        <v>8</v>
      </c>
      <c r="U43" s="1568">
        <f t="shared" si="11"/>
        <v>100</v>
      </c>
      <c r="V43" s="1567" t="s">
        <v>8</v>
      </c>
      <c r="W43" s="1568">
        <f t="shared" si="12"/>
        <v>100</v>
      </c>
      <c r="X43" s="1569"/>
      <c r="Y43" s="3441"/>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41" t="s">
        <v>549</v>
      </c>
      <c r="Q44" s="1571" t="str">
        <f t="shared" si="14"/>
        <v>工程地质条件</v>
      </c>
      <c r="R44" s="1572" t="s">
        <v>8</v>
      </c>
      <c r="S44" s="1573">
        <f t="shared" si="10"/>
        <v>100</v>
      </c>
      <c r="T44" s="1572" t="s">
        <v>8</v>
      </c>
      <c r="U44" s="1573">
        <f t="shared" si="11"/>
        <v>100</v>
      </c>
      <c r="V44" s="1572" t="s">
        <v>8</v>
      </c>
      <c r="W44" s="1573">
        <f t="shared" si="12"/>
        <v>100</v>
      </c>
      <c r="X44" s="1566"/>
      <c r="Y44" s="3441"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41"/>
      <c r="Q45" s="1571">
        <f t="shared" si="14"/>
        <v>111</v>
      </c>
      <c r="R45" s="1572" t="s">
        <v>8</v>
      </c>
      <c r="S45" s="1573">
        <f t="shared" si="10"/>
        <v>100</v>
      </c>
      <c r="T45" s="1572" t="s">
        <v>8</v>
      </c>
      <c r="U45" s="1573">
        <f t="shared" si="11"/>
        <v>100</v>
      </c>
      <c r="V45" s="1572" t="s">
        <v>8</v>
      </c>
      <c r="W45" s="1573">
        <f t="shared" si="12"/>
        <v>100</v>
      </c>
      <c r="X45" s="1566"/>
      <c r="Y45" s="3441"/>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1"/>
      <c r="Q46" s="1571">
        <f t="shared" si="14"/>
        <v>111</v>
      </c>
      <c r="R46" s="1572" t="s">
        <v>8</v>
      </c>
      <c r="S46" s="1573">
        <f t="shared" si="10"/>
        <v>100</v>
      </c>
      <c r="T46" s="1572" t="s">
        <v>8</v>
      </c>
      <c r="U46" s="1573">
        <f t="shared" si="11"/>
        <v>100</v>
      </c>
      <c r="V46" s="1572" t="s">
        <v>8</v>
      </c>
      <c r="W46" s="1573">
        <f t="shared" si="12"/>
        <v>100</v>
      </c>
      <c r="X46" s="1566"/>
      <c r="Y46" s="3441"/>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1"/>
      <c r="Q47" s="1571">
        <f t="shared" si="14"/>
        <v>111</v>
      </c>
      <c r="R47" s="1576" t="s">
        <v>8</v>
      </c>
      <c r="S47" s="1577">
        <f t="shared" si="10"/>
        <v>100</v>
      </c>
      <c r="T47" s="1576" t="s">
        <v>8</v>
      </c>
      <c r="U47" s="1577">
        <f t="shared" si="11"/>
        <v>100</v>
      </c>
      <c r="V47" s="1576" t="s">
        <v>8</v>
      </c>
      <c r="W47" s="1577">
        <f t="shared" si="12"/>
        <v>100</v>
      </c>
      <c r="X47" s="1578"/>
      <c r="Y47" s="3441"/>
      <c r="Z47" s="1579">
        <f t="shared" si="13"/>
        <v>111</v>
      </c>
      <c r="AA47" s="1575">
        <f t="shared" si="3"/>
        <v>1</v>
      </c>
      <c r="AB47" s="1575">
        <f t="shared" si="4"/>
        <v>1</v>
      </c>
      <c r="AC47" s="1575">
        <f t="shared" si="5"/>
        <v>1</v>
      </c>
    </row>
    <row r="48" spans="1:29" ht="21">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02" t="str">
        <f>A48</f>
        <v>成交单价</v>
      </c>
      <c r="Q48" s="3402"/>
      <c r="R48" s="3403">
        <f>E48</f>
        <v>3461</v>
      </c>
      <c r="S48" s="3403"/>
      <c r="T48" s="3403">
        <f>G48</f>
        <v>3653</v>
      </c>
      <c r="U48" s="3403"/>
      <c r="V48" s="3403">
        <f>I48</f>
        <v>3066</v>
      </c>
      <c r="W48" s="3403"/>
      <c r="X48" s="1558"/>
      <c r="Y48" s="1580"/>
      <c r="Z48" s="1558"/>
      <c r="AA48" s="1558"/>
      <c r="AB48" s="1558"/>
      <c r="AC48" s="1558"/>
    </row>
    <row r="49" spans="1:29" ht="21.6" thickBot="1">
      <c r="A49" s="615" t="s">
        <v>2690</v>
      </c>
      <c r="B49" s="616"/>
      <c r="C49" s="617">
        <f>R50</f>
        <v>3321</v>
      </c>
      <c r="D49" s="618"/>
      <c r="E49" s="617">
        <f>R49</f>
        <v>3236</v>
      </c>
      <c r="F49" s="619"/>
      <c r="G49" s="620">
        <f>T49</f>
        <v>3560</v>
      </c>
      <c r="H49" s="618"/>
      <c r="I49" s="617">
        <f>V49</f>
        <v>3168</v>
      </c>
      <c r="J49" s="618"/>
      <c r="K49" s="1341"/>
      <c r="L49" s="2144"/>
      <c r="M49" s="2132"/>
      <c r="N49" s="2132"/>
      <c r="O49" s="2145"/>
      <c r="P49" s="3402" t="str">
        <f>A49</f>
        <v>比较价格（元/平方米）</v>
      </c>
      <c r="Q49" s="3402"/>
      <c r="R49" s="3404">
        <f>ROUND(PRODUCT(R48,AA9:AA47),0)</f>
        <v>3236</v>
      </c>
      <c r="S49" s="3404"/>
      <c r="T49" s="3404">
        <f>ROUND(PRODUCT(T48,AB9:AB47),0)</f>
        <v>3560</v>
      </c>
      <c r="U49" s="3404"/>
      <c r="V49" s="3404">
        <f>ROUND(PRODUCT(V48,AC9:AC47),0)</f>
        <v>3168</v>
      </c>
      <c r="W49" s="3404"/>
      <c r="X49" s="1558"/>
      <c r="Y49" s="1558"/>
      <c r="Z49" s="1558"/>
      <c r="AA49" s="1558"/>
      <c r="AB49" s="1558"/>
      <c r="AC49" s="1558"/>
    </row>
    <row r="50" spans="1:29" ht="21.6" thickBot="1">
      <c r="A50" s="621" t="s">
        <v>2930</v>
      </c>
      <c r="B50" s="622"/>
      <c r="C50" s="623">
        <f>R50</f>
        <v>3321</v>
      </c>
      <c r="D50" s="623"/>
      <c r="E50" s="623"/>
      <c r="F50" s="623"/>
      <c r="G50" s="623"/>
      <c r="H50" s="623"/>
      <c r="I50" s="623"/>
      <c r="J50" s="623"/>
      <c r="K50" s="1342"/>
      <c r="L50" s="2144"/>
      <c r="M50" s="2132"/>
      <c r="N50" s="2132"/>
      <c r="O50" s="2145"/>
      <c r="P50" s="3399" t="str">
        <f>A50</f>
        <v>估价对象XX用房的比较价格（楼面单价，元/平方米）</v>
      </c>
      <c r="Q50" s="3400"/>
      <c r="R50" s="3401">
        <f>ROUND(AVERAGE(R49:V49),0)</f>
        <v>3321</v>
      </c>
      <c r="S50" s="3401"/>
      <c r="T50" s="3401"/>
      <c r="U50" s="3401"/>
      <c r="V50" s="3401"/>
      <c r="W50" s="3401"/>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6.9530284301607015E-2</v>
      </c>
      <c r="F53" s="627" t="str">
        <f>IF(OR(E53&gt;=0.3,E53&lt;=-0.3),"超过30%","")</f>
        <v/>
      </c>
      <c r="G53" s="626">
        <f>IF(G48&lt;G49,G49/G48-1,G48/G49-1)</f>
        <v>2.6123595505618047E-2</v>
      </c>
      <c r="H53" s="627" t="str">
        <f>IF(OR(G53&gt;=0.3,G53&lt;=-0.3),"超过30%","")</f>
        <v/>
      </c>
      <c r="I53" s="626">
        <f>IF(I48&lt;I49,I49/I48-1,I48/I49-1)</f>
        <v>3.3268101761252389E-2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0.10012360939431386</v>
      </c>
      <c r="F54" s="627" t="str">
        <f>IF(OR(E54&gt;=0.2,E54&lt;=-0.2),"超过20%","")</f>
        <v/>
      </c>
      <c r="G54" s="626">
        <f>IF(G49&lt;I49,I49/G49-1,G49/I49-1)</f>
        <v>0.1237373737373737</v>
      </c>
      <c r="H54" s="627" t="str">
        <f>IF(OR(G54&gt;=0.2,G54&lt;=-0.2),"超过20%","")</f>
        <v/>
      </c>
      <c r="I54" s="626">
        <f>IF(I49&lt;E49,E49/I49-1,I49/E49-1)</f>
        <v>2.1464646464646409E-2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30" t="s">
        <v>2281</v>
      </c>
      <c r="H57" s="3431"/>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3321</v>
      </c>
      <c r="C58" s="635">
        <v>1</v>
      </c>
      <c r="D58" s="2228">
        <v>1</v>
      </c>
      <c r="E58" s="635">
        <f>'数据-汇总表'!E8+'数据-汇总表'!E9</f>
        <v>102043.5</v>
      </c>
      <c r="F58" s="636">
        <f t="shared" ref="F58:F67" si="15">ROUND(B58*E58/10000,0)</f>
        <v>33889</v>
      </c>
      <c r="G58" s="3432"/>
      <c r="H58" s="343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34"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3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3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3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33889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3436</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t="str">
        <f>B15</f>
        <v>法定年限</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541" t="s">
        <v>3431</v>
      </c>
      <c r="D88" s="3541" t="s">
        <v>3430</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D4" sqref="D4:D5"/>
    </sheetView>
  </sheetViews>
  <sheetFormatPr defaultRowHeight="14.4"/>
  <cols>
    <col min="2" max="2" width="18.33203125" bestFit="1" customWidth="1"/>
    <col min="3" max="3" width="23.21875" bestFit="1" customWidth="1"/>
    <col min="5" max="5" width="13.5546875" bestFit="1" customWidth="1"/>
    <col min="6" max="6" width="40.21875" bestFit="1" customWidth="1"/>
    <col min="7" max="7" width="22.44140625" bestFit="1" customWidth="1"/>
    <col min="8" max="8" width="10.554687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186142</v>
      </c>
      <c r="L3">
        <f ca="1">ROUND(K3/$K$15*$L$15,0)</f>
        <v>11392</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113401</v>
      </c>
      <c r="L4" s="3230">
        <f t="shared" ref="L4:L14" ca="1" si="1">ROUND(K4/$K$15*$L$15,0)</f>
        <v>6940</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68843</v>
      </c>
      <c r="L5" s="3230">
        <f t="shared" ca="1" si="1"/>
        <v>4213</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33751</v>
      </c>
      <c r="L6">
        <f t="shared" ca="1" si="1"/>
        <v>2066</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97153</v>
      </c>
      <c r="L7">
        <f t="shared" ca="1" si="1"/>
        <v>5946</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10827</v>
      </c>
      <c r="L8">
        <f t="shared" ca="1" si="1"/>
        <v>663</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4558</v>
      </c>
      <c r="L9">
        <f t="shared" ca="1" si="1"/>
        <v>279</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6394</v>
      </c>
      <c r="L10">
        <f t="shared" ca="1" si="1"/>
        <v>391</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11854</v>
      </c>
      <c r="L11">
        <f t="shared" ca="1" si="1"/>
        <v>725</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6707</v>
      </c>
      <c r="L12">
        <f t="shared" ca="1" si="1"/>
        <v>410</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53029</v>
      </c>
      <c r="L13" s="3230">
        <f t="shared" ca="1" si="1"/>
        <v>3245</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38106</v>
      </c>
      <c r="L14">
        <f t="shared" ca="1" si="1"/>
        <v>2332</v>
      </c>
    </row>
    <row r="15" spans="1:21">
      <c r="A15" s="3442" t="s">
        <v>3354</v>
      </c>
      <c r="B15" s="3442"/>
      <c r="C15" s="3442"/>
      <c r="D15" s="3223">
        <f>SUM(D3:D14)</f>
        <v>375252</v>
      </c>
      <c r="E15" s="3223"/>
      <c r="F15" s="3223"/>
      <c r="H15" s="3223">
        <f>SUM(H3:H14)</f>
        <v>394579.20000000001</v>
      </c>
      <c r="I15" s="3223">
        <f>SUM(I3:I14)</f>
        <v>168298.8</v>
      </c>
      <c r="J15" s="3223">
        <f>SUM(J3:J14)</f>
        <v>562878</v>
      </c>
      <c r="K15" s="3223">
        <f ca="1">SUM(K3:K14)</f>
        <v>630765</v>
      </c>
      <c r="L15" s="3223">
        <f ca="1">结果表!G19</f>
        <v>38602</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34" t="str">
        <f>项目基本情况!B1</f>
        <v>重庆两江新区航悦项目E01-04-02出让国有建设用地使用权抵押价格预评估</v>
      </c>
      <c r="C37" s="3234"/>
      <c r="D37" s="3234"/>
      <c r="E37" s="3234"/>
      <c r="F37" s="3234"/>
      <c r="G37" s="3234"/>
      <c r="H37" s="3234"/>
      <c r="I37" s="3234"/>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5546875" customWidth="1"/>
    <col min="10" max="10" width="29.77734375" customWidth="1"/>
  </cols>
  <sheetData>
    <row r="1" spans="1:10">
      <c r="A1" s="3443" t="s">
        <v>2375</v>
      </c>
      <c r="B1" s="3443" t="s">
        <v>3382</v>
      </c>
      <c r="C1" s="3443" t="s">
        <v>3383</v>
      </c>
      <c r="D1" s="3443" t="s">
        <v>3384</v>
      </c>
      <c r="E1" s="3443" t="s">
        <v>2945</v>
      </c>
      <c r="F1" s="3443"/>
      <c r="G1" s="3443"/>
      <c r="H1" s="3232"/>
      <c r="I1" s="3444" t="s">
        <v>3409</v>
      </c>
    </row>
    <row r="2" spans="1:10">
      <c r="A2" s="3443"/>
      <c r="B2" s="3443"/>
      <c r="C2" s="3443"/>
      <c r="D2" s="3443"/>
      <c r="E2" s="3232" t="s">
        <v>922</v>
      </c>
      <c r="F2" s="3232" t="s">
        <v>3024</v>
      </c>
      <c r="G2" s="3232" t="s">
        <v>24</v>
      </c>
      <c r="H2" s="3231" t="s">
        <v>3411</v>
      </c>
      <c r="I2" s="3444"/>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B1" zoomScale="55" zoomScaleNormal="55" workbookViewId="0">
      <selection activeCell="AA19" sqref="AA19"/>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3432</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3433</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3434</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N33" sqref="N33"/>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43315</v>
      </c>
      <c r="C2" s="2104"/>
      <c r="D2" s="2104"/>
      <c r="E2" s="2104"/>
      <c r="F2" s="2104"/>
      <c r="G2" s="2104"/>
      <c r="H2" s="2104"/>
      <c r="I2" s="2104"/>
      <c r="J2" s="2104"/>
      <c r="K2" s="2104"/>
    </row>
    <row r="3" spans="1:31" s="2041" customFormat="1" ht="18" customHeight="1">
      <c r="A3" s="2106" t="s">
        <v>1683</v>
      </c>
      <c r="B3" s="2107">
        <f ca="1">ROUND(B2*10000/IF(B1="",'数据-汇总表'!E3,INDIRECT("'数据-取费表'!K"&amp;$K$1)),0)</f>
        <v>4245</v>
      </c>
      <c r="C3" s="2104"/>
      <c r="D3" s="2104"/>
      <c r="E3" s="2104"/>
      <c r="F3" s="2104"/>
      <c r="G3" s="2104"/>
      <c r="H3" s="2104"/>
      <c r="I3" s="2104"/>
      <c r="J3" s="2104"/>
      <c r="K3" s="2104"/>
    </row>
    <row r="4" spans="1:31" s="2041" customFormat="1" ht="18" customHeight="1">
      <c r="A4" s="426" t="s">
        <v>467</v>
      </c>
      <c r="B4" s="427">
        <f ca="1">ROUND(B2*10000/IF(B1="",'数据-汇总表'!D3,INDIRECT("'数据-取费表'!R"&amp;$K$1)),0)</f>
        <v>6367</v>
      </c>
      <c r="C4" s="428"/>
      <c r="D4" s="422"/>
      <c r="E4" s="422"/>
      <c r="F4" s="422"/>
      <c r="G4" s="422"/>
      <c r="H4" s="422"/>
      <c r="I4" s="422"/>
      <c r="J4" s="422"/>
      <c r="K4" s="422"/>
    </row>
    <row r="5" spans="1:31" s="2041" customFormat="1" ht="18" customHeight="1" thickBot="1">
      <c r="A5" s="429"/>
      <c r="B5" s="430">
        <f ca="1">ROUND(B2/(IF(B1="",'数据-汇总表'!D3,INDIRECT("'数据-取费表'!R"&amp;$K$1))/666.67),0)</f>
        <v>424</v>
      </c>
      <c r="C5" s="431" t="s">
        <v>468</v>
      </c>
      <c r="D5" s="422"/>
      <c r="E5" s="422"/>
      <c r="F5" s="422"/>
      <c r="G5" s="422"/>
      <c r="H5" s="422"/>
      <c r="I5" s="422"/>
      <c r="J5" s="422"/>
      <c r="K5" s="422"/>
    </row>
    <row r="6" spans="1:31" s="2111" customFormat="1" ht="16.5" customHeight="1">
      <c r="A6" s="2828" t="s">
        <v>1841</v>
      </c>
      <c r="B6" s="2829"/>
      <c r="C6" s="2830">
        <f ca="1">SUM(C10:K10)</f>
        <v>113401</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11865</v>
      </c>
      <c r="D8" s="2834">
        <f>'不动产比较法-洋房'!B3</f>
        <v>10925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24215</v>
      </c>
      <c r="D10" s="3027">
        <f>'不动产比较法-洋房'!B2</f>
        <v>89186</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30613</v>
      </c>
      <c r="D13" s="2844"/>
      <c r="E13" s="2845"/>
      <c r="F13" s="2846"/>
      <c r="G13" s="2812"/>
      <c r="H13" s="2813"/>
      <c r="I13" s="2813"/>
      <c r="J13" s="2813"/>
      <c r="K13" s="2814"/>
    </row>
    <row r="14" spans="1:31" s="2116" customFormat="1" ht="13.5" customHeight="1">
      <c r="A14" s="2842" t="s">
        <v>1848</v>
      </c>
      <c r="B14" s="2843" t="s">
        <v>479</v>
      </c>
      <c r="C14" s="53">
        <f ca="1">ROUND(C13*F14,0)</f>
        <v>1531</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1225</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459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35869</v>
      </c>
      <c r="D18" s="2853"/>
      <c r="E18" s="468"/>
      <c r="F18" s="468"/>
      <c r="G18" s="2816" t="s">
        <v>2430</v>
      </c>
      <c r="H18" s="2817"/>
      <c r="I18" s="2817"/>
      <c r="J18" s="2817"/>
      <c r="K18" s="2818"/>
    </row>
    <row r="19" spans="1:14" s="2116" customFormat="1" ht="13.5" customHeight="1">
      <c r="A19" s="2850" t="s">
        <v>1853</v>
      </c>
      <c r="B19" s="2851" t="s">
        <v>487</v>
      </c>
      <c r="C19" s="2808">
        <f ca="1">ROUND(D19*E19/10000,0)</f>
        <v>612</v>
      </c>
      <c r="D19" s="2854">
        <f ca="1">D16</f>
        <v>102043.5</v>
      </c>
      <c r="E19" s="2808">
        <f>'数据-取费表'!B32</f>
        <v>60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789</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2268</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2019</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2019</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6048</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50564</v>
      </c>
      <c r="D30" s="477">
        <f ca="1">C32</f>
        <v>0.12909999999999999</v>
      </c>
      <c r="E30" s="469" t="s">
        <v>494</v>
      </c>
      <c r="F30" s="471"/>
      <c r="G30" s="2820" t="s">
        <v>2968</v>
      </c>
      <c r="H30" s="2813"/>
      <c r="I30" s="2813"/>
      <c r="J30" s="2813"/>
      <c r="K30" s="2814"/>
    </row>
    <row r="31" spans="1:14" s="2120" customFormat="1" ht="13.5" customHeight="1">
      <c r="A31" s="803" t="s">
        <v>1855</v>
      </c>
      <c r="B31" s="2858"/>
      <c r="C31" s="450">
        <f ca="1">C18+C19+C20+C23+C24+C26+C29</f>
        <v>50564</v>
      </c>
      <c r="D31" s="472"/>
      <c r="E31" s="473"/>
      <c r="F31" s="474"/>
      <c r="G31" s="261"/>
      <c r="H31" s="2815"/>
      <c r="I31" s="2815"/>
      <c r="J31" s="2815"/>
      <c r="K31" s="279"/>
    </row>
    <row r="32" spans="1:14" s="2120" customFormat="1" ht="13.5" customHeight="1">
      <c r="A32" s="803" t="s">
        <v>1856</v>
      </c>
      <c r="B32" s="2858"/>
      <c r="C32" s="53">
        <f ca="1">ROUND(C25+D26,4)</f>
        <v>0.12909999999999999</v>
      </c>
      <c r="D32" s="472"/>
      <c r="E32" s="473"/>
      <c r="F32" s="474"/>
      <c r="G32" s="261"/>
      <c r="H32" s="2815"/>
      <c r="I32" s="2815"/>
      <c r="J32" s="2815"/>
      <c r="K32" s="279"/>
    </row>
    <row r="33" spans="1:11" s="2122" customFormat="1" ht="13.5" customHeight="1">
      <c r="A33" s="3032" t="s">
        <v>2830</v>
      </c>
      <c r="B33" s="3030" t="s">
        <v>2828</v>
      </c>
      <c r="C33" s="478">
        <f ca="1">C35</f>
        <v>6800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6800</v>
      </c>
      <c r="D35" s="1628"/>
      <c r="E35" s="2864"/>
      <c r="F35" s="1629"/>
      <c r="G35" s="2822"/>
      <c r="H35" s="2823"/>
      <c r="I35" s="2823"/>
      <c r="J35" s="2823"/>
      <c r="K35" s="2824"/>
    </row>
    <row r="36" spans="1:11" s="2085" customFormat="1" ht="13.5" customHeight="1" thickBot="1">
      <c r="A36" s="284" t="s">
        <v>1843</v>
      </c>
      <c r="B36" s="2826"/>
      <c r="C36" s="2865">
        <f ca="1">ROUND((C6-C30-C33)/(1+D30+D33),0)</f>
        <v>43315</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30613</v>
      </c>
      <c r="D13" s="451"/>
      <c r="E13" s="365"/>
      <c r="F13" s="452"/>
      <c r="G13" s="444"/>
      <c r="H13" s="447"/>
      <c r="I13" s="447"/>
      <c r="J13" s="447"/>
      <c r="K13" s="448"/>
    </row>
    <row r="14" spans="1:41" s="2116" customFormat="1" ht="13.5" customHeight="1">
      <c r="A14" s="1632" t="s">
        <v>1848</v>
      </c>
      <c r="B14" s="449" t="s">
        <v>479</v>
      </c>
      <c r="C14" s="53">
        <f ca="1">ROUND(C13*F14,0)</f>
        <v>1531</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1225</v>
      </c>
      <c r="D15" s="451"/>
      <c r="E15" s="365"/>
      <c r="F15" s="453">
        <f>'数据-取费表'!B34</f>
        <v>0.05</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459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35869</v>
      </c>
      <c r="D18" s="461"/>
      <c r="E18" s="462"/>
      <c r="F18" s="462"/>
      <c r="G18" s="1327" t="s">
        <v>2432</v>
      </c>
      <c r="H18" s="447"/>
      <c r="I18" s="447"/>
      <c r="J18" s="447"/>
      <c r="K18" s="448"/>
    </row>
    <row r="19" spans="1:14" s="2119" customFormat="1" ht="13.5" customHeight="1">
      <c r="A19" s="1633" t="s">
        <v>1853</v>
      </c>
      <c r="B19" s="459" t="s">
        <v>492</v>
      </c>
      <c r="C19" s="460">
        <f ca="1">ROUND(C18*F19,0)</f>
        <v>717</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1738</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1738</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5854</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5854</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47889</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08" t="s">
        <v>521</v>
      </c>
      <c r="D6" s="3409"/>
      <c r="E6" s="3447" t="s">
        <v>522</v>
      </c>
      <c r="F6" s="3448"/>
      <c r="G6" s="3408" t="s">
        <v>523</v>
      </c>
      <c r="H6" s="3409"/>
      <c r="I6" s="3408" t="s">
        <v>524</v>
      </c>
      <c r="J6" s="3409"/>
      <c r="K6" s="514" t="s">
        <v>525</v>
      </c>
      <c r="L6" s="2133"/>
      <c r="M6" s="2134"/>
      <c r="N6" s="2134"/>
      <c r="O6" s="2134"/>
      <c r="P6" s="3410" t="s">
        <v>526</v>
      </c>
      <c r="Q6" s="3411"/>
      <c r="R6" s="3416" t="s">
        <v>522</v>
      </c>
      <c r="S6" s="3417"/>
      <c r="T6" s="3416" t="s">
        <v>523</v>
      </c>
      <c r="U6" s="3417"/>
      <c r="V6" s="3403" t="s">
        <v>524</v>
      </c>
      <c r="W6" s="3403"/>
      <c r="X6" s="1566"/>
      <c r="Y6" s="3416" t="s">
        <v>526</v>
      </c>
      <c r="Z6" s="3417"/>
      <c r="AA6" s="3405" t="s">
        <v>522</v>
      </c>
      <c r="AB6" s="3406" t="s">
        <v>523</v>
      </c>
      <c r="AC6" s="3405" t="s">
        <v>524</v>
      </c>
    </row>
    <row r="7" spans="1:29">
      <c r="A7" s="515"/>
      <c r="B7" s="516"/>
      <c r="C7" s="3424" t="s">
        <v>2924</v>
      </c>
      <c r="D7" s="3425"/>
      <c r="E7" s="3449" t="s">
        <v>2925</v>
      </c>
      <c r="F7" s="3450"/>
      <c r="G7" s="3424" t="s">
        <v>2926</v>
      </c>
      <c r="H7" s="3425"/>
      <c r="I7" s="3424" t="s">
        <v>2927</v>
      </c>
      <c r="J7" s="3425"/>
      <c r="K7" s="514"/>
      <c r="L7" s="2133"/>
      <c r="M7" s="2134"/>
      <c r="N7" s="2134"/>
      <c r="O7" s="2134"/>
      <c r="P7" s="3412"/>
      <c r="Q7" s="3413"/>
      <c r="R7" s="3418"/>
      <c r="S7" s="3419"/>
      <c r="T7" s="3418"/>
      <c r="U7" s="3419"/>
      <c r="V7" s="3403"/>
      <c r="W7" s="3403"/>
      <c r="X7" s="1566"/>
      <c r="Y7" s="3418"/>
      <c r="Z7" s="3419"/>
      <c r="AA7" s="3406"/>
      <c r="AB7" s="3406"/>
      <c r="AC7" s="3406"/>
    </row>
    <row r="8" spans="1:29" ht="15" thickBot="1">
      <c r="A8" s="517"/>
      <c r="B8" s="518"/>
      <c r="C8" s="3422" t="s">
        <v>2928</v>
      </c>
      <c r="D8" s="3423"/>
      <c r="E8" s="3445" t="s">
        <v>2928</v>
      </c>
      <c r="F8" s="3446"/>
      <c r="G8" s="3422" t="s">
        <v>2928</v>
      </c>
      <c r="H8" s="3423"/>
      <c r="I8" s="3422" t="s">
        <v>2928</v>
      </c>
      <c r="J8" s="3423"/>
      <c r="K8" s="514" t="s">
        <v>527</v>
      </c>
      <c r="L8" s="2133"/>
      <c r="M8" s="2134"/>
      <c r="N8" s="2134"/>
      <c r="O8" s="2134"/>
      <c r="P8" s="3414"/>
      <c r="Q8" s="3415"/>
      <c r="R8" s="3418"/>
      <c r="S8" s="3419"/>
      <c r="T8" s="3420"/>
      <c r="U8" s="3421"/>
      <c r="V8" s="3403"/>
      <c r="W8" s="3403"/>
      <c r="X8" s="1566"/>
      <c r="Y8" s="3420"/>
      <c r="Z8" s="3421"/>
      <c r="AA8" s="3407"/>
      <c r="AB8" s="3407"/>
      <c r="AC8" s="3407"/>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35" t="s">
        <v>529</v>
      </c>
      <c r="Q9" s="3437"/>
      <c r="R9" s="1567" t="s">
        <v>8</v>
      </c>
      <c r="S9" s="1568">
        <f t="shared" ref="S9:S17" si="0">F9</f>
        <v>0</v>
      </c>
      <c r="T9" s="1567" t="s">
        <v>8</v>
      </c>
      <c r="U9" s="1568">
        <f t="shared" ref="U9:U17" si="1">H9</f>
        <v>0</v>
      </c>
      <c r="V9" s="1567" t="s">
        <v>8</v>
      </c>
      <c r="W9" s="1568">
        <f t="shared" ref="W9:W17" si="2">J9</f>
        <v>0</v>
      </c>
      <c r="X9" s="1569"/>
      <c r="Y9" s="3435" t="s">
        <v>529</v>
      </c>
      <c r="Z9" s="3436"/>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35" t="s">
        <v>532</v>
      </c>
      <c r="Q10" s="3436"/>
      <c r="R10" s="1567" t="s">
        <v>8</v>
      </c>
      <c r="S10" s="1568">
        <f t="shared" si="0"/>
        <v>0</v>
      </c>
      <c r="T10" s="1567" t="s">
        <v>8</v>
      </c>
      <c r="U10" s="1568">
        <f t="shared" si="1"/>
        <v>0</v>
      </c>
      <c r="V10" s="1567" t="s">
        <v>8</v>
      </c>
      <c r="W10" s="1568">
        <f t="shared" si="2"/>
        <v>0</v>
      </c>
      <c r="X10" s="1569"/>
      <c r="Y10" s="3435" t="s">
        <v>532</v>
      </c>
      <c r="Z10" s="3436"/>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2" t="s">
        <v>534</v>
      </c>
      <c r="Q11" s="1151" t="str">
        <f t="shared" ref="Q11:Q17" si="6">B11</f>
        <v>用途</v>
      </c>
      <c r="R11" s="1567" t="s">
        <v>8</v>
      </c>
      <c r="S11" s="1568">
        <f t="shared" si="0"/>
        <v>100</v>
      </c>
      <c r="T11" s="1567" t="s">
        <v>8</v>
      </c>
      <c r="U11" s="1568">
        <f t="shared" si="1"/>
        <v>100</v>
      </c>
      <c r="V11" s="1567" t="s">
        <v>8</v>
      </c>
      <c r="W11" s="1568">
        <f t="shared" si="2"/>
        <v>100</v>
      </c>
      <c r="X11" s="1569"/>
      <c r="Y11" s="3348"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02"/>
      <c r="Q12" s="1151" t="str">
        <f t="shared" si="6"/>
        <v>土地使用年限（年）</v>
      </c>
      <c r="R12" s="1567" t="s">
        <v>8</v>
      </c>
      <c r="S12" s="1568">
        <f t="shared" si="0"/>
        <v>103</v>
      </c>
      <c r="T12" s="1567" t="s">
        <v>8</v>
      </c>
      <c r="U12" s="1568">
        <f t="shared" si="1"/>
        <v>103</v>
      </c>
      <c r="V12" s="1567" t="s">
        <v>8</v>
      </c>
      <c r="W12" s="1568">
        <f t="shared" si="2"/>
        <v>103</v>
      </c>
      <c r="X12" s="1569"/>
      <c r="Y12" s="3348"/>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2"/>
      <c r="Q13" s="1151" t="str">
        <f t="shared" si="6"/>
        <v>容积率</v>
      </c>
      <c r="R13" s="1567" t="s">
        <v>8</v>
      </c>
      <c r="S13" s="1568" t="e">
        <f t="shared" si="0"/>
        <v>#N/A</v>
      </c>
      <c r="T13" s="1567" t="s">
        <v>8</v>
      </c>
      <c r="U13" s="1568" t="e">
        <f t="shared" si="1"/>
        <v>#N/A</v>
      </c>
      <c r="V13" s="1567" t="s">
        <v>8</v>
      </c>
      <c r="W13" s="1568" t="e">
        <f t="shared" si="2"/>
        <v>#N/A</v>
      </c>
      <c r="X13" s="1569"/>
      <c r="Y13" s="3348"/>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2"/>
      <c r="Q15" s="1151">
        <f t="shared" si="6"/>
        <v>111</v>
      </c>
      <c r="R15" s="1567" t="s">
        <v>8</v>
      </c>
      <c r="S15" s="1568">
        <f t="shared" si="0"/>
        <v>100</v>
      </c>
      <c r="T15" s="1567" t="s">
        <v>8</v>
      </c>
      <c r="U15" s="1568">
        <f t="shared" si="1"/>
        <v>100</v>
      </c>
      <c r="V15" s="1567" t="s">
        <v>8</v>
      </c>
      <c r="W15" s="1568">
        <f t="shared" si="2"/>
        <v>100</v>
      </c>
      <c r="X15" s="1569"/>
      <c r="Y15" s="3348"/>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2"/>
      <c r="Q16" s="1151">
        <f t="shared" si="6"/>
        <v>111</v>
      </c>
      <c r="R16" s="1567" t="s">
        <v>8</v>
      </c>
      <c r="S16" s="1568">
        <f t="shared" si="0"/>
        <v>100</v>
      </c>
      <c r="T16" s="1567" t="s">
        <v>8</v>
      </c>
      <c r="U16" s="1568">
        <f t="shared" si="1"/>
        <v>100</v>
      </c>
      <c r="V16" s="1567" t="s">
        <v>8</v>
      </c>
      <c r="W16" s="1568">
        <f t="shared" si="2"/>
        <v>100</v>
      </c>
      <c r="X16" s="1569"/>
      <c r="Y16" s="3348"/>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8" t="s">
        <v>539</v>
      </c>
      <c r="Q17" s="1571" t="str">
        <f t="shared" si="6"/>
        <v>产业集聚程度</v>
      </c>
      <c r="R17" s="1572" t="s">
        <v>8</v>
      </c>
      <c r="S17" s="1573">
        <f t="shared" si="0"/>
        <v>100</v>
      </c>
      <c r="T17" s="1572" t="s">
        <v>8</v>
      </c>
      <c r="U17" s="1573">
        <f t="shared" si="1"/>
        <v>100</v>
      </c>
      <c r="V17" s="1572" t="s">
        <v>8</v>
      </c>
      <c r="W17" s="1573">
        <f t="shared" si="2"/>
        <v>100</v>
      </c>
      <c r="X17" s="1566"/>
      <c r="Y17" s="343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9"/>
      <c r="Q18" s="1571"/>
      <c r="R18" s="1572"/>
      <c r="S18" s="1573"/>
      <c r="T18" s="1572"/>
      <c r="U18" s="1573"/>
      <c r="V18" s="1572"/>
      <c r="W18" s="1573"/>
      <c r="X18" s="1566"/>
      <c r="Y18" s="3439"/>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9"/>
      <c r="Q19" s="1571" t="str">
        <f>B19</f>
        <v>交通便捷度</v>
      </c>
      <c r="R19" s="1572" t="s">
        <v>8</v>
      </c>
      <c r="S19" s="1573">
        <f>F19</f>
        <v>100</v>
      </c>
      <c r="T19" s="1572" t="s">
        <v>8</v>
      </c>
      <c r="U19" s="1573">
        <f>H19</f>
        <v>100</v>
      </c>
      <c r="V19" s="1572" t="s">
        <v>8</v>
      </c>
      <c r="W19" s="1573">
        <f>J19</f>
        <v>100</v>
      </c>
      <c r="X19" s="1566"/>
      <c r="Y19" s="343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9"/>
      <c r="Q20" s="1571"/>
      <c r="R20" s="1572"/>
      <c r="S20" s="1573"/>
      <c r="T20" s="1572"/>
      <c r="U20" s="1573"/>
      <c r="V20" s="1572"/>
      <c r="W20" s="1573"/>
      <c r="X20" s="1566"/>
      <c r="Y20" s="3439"/>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39"/>
      <c r="Q21" s="1571" t="str">
        <f t="shared" ref="Q21:Q35" si="8">B21</f>
        <v>区域土地利用方向</v>
      </c>
      <c r="R21" s="1572" t="s">
        <v>8</v>
      </c>
      <c r="S21" s="1573">
        <f>F21</f>
        <v>100</v>
      </c>
      <c r="T21" s="1572" t="s">
        <v>8</v>
      </c>
      <c r="U21" s="1573">
        <f>H21</f>
        <v>100</v>
      </c>
      <c r="V21" s="1572" t="s">
        <v>8</v>
      </c>
      <c r="W21" s="1573">
        <f>J21</f>
        <v>100</v>
      </c>
      <c r="X21" s="1566"/>
      <c r="Y21" s="343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39"/>
      <c r="Q22" s="1571"/>
      <c r="R22" s="1572"/>
      <c r="S22" s="1573"/>
      <c r="T22" s="1572"/>
      <c r="U22" s="1573"/>
      <c r="V22" s="1572"/>
      <c r="W22" s="1573"/>
      <c r="X22" s="1566"/>
      <c r="Y22" s="3439"/>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9"/>
      <c r="Q23" s="1571" t="str">
        <f t="shared" si="8"/>
        <v>环境状况</v>
      </c>
      <c r="R23" s="1572" t="s">
        <v>8</v>
      </c>
      <c r="S23" s="1573">
        <f>F23</f>
        <v>100</v>
      </c>
      <c r="T23" s="1572" t="s">
        <v>8</v>
      </c>
      <c r="U23" s="1573">
        <f>H23</f>
        <v>100</v>
      </c>
      <c r="V23" s="1572" t="s">
        <v>8</v>
      </c>
      <c r="W23" s="1573">
        <f>J23</f>
        <v>100</v>
      </c>
      <c r="X23" s="1566"/>
      <c r="Y23" s="343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9"/>
      <c r="Q24" s="1571"/>
      <c r="R24" s="1572"/>
      <c r="S24" s="1573"/>
      <c r="T24" s="1572"/>
      <c r="U24" s="1573"/>
      <c r="V24" s="1572"/>
      <c r="W24" s="1573"/>
      <c r="X24" s="1566"/>
      <c r="Y24" s="3439"/>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9"/>
      <c r="Q25" s="1151" t="str">
        <f t="shared" si="8"/>
        <v>公共配套设施</v>
      </c>
      <c r="R25" s="1567" t="s">
        <v>8</v>
      </c>
      <c r="S25" s="1568">
        <f>F25</f>
        <v>100</v>
      </c>
      <c r="T25" s="1567" t="s">
        <v>8</v>
      </c>
      <c r="U25" s="1568">
        <f>H25</f>
        <v>100</v>
      </c>
      <c r="V25" s="1567" t="s">
        <v>8</v>
      </c>
      <c r="W25" s="1568">
        <f>J25</f>
        <v>100</v>
      </c>
      <c r="X25" s="1569"/>
      <c r="Y25" s="3439"/>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39"/>
      <c r="Q26" s="1151"/>
      <c r="R26" s="1567"/>
      <c r="S26" s="1568"/>
      <c r="T26" s="1567"/>
      <c r="U26" s="1568"/>
      <c r="V26" s="1567"/>
      <c r="W26" s="1568"/>
      <c r="X26" s="1569"/>
      <c r="Y26" s="3439"/>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9"/>
      <c r="Q27" s="2578" t="str">
        <f t="shared" ref="Q27" si="9">B27</f>
        <v>基础设施水平</v>
      </c>
      <c r="R27" s="1567" t="s">
        <v>8</v>
      </c>
      <c r="S27" s="1568">
        <f>F27</f>
        <v>100</v>
      </c>
      <c r="T27" s="1567" t="s">
        <v>8</v>
      </c>
      <c r="U27" s="1568">
        <f>H27</f>
        <v>100</v>
      </c>
      <c r="V27" s="1567" t="s">
        <v>8</v>
      </c>
      <c r="W27" s="1568">
        <f>J27</f>
        <v>100</v>
      </c>
      <c r="X27" s="1569"/>
      <c r="Y27" s="3439"/>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39"/>
      <c r="Q28" s="2578"/>
      <c r="R28" s="1567"/>
      <c r="S28" s="1568"/>
      <c r="T28" s="1567"/>
      <c r="U28" s="1568"/>
      <c r="V28" s="1567"/>
      <c r="W28" s="1568"/>
      <c r="X28" s="1569"/>
      <c r="Y28" s="343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9"/>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9"/>
      <c r="Q30" s="1571" t="str">
        <f t="shared" si="8"/>
        <v>毗邻道路的类型与等级</v>
      </c>
      <c r="R30" s="1572" t="s">
        <v>8</v>
      </c>
      <c r="S30" s="1573">
        <f t="shared" si="10"/>
        <v>100</v>
      </c>
      <c r="T30" s="1572" t="s">
        <v>8</v>
      </c>
      <c r="U30" s="1573">
        <f t="shared" si="11"/>
        <v>100</v>
      </c>
      <c r="V30" s="1572" t="s">
        <v>8</v>
      </c>
      <c r="W30" s="1573">
        <f t="shared" si="12"/>
        <v>100</v>
      </c>
      <c r="X30" s="1566"/>
      <c r="Y30" s="343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9"/>
      <c r="Q31" s="1571"/>
      <c r="R31" s="1572"/>
      <c r="S31" s="1573"/>
      <c r="T31" s="1572"/>
      <c r="U31" s="1573"/>
      <c r="V31" s="1572"/>
      <c r="W31" s="1573"/>
      <c r="X31" s="1566"/>
      <c r="Y31" s="343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9"/>
      <c r="Q32" s="1571" t="str">
        <f t="shared" si="8"/>
        <v>土地级别</v>
      </c>
      <c r="R32" s="1572" t="s">
        <v>8</v>
      </c>
      <c r="S32" s="1573">
        <f t="shared" si="10"/>
        <v>100</v>
      </c>
      <c r="T32" s="1572" t="s">
        <v>8</v>
      </c>
      <c r="U32" s="1573">
        <f t="shared" si="11"/>
        <v>100</v>
      </c>
      <c r="V32" s="1572" t="s">
        <v>8</v>
      </c>
      <c r="W32" s="1573">
        <f t="shared" si="12"/>
        <v>100</v>
      </c>
      <c r="X32" s="1566"/>
      <c r="Y32" s="343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9"/>
      <c r="Q33" s="1571">
        <f t="shared" si="8"/>
        <v>111</v>
      </c>
      <c r="R33" s="1572" t="s">
        <v>8</v>
      </c>
      <c r="S33" s="1573">
        <f t="shared" si="10"/>
        <v>100</v>
      </c>
      <c r="T33" s="1572" t="s">
        <v>8</v>
      </c>
      <c r="U33" s="1573">
        <f t="shared" si="11"/>
        <v>100</v>
      </c>
      <c r="V33" s="1572" t="s">
        <v>8</v>
      </c>
      <c r="W33" s="1573">
        <f t="shared" si="12"/>
        <v>100</v>
      </c>
      <c r="X33" s="1566"/>
      <c r="Y33" s="343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0" t="s">
        <v>549</v>
      </c>
      <c r="Q34" s="1571">
        <f t="shared" si="8"/>
        <v>111</v>
      </c>
      <c r="R34" s="1572" t="s">
        <v>8</v>
      </c>
      <c r="S34" s="1573">
        <f t="shared" si="10"/>
        <v>100</v>
      </c>
      <c r="T34" s="1572" t="s">
        <v>8</v>
      </c>
      <c r="U34" s="1573">
        <f t="shared" si="11"/>
        <v>100</v>
      </c>
      <c r="V34" s="1572" t="s">
        <v>8</v>
      </c>
      <c r="W34" s="1573">
        <f t="shared" si="12"/>
        <v>100</v>
      </c>
      <c r="X34" s="1566"/>
      <c r="Y34" s="3441"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1"/>
      <c r="Q35" s="1571">
        <f t="shared" si="8"/>
        <v>111</v>
      </c>
      <c r="R35" s="1576" t="s">
        <v>8</v>
      </c>
      <c r="S35" s="1577">
        <f t="shared" si="10"/>
        <v>100</v>
      </c>
      <c r="T35" s="1576" t="s">
        <v>8</v>
      </c>
      <c r="U35" s="1577">
        <f t="shared" si="11"/>
        <v>100</v>
      </c>
      <c r="V35" s="1576" t="s">
        <v>8</v>
      </c>
      <c r="W35" s="1577">
        <f t="shared" si="12"/>
        <v>100</v>
      </c>
      <c r="X35" s="1578"/>
      <c r="Y35" s="3441"/>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1"/>
      <c r="Q36" s="1571" t="str">
        <f>B36</f>
        <v>宗地面积</v>
      </c>
      <c r="R36" s="1572" t="s">
        <v>8</v>
      </c>
      <c r="S36" s="1573" t="e">
        <f t="shared" si="10"/>
        <v>#N/A</v>
      </c>
      <c r="T36" s="1572" t="s">
        <v>8</v>
      </c>
      <c r="U36" s="1573" t="e">
        <f t="shared" si="11"/>
        <v>#N/A</v>
      </c>
      <c r="V36" s="1572" t="s">
        <v>8</v>
      </c>
      <c r="W36" s="1573" t="e">
        <f t="shared" si="12"/>
        <v>#N/A</v>
      </c>
      <c r="X36" s="1566"/>
      <c r="Y36" s="344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1"/>
      <c r="Q37" s="1571" t="str">
        <f t="shared" ref="Q37:Q42" si="14">B37</f>
        <v>宗地形状</v>
      </c>
      <c r="R37" s="1572" t="s">
        <v>8</v>
      </c>
      <c r="S37" s="1573">
        <f t="shared" si="10"/>
        <v>100</v>
      </c>
      <c r="T37" s="1572" t="s">
        <v>8</v>
      </c>
      <c r="U37" s="1573">
        <f t="shared" si="11"/>
        <v>100</v>
      </c>
      <c r="V37" s="1572" t="s">
        <v>8</v>
      </c>
      <c r="W37" s="1573">
        <f t="shared" si="12"/>
        <v>100</v>
      </c>
      <c r="X37" s="1566"/>
      <c r="Y37" s="3441"/>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1"/>
      <c r="Q38" s="1571" t="str">
        <f t="shared" si="14"/>
        <v>宗地开发程度</v>
      </c>
      <c r="R38" s="1567" t="s">
        <v>8</v>
      </c>
      <c r="S38" s="1568">
        <f t="shared" si="10"/>
        <v>100</v>
      </c>
      <c r="T38" s="1567" t="s">
        <v>8</v>
      </c>
      <c r="U38" s="1568">
        <f t="shared" si="11"/>
        <v>100</v>
      </c>
      <c r="V38" s="1567" t="s">
        <v>8</v>
      </c>
      <c r="W38" s="1568">
        <f t="shared" si="12"/>
        <v>100</v>
      </c>
      <c r="X38" s="1569"/>
      <c r="Y38" s="3441"/>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1" t="s">
        <v>600</v>
      </c>
      <c r="Q39" s="1571" t="str">
        <f t="shared" si="14"/>
        <v>工程地质条件</v>
      </c>
      <c r="R39" s="1572" t="s">
        <v>8</v>
      </c>
      <c r="S39" s="1573">
        <f t="shared" si="10"/>
        <v>100</v>
      </c>
      <c r="T39" s="1572" t="s">
        <v>8</v>
      </c>
      <c r="U39" s="1573">
        <f t="shared" si="11"/>
        <v>100</v>
      </c>
      <c r="V39" s="1572" t="s">
        <v>8</v>
      </c>
      <c r="W39" s="1573">
        <f t="shared" si="12"/>
        <v>100</v>
      </c>
      <c r="X39" s="1566"/>
      <c r="Y39" s="344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1"/>
      <c r="Q40" s="1571">
        <f t="shared" si="14"/>
        <v>111</v>
      </c>
      <c r="R40" s="1572" t="s">
        <v>8</v>
      </c>
      <c r="S40" s="1573">
        <f t="shared" si="10"/>
        <v>100</v>
      </c>
      <c r="T40" s="1572" t="s">
        <v>8</v>
      </c>
      <c r="U40" s="1573">
        <f t="shared" si="11"/>
        <v>100</v>
      </c>
      <c r="V40" s="1572" t="s">
        <v>8</v>
      </c>
      <c r="W40" s="1573">
        <f t="shared" si="12"/>
        <v>100</v>
      </c>
      <c r="X40" s="1566"/>
      <c r="Y40" s="344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1"/>
      <c r="Q41" s="1571">
        <f t="shared" si="14"/>
        <v>111</v>
      </c>
      <c r="R41" s="1572" t="s">
        <v>8</v>
      </c>
      <c r="S41" s="1573">
        <f t="shared" si="10"/>
        <v>100</v>
      </c>
      <c r="T41" s="1572" t="s">
        <v>8</v>
      </c>
      <c r="U41" s="1573">
        <f t="shared" si="11"/>
        <v>100</v>
      </c>
      <c r="V41" s="1572" t="s">
        <v>8</v>
      </c>
      <c r="W41" s="1573">
        <f t="shared" si="12"/>
        <v>100</v>
      </c>
      <c r="X41" s="1566"/>
      <c r="Y41" s="3441"/>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1"/>
      <c r="Q42" s="1571">
        <f t="shared" si="14"/>
        <v>111</v>
      </c>
      <c r="R42" s="1576" t="s">
        <v>8</v>
      </c>
      <c r="S42" s="1577">
        <f t="shared" si="10"/>
        <v>100</v>
      </c>
      <c r="T42" s="1576" t="s">
        <v>8</v>
      </c>
      <c r="U42" s="1577">
        <f t="shared" si="11"/>
        <v>100</v>
      </c>
      <c r="V42" s="1576" t="s">
        <v>8</v>
      </c>
      <c r="W42" s="1577">
        <f t="shared" si="12"/>
        <v>100</v>
      </c>
      <c r="X42" s="1578"/>
      <c r="Y42" s="3441"/>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02" t="str">
        <f>A43</f>
        <v>成交单价</v>
      </c>
      <c r="Q43" s="3402"/>
      <c r="R43" s="3403">
        <f>E43</f>
        <v>0</v>
      </c>
      <c r="S43" s="3403"/>
      <c r="T43" s="3403">
        <f>G43</f>
        <v>0</v>
      </c>
      <c r="U43" s="3403"/>
      <c r="V43" s="3403">
        <f>I43</f>
        <v>0</v>
      </c>
      <c r="W43" s="3403"/>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02" t="str">
        <f>A44</f>
        <v>比较价格（元/平方米）</v>
      </c>
      <c r="Q44" s="3402"/>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399" t="str">
        <f>A45</f>
        <v>估价对象XX用房的比较价格（楼面单价，元/平方米）</v>
      </c>
      <c r="Q45" s="3400"/>
      <c r="R45" s="3401" t="e">
        <f>ROUND(AVERAGE(R44:V44),0)</f>
        <v>#DIV/0!</v>
      </c>
      <c r="S45" s="3401"/>
      <c r="T45" s="3401"/>
      <c r="U45" s="3401"/>
      <c r="V45" s="3401"/>
      <c r="W45" s="340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51" t="s">
        <v>2284</v>
      </c>
      <c r="H52" s="3452"/>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453"/>
      <c r="H53" s="345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55"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5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5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5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65"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466"/>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57" t="s">
        <v>2780</v>
      </c>
      <c r="X8" s="3458"/>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66"/>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56"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6"/>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5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6"/>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56"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465"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56"/>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7"/>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56"/>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6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8"/>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65"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66"/>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71"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72"/>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72"/>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73"/>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9" t="s">
        <v>1633</v>
      </c>
      <c r="B90" s="3469"/>
      <c r="C90" s="3469"/>
      <c r="D90" s="3469"/>
      <c r="E90" s="3469"/>
      <c r="F90" s="3469"/>
      <c r="G90" s="3469"/>
      <c r="H90" s="3469"/>
      <c r="I90" s="3469"/>
      <c r="J90" s="3469"/>
      <c r="K90" s="2450"/>
      <c r="L90" s="2450"/>
      <c r="M90" s="2450"/>
      <c r="N90" s="2450"/>
    </row>
    <row r="91" spans="1:40">
      <c r="A91" s="3470" t="s">
        <v>1443</v>
      </c>
      <c r="B91" s="3470" t="s">
        <v>1634</v>
      </c>
      <c r="C91" s="1140" t="s">
        <v>1635</v>
      </c>
      <c r="D91" s="1141"/>
      <c r="E91" s="1141"/>
      <c r="F91" s="1141"/>
      <c r="G91" s="1141"/>
      <c r="H91" s="1141"/>
      <c r="I91" s="1141"/>
      <c r="J91" s="1142"/>
      <c r="K91" s="1134"/>
      <c r="L91" s="1134"/>
      <c r="M91" s="1134"/>
      <c r="N91" s="1134"/>
    </row>
    <row r="92" spans="1:40">
      <c r="A92" s="3470"/>
      <c r="B92" s="347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9"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9"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60"/>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60"/>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60"/>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60"/>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60"/>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60"/>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60"/>
      <c r="B108" s="346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1"/>
      <c r="B109" s="3463"/>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64" t="s">
        <v>1639</v>
      </c>
      <c r="B110" s="3464"/>
      <c r="C110" s="3464"/>
      <c r="D110" s="3464"/>
      <c r="E110" s="3464"/>
      <c r="F110" s="3464"/>
      <c r="G110" s="3464"/>
      <c r="H110" s="3464"/>
      <c r="I110" s="3464"/>
      <c r="J110" s="3464"/>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70" t="s">
        <v>1007</v>
      </c>
      <c r="B18" s="1154" t="s">
        <v>1446</v>
      </c>
      <c r="C18" s="1131" t="s">
        <v>1447</v>
      </c>
      <c r="D18" s="1132"/>
      <c r="E18" s="1154">
        <v>1</v>
      </c>
      <c r="F18" s="1133" t="s">
        <v>1448</v>
      </c>
      <c r="G18" s="1134"/>
      <c r="H18" s="1105"/>
      <c r="I18" s="1105"/>
    </row>
    <row r="19" spans="1:9" s="1598" customFormat="1" ht="19.5" customHeight="1">
      <c r="A19" s="3470"/>
      <c r="B19" s="3470" t="s">
        <v>1449</v>
      </c>
      <c r="C19" s="1131" t="s">
        <v>1450</v>
      </c>
      <c r="D19" s="1132"/>
      <c r="E19" s="1154">
        <v>0.9</v>
      </c>
      <c r="F19" s="1133" t="s">
        <v>1451</v>
      </c>
      <c r="G19" s="1134"/>
      <c r="H19" s="1105"/>
      <c r="I19" s="1105"/>
    </row>
    <row r="20" spans="1:9" s="1598" customFormat="1" ht="19.5" customHeight="1">
      <c r="A20" s="3470"/>
      <c r="B20" s="3470"/>
      <c r="C20" s="1131" t="s">
        <v>1452</v>
      </c>
      <c r="D20" s="1132"/>
      <c r="E20" s="1154">
        <v>1.1000000000000001</v>
      </c>
      <c r="F20" s="1133" t="s">
        <v>1453</v>
      </c>
      <c r="G20" s="1134"/>
      <c r="H20" s="1105"/>
      <c r="I20" s="1105"/>
    </row>
    <row r="21" spans="1:9" s="1598" customFormat="1" ht="19.5" customHeight="1">
      <c r="A21" s="3470"/>
      <c r="B21" s="3470"/>
      <c r="C21" s="1131" t="s">
        <v>1454</v>
      </c>
      <c r="D21" s="1132"/>
      <c r="E21" s="1154">
        <v>0.8</v>
      </c>
      <c r="F21" s="1133" t="s">
        <v>1455</v>
      </c>
      <c r="G21" s="1134"/>
      <c r="H21" s="1105"/>
      <c r="I21" s="1105"/>
    </row>
    <row r="22" spans="1:9" s="1598" customFormat="1" ht="19.5" customHeight="1">
      <c r="A22" s="3470"/>
      <c r="B22" s="3470"/>
      <c r="C22" s="1131" t="s">
        <v>1456</v>
      </c>
      <c r="D22" s="1132"/>
      <c r="E22" s="1154">
        <v>0.5</v>
      </c>
      <c r="F22" s="1133"/>
      <c r="G22" s="1134"/>
      <c r="H22" s="1105"/>
      <c r="I22" s="1105"/>
    </row>
    <row r="23" spans="1:9" s="1598" customFormat="1" ht="19.5" customHeight="1">
      <c r="A23" s="3470" t="s">
        <v>1029</v>
      </c>
      <c r="B23" s="1154" t="s">
        <v>1446</v>
      </c>
      <c r="C23" s="1131" t="s">
        <v>1457</v>
      </c>
      <c r="D23" s="1132"/>
      <c r="E23" s="1154">
        <v>1</v>
      </c>
      <c r="F23" s="1133" t="s">
        <v>1458</v>
      </c>
      <c r="G23" s="1134"/>
      <c r="H23" s="1105"/>
      <c r="I23" s="1105"/>
    </row>
    <row r="24" spans="1:9" s="1598" customFormat="1" ht="19.5" customHeight="1">
      <c r="A24" s="3470"/>
      <c r="B24" s="3470" t="s">
        <v>1449</v>
      </c>
      <c r="C24" s="1131" t="s">
        <v>1459</v>
      </c>
      <c r="D24" s="1132"/>
      <c r="E24" s="1154">
        <v>0.5</v>
      </c>
      <c r="F24" s="1133"/>
      <c r="G24" s="1134"/>
      <c r="H24" s="1105"/>
      <c r="I24" s="1105"/>
    </row>
    <row r="25" spans="1:9" s="1598" customFormat="1" ht="19.5" customHeight="1">
      <c r="A25" s="3470"/>
      <c r="B25" s="3470"/>
      <c r="C25" s="1131" t="s">
        <v>1460</v>
      </c>
      <c r="D25" s="1132"/>
      <c r="E25" s="1154">
        <v>1.1000000000000001</v>
      </c>
      <c r="F25" s="1133"/>
      <c r="G25" s="1134"/>
      <c r="H25" s="1105"/>
      <c r="I25" s="1105"/>
    </row>
    <row r="26" spans="1:9" s="1598" customFormat="1" ht="19.5" customHeight="1">
      <c r="A26" s="3470"/>
      <c r="B26" s="3470"/>
      <c r="C26" s="1131" t="s">
        <v>1461</v>
      </c>
      <c r="D26" s="1132"/>
      <c r="E26" s="1154">
        <v>1.1000000000000001</v>
      </c>
      <c r="F26" s="1133"/>
      <c r="G26" s="1134"/>
      <c r="H26" s="1105"/>
      <c r="I26" s="1105"/>
    </row>
    <row r="27" spans="1:9" s="1598" customFormat="1" ht="19.5" customHeight="1">
      <c r="A27" s="3470"/>
      <c r="B27" s="3470"/>
      <c r="C27" s="1131" t="s">
        <v>1462</v>
      </c>
      <c r="D27" s="1132"/>
      <c r="E27" s="1154">
        <v>0.9</v>
      </c>
      <c r="F27" s="1133" t="s">
        <v>1463</v>
      </c>
      <c r="G27" s="1134"/>
      <c r="H27" s="1105"/>
      <c r="I27" s="1105"/>
    </row>
    <row r="28" spans="1:9" s="1598" customFormat="1" ht="19.5" customHeight="1">
      <c r="A28" s="3470"/>
      <c r="B28" s="3470"/>
      <c r="C28" s="1131" t="s">
        <v>1464</v>
      </c>
      <c r="D28" s="1132"/>
      <c r="E28" s="1154">
        <v>0.9</v>
      </c>
      <c r="F28" s="1133" t="s">
        <v>1465</v>
      </c>
      <c r="G28" s="1134"/>
      <c r="H28" s="1105"/>
      <c r="I28" s="1105"/>
    </row>
    <row r="29" spans="1:9" s="1598" customFormat="1" ht="19.5" customHeight="1">
      <c r="A29" s="3470"/>
      <c r="B29" s="3470"/>
      <c r="C29" s="1131" t="s">
        <v>1466</v>
      </c>
      <c r="D29" s="1132"/>
      <c r="E29" s="1154">
        <v>0.9</v>
      </c>
      <c r="F29" s="1133" t="s">
        <v>1467</v>
      </c>
      <c r="G29" s="1134"/>
      <c r="H29" s="1105"/>
      <c r="I29" s="1105"/>
    </row>
    <row r="30" spans="1:9" s="1598" customFormat="1" ht="19.5" customHeight="1">
      <c r="A30" s="3470"/>
      <c r="B30" s="3470"/>
      <c r="C30" s="1131" t="s">
        <v>1468</v>
      </c>
      <c r="D30" s="1132"/>
      <c r="E30" s="1154">
        <v>0.9</v>
      </c>
      <c r="F30" s="1133" t="s">
        <v>1469</v>
      </c>
      <c r="G30" s="1134"/>
      <c r="H30" s="1105"/>
      <c r="I30" s="1105"/>
    </row>
    <row r="31" spans="1:9" s="1598" customFormat="1" ht="19.5" customHeight="1">
      <c r="A31" s="3470"/>
      <c r="B31" s="3470"/>
      <c r="C31" s="1131" t="s">
        <v>1470</v>
      </c>
      <c r="D31" s="1132"/>
      <c r="E31" s="1154">
        <v>0.8</v>
      </c>
      <c r="F31" s="1133" t="s">
        <v>1471</v>
      </c>
      <c r="G31" s="1134"/>
      <c r="H31" s="1105"/>
      <c r="I31" s="1105"/>
    </row>
    <row r="32" spans="1:9" s="1598" customFormat="1" ht="19.5" customHeight="1">
      <c r="A32" s="3470"/>
      <c r="B32" s="3470"/>
      <c r="C32" s="1131" t="s">
        <v>1472</v>
      </c>
      <c r="D32" s="1132"/>
      <c r="E32" s="1154">
        <v>0.8</v>
      </c>
      <c r="F32" s="1133" t="s">
        <v>1473</v>
      </c>
      <c r="G32" s="1134"/>
      <c r="H32" s="1105"/>
      <c r="I32" s="1105"/>
    </row>
    <row r="33" spans="1:9" s="1598" customFormat="1" ht="19.5" customHeight="1">
      <c r="A33" s="3470" t="s">
        <v>1474</v>
      </c>
      <c r="B33" s="1154" t="s">
        <v>1446</v>
      </c>
      <c r="C33" s="1131" t="s">
        <v>1475</v>
      </c>
      <c r="D33" s="1132"/>
      <c r="E33" s="1154">
        <v>1</v>
      </c>
      <c r="F33" s="1133" t="s">
        <v>1476</v>
      </c>
      <c r="G33" s="1134"/>
      <c r="H33" s="1105"/>
      <c r="I33" s="1105"/>
    </row>
    <row r="34" spans="1:9" s="1598" customFormat="1" ht="19.5" customHeight="1">
      <c r="A34" s="3470"/>
      <c r="B34" s="1154" t="s">
        <v>1449</v>
      </c>
      <c r="C34" s="1131" t="s">
        <v>1477</v>
      </c>
      <c r="D34" s="1132"/>
      <c r="E34" s="1154">
        <v>1.5</v>
      </c>
      <c r="F34" s="1133" t="s">
        <v>1478</v>
      </c>
      <c r="G34" s="1134"/>
      <c r="H34" s="1105"/>
      <c r="I34" s="1105"/>
    </row>
    <row r="35" spans="1:9" s="1598" customFormat="1" ht="19.5" customHeight="1">
      <c r="A35" s="3470" t="s">
        <v>1432</v>
      </c>
      <c r="B35" s="1154" t="s">
        <v>1446</v>
      </c>
      <c r="C35" s="1131" t="s">
        <v>1479</v>
      </c>
      <c r="D35" s="1132"/>
      <c r="E35" s="1154">
        <v>1</v>
      </c>
      <c r="F35" s="1133" t="s">
        <v>1480</v>
      </c>
      <c r="G35" s="1134"/>
      <c r="H35" s="1105"/>
      <c r="I35" s="1105"/>
    </row>
    <row r="36" spans="1:9" s="1598" customFormat="1" ht="19.5" customHeight="1">
      <c r="A36" s="3470"/>
      <c r="B36" s="3470" t="s">
        <v>1449</v>
      </c>
      <c r="C36" s="1131" t="s">
        <v>1481</v>
      </c>
      <c r="D36" s="1132"/>
      <c r="E36" s="1154">
        <v>1</v>
      </c>
      <c r="F36" s="1133" t="s">
        <v>1482</v>
      </c>
      <c r="G36" s="1134"/>
      <c r="H36" s="1105"/>
      <c r="I36" s="1105"/>
    </row>
    <row r="37" spans="1:9" s="1598" customFormat="1" ht="19.5" customHeight="1">
      <c r="A37" s="3470"/>
      <c r="B37" s="3470"/>
      <c r="C37" s="1131" t="s">
        <v>1483</v>
      </c>
      <c r="D37" s="1132"/>
      <c r="E37" s="1154">
        <v>1.5</v>
      </c>
      <c r="F37" s="1133" t="s">
        <v>1484</v>
      </c>
      <c r="G37" s="1134"/>
      <c r="H37" s="1105"/>
      <c r="I37" s="1105"/>
    </row>
    <row r="38" spans="1:9" s="1598" customFormat="1" ht="19.5" customHeight="1">
      <c r="A38" s="3470"/>
      <c r="B38" s="3470"/>
      <c r="C38" s="1131" t="s">
        <v>1485</v>
      </c>
      <c r="D38" s="1132"/>
      <c r="E38" s="1154">
        <v>1</v>
      </c>
      <c r="F38" s="1133" t="s">
        <v>1486</v>
      </c>
      <c r="G38" s="1134"/>
      <c r="H38" s="1105"/>
      <c r="I38" s="1105"/>
    </row>
    <row r="39" spans="1:9" s="1598" customFormat="1" ht="19.5" customHeight="1">
      <c r="A39" s="3470"/>
      <c r="B39" s="3470"/>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70" t="s">
        <v>1501</v>
      </c>
      <c r="C61" s="1068" t="s">
        <v>1502</v>
      </c>
      <c r="D61" s="1068" t="s">
        <v>1503</v>
      </c>
      <c r="E61" s="1139">
        <v>0.5</v>
      </c>
      <c r="F61" s="1154">
        <v>80</v>
      </c>
      <c r="H61" s="1105">
        <f>SUMIF(C59:C119,基准地价!C8,E59:E119)</f>
        <v>0</v>
      </c>
    </row>
    <row r="62" spans="1:8" s="1105" customFormat="1" ht="36">
      <c r="A62" s="1154">
        <v>2</v>
      </c>
      <c r="B62" s="3470"/>
      <c r="C62" s="1068" t="s">
        <v>1504</v>
      </c>
      <c r="D62" s="1068" t="s">
        <v>1505</v>
      </c>
      <c r="E62" s="1139">
        <v>0.5</v>
      </c>
      <c r="F62" s="1154">
        <v>80</v>
      </c>
    </row>
    <row r="63" spans="1:8" s="1105" customFormat="1" ht="48">
      <c r="A63" s="1154">
        <v>3</v>
      </c>
      <c r="B63" s="3470"/>
      <c r="C63" s="1068" t="s">
        <v>1506</v>
      </c>
      <c r="D63" s="1068" t="s">
        <v>1507</v>
      </c>
      <c r="E63" s="1139">
        <v>0.5</v>
      </c>
      <c r="F63" s="1154">
        <v>80</v>
      </c>
    </row>
    <row r="64" spans="1:8" s="1105" customFormat="1" ht="48">
      <c r="A64" s="1154">
        <v>4</v>
      </c>
      <c r="B64" s="3470"/>
      <c r="C64" s="1068" t="s">
        <v>1508</v>
      </c>
      <c r="D64" s="1068" t="s">
        <v>1509</v>
      </c>
      <c r="E64" s="1139">
        <v>0.4</v>
      </c>
      <c r="F64" s="1154">
        <v>60</v>
      </c>
    </row>
    <row r="65" spans="1:6" s="1105" customFormat="1" ht="48">
      <c r="A65" s="1154">
        <v>5</v>
      </c>
      <c r="B65" s="3470"/>
      <c r="C65" s="1068" t="s">
        <v>1510</v>
      </c>
      <c r="D65" s="1068" t="s">
        <v>1511</v>
      </c>
      <c r="E65" s="1139">
        <v>0.2</v>
      </c>
      <c r="F65" s="1154">
        <v>30</v>
      </c>
    </row>
    <row r="66" spans="1:6" s="1105" customFormat="1" ht="48">
      <c r="A66" s="1154">
        <v>6</v>
      </c>
      <c r="B66" s="3470"/>
      <c r="C66" s="1068" t="s">
        <v>1512</v>
      </c>
      <c r="D66" s="1068" t="s">
        <v>1513</v>
      </c>
      <c r="E66" s="1139">
        <v>0.3</v>
      </c>
      <c r="F66" s="1154">
        <v>50</v>
      </c>
    </row>
    <row r="67" spans="1:6" s="1105" customFormat="1" ht="48">
      <c r="A67" s="1154">
        <v>7</v>
      </c>
      <c r="B67" s="3470"/>
      <c r="C67" s="1068" t="s">
        <v>1514</v>
      </c>
      <c r="D67" s="1068" t="s">
        <v>1515</v>
      </c>
      <c r="E67" s="1139">
        <v>0.2</v>
      </c>
      <c r="F67" s="1154">
        <v>30</v>
      </c>
    </row>
    <row r="68" spans="1:6" s="1105" customFormat="1" ht="48">
      <c r="A68" s="1154">
        <v>8</v>
      </c>
      <c r="B68" s="3470"/>
      <c r="C68" s="1068" t="s">
        <v>1516</v>
      </c>
      <c r="D68" s="1068" t="s">
        <v>1517</v>
      </c>
      <c r="E68" s="1139">
        <v>0.2</v>
      </c>
      <c r="F68" s="1154">
        <v>30</v>
      </c>
    </row>
    <row r="69" spans="1:6" s="1105" customFormat="1" ht="48">
      <c r="A69" s="1154">
        <v>9</v>
      </c>
      <c r="B69" s="3470"/>
      <c r="C69" s="1068" t="s">
        <v>1518</v>
      </c>
      <c r="D69" s="1068" t="s">
        <v>1519</v>
      </c>
      <c r="E69" s="1139">
        <v>0.2</v>
      </c>
      <c r="F69" s="1154">
        <v>30</v>
      </c>
    </row>
    <row r="70" spans="1:6" s="1105" customFormat="1" ht="60">
      <c r="A70" s="1154">
        <v>10</v>
      </c>
      <c r="B70" s="3470"/>
      <c r="C70" s="1068" t="s">
        <v>1520</v>
      </c>
      <c r="D70" s="1068" t="s">
        <v>1521</v>
      </c>
      <c r="E70" s="1139">
        <v>0.2</v>
      </c>
      <c r="F70" s="1154">
        <v>30</v>
      </c>
    </row>
    <row r="71" spans="1:6" s="1105" customFormat="1" ht="60">
      <c r="A71" s="1154">
        <v>11</v>
      </c>
      <c r="B71" s="3470"/>
      <c r="C71" s="1068" t="s">
        <v>1522</v>
      </c>
      <c r="D71" s="1068" t="s">
        <v>1523</v>
      </c>
      <c r="E71" s="1139">
        <v>0.2</v>
      </c>
      <c r="F71" s="1154">
        <v>30</v>
      </c>
    </row>
    <row r="72" spans="1:6" s="1105" customFormat="1" ht="36">
      <c r="A72" s="1154">
        <v>12</v>
      </c>
      <c r="B72" s="3470"/>
      <c r="C72" s="1068" t="s">
        <v>1524</v>
      </c>
      <c r="D72" s="1068" t="s">
        <v>1525</v>
      </c>
      <c r="E72" s="1139">
        <v>0.5</v>
      </c>
      <c r="F72" s="1154">
        <v>80</v>
      </c>
    </row>
    <row r="73" spans="1:6" s="1105" customFormat="1" ht="36">
      <c r="A73" s="1154">
        <v>13</v>
      </c>
      <c r="B73" s="3470"/>
      <c r="C73" s="1068" t="s">
        <v>1526</v>
      </c>
      <c r="D73" s="1068" t="s">
        <v>1527</v>
      </c>
      <c r="E73" s="1139">
        <v>0.4</v>
      </c>
      <c r="F73" s="1154">
        <v>60</v>
      </c>
    </row>
    <row r="74" spans="1:6" s="1105" customFormat="1" ht="36">
      <c r="A74" s="1154">
        <v>14</v>
      </c>
      <c r="B74" s="3470"/>
      <c r="C74" s="1068" t="s">
        <v>1528</v>
      </c>
      <c r="D74" s="1068" t="s">
        <v>1529</v>
      </c>
      <c r="E74" s="1139">
        <v>0.2</v>
      </c>
      <c r="F74" s="1154">
        <v>30</v>
      </c>
    </row>
    <row r="75" spans="1:6" s="1105" customFormat="1" ht="36">
      <c r="A75" s="1154">
        <v>15</v>
      </c>
      <c r="B75" s="3470"/>
      <c r="C75" s="1068" t="s">
        <v>1530</v>
      </c>
      <c r="D75" s="1068" t="s">
        <v>1531</v>
      </c>
      <c r="E75" s="1139">
        <v>0.2</v>
      </c>
      <c r="F75" s="1154">
        <v>30</v>
      </c>
    </row>
    <row r="76" spans="1:6" s="1105" customFormat="1" ht="36">
      <c r="A76" s="1154">
        <v>16</v>
      </c>
      <c r="B76" s="3470" t="s">
        <v>1532</v>
      </c>
      <c r="C76" s="1068" t="s">
        <v>1533</v>
      </c>
      <c r="D76" s="1068" t="s">
        <v>1534</v>
      </c>
      <c r="E76" s="1139">
        <v>0.5</v>
      </c>
      <c r="F76" s="1154">
        <v>80</v>
      </c>
    </row>
    <row r="77" spans="1:6" s="1105" customFormat="1" ht="36">
      <c r="A77" s="1154">
        <v>17</v>
      </c>
      <c r="B77" s="3470"/>
      <c r="C77" s="1068" t="s">
        <v>1535</v>
      </c>
      <c r="D77" s="1068" t="s">
        <v>1536</v>
      </c>
      <c r="E77" s="1139">
        <v>0.5</v>
      </c>
      <c r="F77" s="1154">
        <v>80</v>
      </c>
    </row>
    <row r="78" spans="1:6" s="1105" customFormat="1" ht="36">
      <c r="A78" s="1154">
        <v>18</v>
      </c>
      <c r="B78" s="3470"/>
      <c r="C78" s="1068" t="s">
        <v>1537</v>
      </c>
      <c r="D78" s="1068" t="s">
        <v>1538</v>
      </c>
      <c r="E78" s="1139">
        <v>0.2</v>
      </c>
      <c r="F78" s="1154">
        <v>30</v>
      </c>
    </row>
    <row r="79" spans="1:6" s="1105" customFormat="1" ht="36">
      <c r="A79" s="1154">
        <v>19</v>
      </c>
      <c r="B79" s="3470"/>
      <c r="C79" s="1068" t="s">
        <v>1539</v>
      </c>
      <c r="D79" s="1068" t="s">
        <v>1540</v>
      </c>
      <c r="E79" s="1139">
        <v>0.5</v>
      </c>
      <c r="F79" s="1154">
        <v>80</v>
      </c>
    </row>
    <row r="80" spans="1:6" s="1105" customFormat="1" ht="36">
      <c r="A80" s="1154">
        <v>20</v>
      </c>
      <c r="B80" s="3470"/>
      <c r="C80" s="1068" t="s">
        <v>1541</v>
      </c>
      <c r="D80" s="1068" t="s">
        <v>1542</v>
      </c>
      <c r="E80" s="1139">
        <v>0.2</v>
      </c>
      <c r="F80" s="1154">
        <v>30</v>
      </c>
    </row>
    <row r="81" spans="1:6" s="1105" customFormat="1" ht="36">
      <c r="A81" s="1154">
        <v>21</v>
      </c>
      <c r="B81" s="3470"/>
      <c r="C81" s="1068" t="s">
        <v>1543</v>
      </c>
      <c r="D81" s="1068" t="s">
        <v>1544</v>
      </c>
      <c r="E81" s="1139">
        <v>0.2</v>
      </c>
      <c r="F81" s="1154">
        <v>30</v>
      </c>
    </row>
    <row r="82" spans="1:6" s="1105" customFormat="1" ht="60">
      <c r="A82" s="1154">
        <v>22</v>
      </c>
      <c r="B82" s="3470"/>
      <c r="C82" s="1068" t="s">
        <v>1545</v>
      </c>
      <c r="D82" s="1068" t="s">
        <v>1546</v>
      </c>
      <c r="E82" s="1139">
        <v>0.2</v>
      </c>
      <c r="F82" s="1154">
        <v>30</v>
      </c>
    </row>
    <row r="83" spans="1:6" s="1105" customFormat="1" ht="60">
      <c r="A83" s="1154">
        <v>23</v>
      </c>
      <c r="B83" s="3470"/>
      <c r="C83" s="1068" t="s">
        <v>1547</v>
      </c>
      <c r="D83" s="1068" t="s">
        <v>1548</v>
      </c>
      <c r="E83" s="1139">
        <v>0.2</v>
      </c>
      <c r="F83" s="1154">
        <v>30</v>
      </c>
    </row>
    <row r="84" spans="1:6" s="1105" customFormat="1" ht="48">
      <c r="A84" s="1154">
        <v>24</v>
      </c>
      <c r="B84" s="3470"/>
      <c r="C84" s="1068" t="s">
        <v>1549</v>
      </c>
      <c r="D84" s="1068" t="s">
        <v>1550</v>
      </c>
      <c r="E84" s="1139">
        <v>0.2</v>
      </c>
      <c r="F84" s="1154">
        <v>30</v>
      </c>
    </row>
    <row r="85" spans="1:6" s="1105" customFormat="1" ht="36">
      <c r="A85" s="1154">
        <v>25</v>
      </c>
      <c r="B85" s="3470"/>
      <c r="C85" s="1068" t="s">
        <v>1551</v>
      </c>
      <c r="D85" s="1068" t="s">
        <v>1552</v>
      </c>
      <c r="E85" s="1139">
        <v>0.5</v>
      </c>
      <c r="F85" s="1154">
        <v>80</v>
      </c>
    </row>
    <row r="86" spans="1:6" s="1105" customFormat="1" ht="36">
      <c r="A86" s="1154">
        <v>26</v>
      </c>
      <c r="B86" s="3470"/>
      <c r="C86" s="1068" t="s">
        <v>1553</v>
      </c>
      <c r="D86" s="1068" t="s">
        <v>1554</v>
      </c>
      <c r="E86" s="1139">
        <v>0.2</v>
      </c>
      <c r="F86" s="1154">
        <v>30</v>
      </c>
    </row>
    <row r="87" spans="1:6" s="1105" customFormat="1" ht="36">
      <c r="A87" s="1154">
        <v>27</v>
      </c>
      <c r="B87" s="3470"/>
      <c r="C87" s="1068" t="s">
        <v>1555</v>
      </c>
      <c r="D87" s="1068" t="s">
        <v>1556</v>
      </c>
      <c r="E87" s="1139">
        <v>0.2</v>
      </c>
      <c r="F87" s="1154">
        <v>30</v>
      </c>
    </row>
    <row r="88" spans="1:6" s="1105" customFormat="1" ht="36">
      <c r="A88" s="1154">
        <v>28</v>
      </c>
      <c r="B88" s="3470"/>
      <c r="C88" s="1068" t="s">
        <v>1557</v>
      </c>
      <c r="D88" s="1068" t="s">
        <v>1558</v>
      </c>
      <c r="E88" s="1139">
        <v>0.2</v>
      </c>
      <c r="F88" s="1154">
        <v>30</v>
      </c>
    </row>
    <row r="89" spans="1:6" s="1105" customFormat="1" ht="36">
      <c r="A89" s="1154">
        <v>29</v>
      </c>
      <c r="B89" s="3470"/>
      <c r="C89" s="1068" t="s">
        <v>1559</v>
      </c>
      <c r="D89" s="1068" t="s">
        <v>1560</v>
      </c>
      <c r="E89" s="1139">
        <v>0.2</v>
      </c>
      <c r="F89" s="1154">
        <v>30</v>
      </c>
    </row>
    <row r="90" spans="1:6" s="1105" customFormat="1" ht="36">
      <c r="A90" s="1154">
        <v>30</v>
      </c>
      <c r="B90" s="3470"/>
      <c r="C90" s="1068" t="s">
        <v>1561</v>
      </c>
      <c r="D90" s="1068" t="s">
        <v>1562</v>
      </c>
      <c r="E90" s="1139">
        <v>0.2</v>
      </c>
      <c r="F90" s="1154">
        <v>30</v>
      </c>
    </row>
    <row r="91" spans="1:6" s="1105" customFormat="1" ht="48">
      <c r="A91" s="1154">
        <v>31</v>
      </c>
      <c r="B91" s="3470"/>
      <c r="C91" s="1068" t="s">
        <v>1563</v>
      </c>
      <c r="D91" s="1068" t="s">
        <v>1564</v>
      </c>
      <c r="E91" s="1139">
        <v>0.2</v>
      </c>
      <c r="F91" s="1154">
        <v>30</v>
      </c>
    </row>
    <row r="92" spans="1:6" s="1105" customFormat="1" ht="36">
      <c r="A92" s="1154">
        <v>32</v>
      </c>
      <c r="B92" s="3470" t="s">
        <v>1565</v>
      </c>
      <c r="C92" s="1154" t="s">
        <v>1566</v>
      </c>
      <c r="D92" s="1068" t="s">
        <v>1567</v>
      </c>
      <c r="E92" s="1139">
        <v>0.2</v>
      </c>
      <c r="F92" s="1154">
        <v>30</v>
      </c>
    </row>
    <row r="93" spans="1:6" s="1105" customFormat="1" ht="36">
      <c r="A93" s="1154">
        <v>33</v>
      </c>
      <c r="B93" s="3470"/>
      <c r="C93" s="1154" t="s">
        <v>1568</v>
      </c>
      <c r="D93" s="1068" t="s">
        <v>1569</v>
      </c>
      <c r="E93" s="1139">
        <v>0.2</v>
      </c>
      <c r="F93" s="1154">
        <v>30</v>
      </c>
    </row>
    <row r="94" spans="1:6" s="1105" customFormat="1" ht="60">
      <c r="A94" s="1154">
        <v>34</v>
      </c>
      <c r="B94" s="3470"/>
      <c r="C94" s="1154" t="s">
        <v>1570</v>
      </c>
      <c r="D94" s="1068" t="s">
        <v>1571</v>
      </c>
      <c r="E94" s="1139">
        <v>0.2</v>
      </c>
      <c r="F94" s="1154">
        <v>30</v>
      </c>
    </row>
    <row r="95" spans="1:6" s="1105" customFormat="1" ht="48">
      <c r="A95" s="1154">
        <v>35</v>
      </c>
      <c r="B95" s="3470"/>
      <c r="C95" s="1154" t="s">
        <v>1572</v>
      </c>
      <c r="D95" s="1068" t="s">
        <v>1573</v>
      </c>
      <c r="E95" s="1139">
        <v>0.2</v>
      </c>
      <c r="F95" s="1154">
        <v>30</v>
      </c>
    </row>
    <row r="96" spans="1:6" s="1105" customFormat="1" ht="72">
      <c r="A96" s="1154">
        <v>36</v>
      </c>
      <c r="B96" s="3470"/>
      <c r="C96" s="1068" t="s">
        <v>1574</v>
      </c>
      <c r="D96" s="1068" t="s">
        <v>1575</v>
      </c>
      <c r="E96" s="1139">
        <v>0.2</v>
      </c>
      <c r="F96" s="1154">
        <v>30</v>
      </c>
    </row>
    <row r="97" spans="1:6" s="1105" customFormat="1" ht="36">
      <c r="A97" s="1154">
        <v>37</v>
      </c>
      <c r="B97" s="3470"/>
      <c r="C97" s="1154" t="s">
        <v>1576</v>
      </c>
      <c r="D97" s="1068" t="s">
        <v>1577</v>
      </c>
      <c r="E97" s="1139">
        <v>0.2</v>
      </c>
      <c r="F97" s="1154">
        <v>30</v>
      </c>
    </row>
    <row r="98" spans="1:6" s="1105" customFormat="1" ht="36">
      <c r="A98" s="1154">
        <v>38</v>
      </c>
      <c r="B98" s="3470"/>
      <c r="C98" s="1154" t="s">
        <v>1578</v>
      </c>
      <c r="D98" s="1068" t="s">
        <v>1579</v>
      </c>
      <c r="E98" s="1139">
        <v>0.2</v>
      </c>
      <c r="F98" s="1154">
        <v>30</v>
      </c>
    </row>
    <row r="99" spans="1:6" s="1105" customFormat="1" ht="36">
      <c r="A99" s="1154">
        <v>39</v>
      </c>
      <c r="B99" s="3470" t="s">
        <v>1580</v>
      </c>
      <c r="C99" s="1154" t="s">
        <v>1581</v>
      </c>
      <c r="D99" s="1068" t="s">
        <v>1582</v>
      </c>
      <c r="E99" s="1139">
        <v>0.3</v>
      </c>
      <c r="F99" s="1154">
        <v>50</v>
      </c>
    </row>
    <row r="100" spans="1:6" s="1105" customFormat="1" ht="36">
      <c r="A100" s="1154">
        <v>40</v>
      </c>
      <c r="B100" s="3470"/>
      <c r="C100" s="1154" t="s">
        <v>1583</v>
      </c>
      <c r="D100" s="1068" t="s">
        <v>1584</v>
      </c>
      <c r="E100" s="1139">
        <v>0.2</v>
      </c>
      <c r="F100" s="1154">
        <v>30</v>
      </c>
    </row>
    <row r="101" spans="1:6" s="1105" customFormat="1" ht="36">
      <c r="A101" s="1154">
        <v>41</v>
      </c>
      <c r="B101" s="3470"/>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70" t="s">
        <v>1595</v>
      </c>
      <c r="C105" s="1154" t="s">
        <v>1596</v>
      </c>
      <c r="D105" s="1068" t="s">
        <v>1597</v>
      </c>
      <c r="E105" s="1139">
        <v>0.2</v>
      </c>
      <c r="F105" s="1154">
        <v>30</v>
      </c>
    </row>
    <row r="106" spans="1:6" s="1105" customFormat="1" ht="48">
      <c r="A106" s="1154">
        <v>46</v>
      </c>
      <c r="B106" s="3470"/>
      <c r="C106" s="1154" t="s">
        <v>1598</v>
      </c>
      <c r="D106" s="1068" t="s">
        <v>1599</v>
      </c>
      <c r="E106" s="1139">
        <v>0.2</v>
      </c>
      <c r="F106" s="1154">
        <v>30</v>
      </c>
    </row>
    <row r="107" spans="1:6" s="1105" customFormat="1" ht="36">
      <c r="A107" s="1154">
        <v>47</v>
      </c>
      <c r="B107" s="3470" t="s">
        <v>1600</v>
      </c>
      <c r="C107" s="1154" t="s">
        <v>1601</v>
      </c>
      <c r="D107" s="1068" t="s">
        <v>1602</v>
      </c>
      <c r="E107" s="1139">
        <v>0.3</v>
      </c>
      <c r="F107" s="1154">
        <v>50</v>
      </c>
    </row>
    <row r="108" spans="1:6" s="1105" customFormat="1" ht="48">
      <c r="A108" s="1154">
        <v>48</v>
      </c>
      <c r="B108" s="347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70" t="s">
        <v>1611</v>
      </c>
      <c r="C111" s="1154" t="s">
        <v>1612</v>
      </c>
      <c r="D111" s="1068" t="s">
        <v>1613</v>
      </c>
      <c r="E111" s="1139">
        <v>0.2</v>
      </c>
      <c r="F111" s="1154">
        <v>30</v>
      </c>
    </row>
    <row r="112" spans="1:6" s="1105" customFormat="1" ht="36">
      <c r="A112" s="1154">
        <v>52</v>
      </c>
      <c r="B112" s="3470"/>
      <c r="C112" s="1154" t="s">
        <v>1614</v>
      </c>
      <c r="D112" s="1068" t="s">
        <v>1615</v>
      </c>
      <c r="E112" s="1139">
        <v>0.2</v>
      </c>
      <c r="F112" s="1154">
        <v>30</v>
      </c>
    </row>
    <row r="113" spans="1:14" s="1105" customFormat="1" ht="36">
      <c r="A113" s="1154">
        <v>53</v>
      </c>
      <c r="B113" s="3470"/>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70" t="s">
        <v>1624</v>
      </c>
      <c r="C116" s="1154" t="s">
        <v>1625</v>
      </c>
      <c r="D116" s="1068" t="s">
        <v>1626</v>
      </c>
      <c r="E116" s="1139">
        <v>0.2</v>
      </c>
      <c r="F116" s="1154">
        <v>30</v>
      </c>
    </row>
    <row r="117" spans="1:14" ht="36">
      <c r="A117" s="1154">
        <v>57</v>
      </c>
      <c r="B117" s="347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69" t="s">
        <v>1633</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74" t="s">
        <v>1039</v>
      </c>
      <c r="B1" s="3474"/>
      <c r="C1" s="3474"/>
      <c r="D1" s="3474"/>
      <c r="E1" s="3474"/>
      <c r="F1" s="347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75" t="s">
        <v>1052</v>
      </c>
      <c r="B2" s="3475"/>
      <c r="C2" s="3475"/>
      <c r="D2" s="3475"/>
      <c r="E2" s="3475"/>
      <c r="F2" s="347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78" t="s">
        <v>2080</v>
      </c>
      <c r="B1" s="3478"/>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80" t="s">
        <v>2461</v>
      </c>
      <c r="C8" s="1825" t="e">
        <f ca="1">ROUND(F8*F10*F9*(1-F11)/10000,0)</f>
        <v>#N/A</v>
      </c>
      <c r="D8" s="1822" t="s">
        <v>2532</v>
      </c>
      <c r="E8" s="61" t="s">
        <v>636</v>
      </c>
      <c r="F8" s="785" t="e">
        <f ca="1">INDIRECT("'数据-取费表'!u"&amp;$G$1)</f>
        <v>#N/A</v>
      </c>
      <c r="G8" s="1591"/>
      <c r="H8" s="2504" t="s">
        <v>1823</v>
      </c>
      <c r="I8" s="3480" t="s">
        <v>2461</v>
      </c>
      <c r="J8" s="783" t="e">
        <f ca="1">ROUND(M8*M10*M9*(1-M11)/10000,0)</f>
        <v>#N/A</v>
      </c>
      <c r="K8" s="341" t="s">
        <v>2532</v>
      </c>
      <c r="L8" s="784" t="s">
        <v>1737</v>
      </c>
      <c r="M8" s="785" t="e">
        <f ca="1">INDIRECT("'数据-取费表'!z"&amp;$G$1)</f>
        <v>#N/A</v>
      </c>
    </row>
    <row r="9" spans="1:25" ht="18" customHeight="1">
      <c r="A9" s="2500"/>
      <c r="B9" s="3481"/>
      <c r="C9" s="1826"/>
      <c r="D9" s="1823"/>
      <c r="E9" s="61" t="s">
        <v>637</v>
      </c>
      <c r="F9" s="785" t="e">
        <f ca="1">IF(INDIRECT("'数据-取费表'!ah"&amp;$G$1)="",INDIRECT("'数据-取费表'!k"&amp;$G$1),INDIRECT("'数据-取费表'!ah"&amp;$G$1))</f>
        <v>#N/A</v>
      </c>
      <c r="G9" s="1591"/>
      <c r="H9" s="2489"/>
      <c r="I9" s="3481"/>
      <c r="J9" s="788"/>
      <c r="K9" s="789"/>
      <c r="L9" s="784" t="s">
        <v>1738</v>
      </c>
      <c r="M9" s="785" t="e">
        <f ca="1">F9</f>
        <v>#N/A</v>
      </c>
    </row>
    <row r="10" spans="1:25" ht="18" customHeight="1">
      <c r="A10" s="2493"/>
      <c r="B10" s="3482"/>
      <c r="C10" s="1826"/>
      <c r="D10" s="1823"/>
      <c r="E10" s="61" t="s">
        <v>638</v>
      </c>
      <c r="F10" s="785" t="e">
        <f ca="1">INDIRECT("'数据-取费表'!ai"&amp;$G$1)</f>
        <v>#N/A</v>
      </c>
      <c r="G10" s="1591"/>
      <c r="H10" s="2489"/>
      <c r="I10" s="3482"/>
      <c r="J10" s="788"/>
      <c r="K10" s="789"/>
      <c r="L10" s="784" t="s">
        <v>1739</v>
      </c>
      <c r="M10" s="785" t="e">
        <f ca="1">INDIRECT("'数据-取费表'!ai"&amp;$G$1)</f>
        <v>#N/A</v>
      </c>
    </row>
    <row r="11" spans="1:25" ht="18" customHeight="1">
      <c r="A11" s="786"/>
      <c r="B11" s="3483"/>
      <c r="C11" s="1826"/>
      <c r="D11" s="1823"/>
      <c r="E11" s="61" t="s">
        <v>639</v>
      </c>
      <c r="F11" s="794" t="e">
        <f ca="1">INDIRECT("'数据-取费表'!w"&amp;$G$1)</f>
        <v>#N/A</v>
      </c>
      <c r="G11" s="1591"/>
      <c r="H11" s="2505"/>
      <c r="I11" s="3482"/>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2</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479"/>
      <c r="J36" s="2079"/>
      <c r="K36" s="2080"/>
      <c r="L36" s="2079"/>
      <c r="M36" s="2079"/>
    </row>
    <row r="37" spans="1:18" ht="18" customHeight="1">
      <c r="A37" s="815"/>
      <c r="B37" s="793"/>
      <c r="C37" s="69"/>
      <c r="D37" s="816"/>
      <c r="E37" s="784" t="s">
        <v>673</v>
      </c>
      <c r="F37" s="785" t="e">
        <f ca="1">INDIRECT("'数据-取费表'!r"&amp;$G$1)</f>
        <v>#N/A</v>
      </c>
      <c r="G37" s="2062"/>
      <c r="H37" s="2065"/>
      <c r="I37" s="3479"/>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484"/>
      <c r="L54" s="3485"/>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92" t="s">
        <v>2574</v>
      </c>
      <c r="C1" s="3492"/>
      <c r="D1" s="3492"/>
      <c r="E1" s="3492"/>
      <c r="F1" s="3492"/>
      <c r="G1" s="3491" t="s">
        <v>2575</v>
      </c>
      <c r="H1" s="3491"/>
      <c r="I1" s="3491"/>
      <c r="J1" s="3491"/>
      <c r="K1" s="3491"/>
      <c r="L1" s="3491"/>
      <c r="N1" s="3491" t="s">
        <v>2576</v>
      </c>
      <c r="O1" s="3491"/>
      <c r="P1" s="3491"/>
      <c r="Q1" s="3491"/>
      <c r="R1" s="2654"/>
      <c r="S1" s="3491" t="s">
        <v>2577</v>
      </c>
      <c r="T1" s="3491"/>
      <c r="U1" s="3491"/>
      <c r="V1" s="3491"/>
      <c r="X1" s="3490" t="s">
        <v>2637</v>
      </c>
      <c r="Y1" s="3491"/>
      <c r="Z1" s="3491"/>
      <c r="AA1" s="3491"/>
      <c r="AB1" s="3491"/>
      <c r="AD1" s="3490" t="s">
        <v>2641</v>
      </c>
      <c r="AE1" s="3491"/>
      <c r="AF1" s="3491"/>
      <c r="AG1" s="3491"/>
      <c r="AH1" s="3491"/>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89">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8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8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8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48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8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8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8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48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8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8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8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493">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94"/>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94"/>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95"/>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48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8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8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48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48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8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8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8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48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8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8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8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48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8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8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8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48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8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8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8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48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8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8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8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48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8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8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8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48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8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8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8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48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8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8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8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486">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87">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87">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488">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486">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87">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87">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488">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55" zoomScaleNormal="55" workbookViewId="0">
      <selection activeCell="K23" sqref="K23"/>
    </sheetView>
  </sheetViews>
  <sheetFormatPr defaultColWidth="9" defaultRowHeight="13.8"/>
  <cols>
    <col min="1" max="1" width="10.44140625" style="1337" customWidth="1"/>
    <col min="2" max="2" width="15.77734375" style="1337" customWidth="1"/>
    <col min="3" max="3" width="18.4414062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89186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10925</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08" t="s">
        <v>521</v>
      </c>
      <c r="D4" s="3409"/>
      <c r="E4" s="3447" t="s">
        <v>522</v>
      </c>
      <c r="F4" s="3448"/>
      <c r="G4" s="3408" t="s">
        <v>523</v>
      </c>
      <c r="H4" s="3409"/>
      <c r="I4" s="3408" t="s">
        <v>524</v>
      </c>
      <c r="J4" s="3409"/>
      <c r="K4" s="853" t="s">
        <v>525</v>
      </c>
      <c r="L4" s="2133"/>
      <c r="M4" s="2134"/>
      <c r="N4" s="2134"/>
      <c r="O4" s="2134"/>
      <c r="P4" s="3410" t="s">
        <v>526</v>
      </c>
      <c r="Q4" s="3411"/>
      <c r="R4" s="3416" t="s">
        <v>522</v>
      </c>
      <c r="S4" s="3417"/>
      <c r="T4" s="3416" t="s">
        <v>523</v>
      </c>
      <c r="U4" s="3417"/>
      <c r="V4" s="3403" t="s">
        <v>524</v>
      </c>
      <c r="W4" s="3403"/>
      <c r="X4" s="3209"/>
      <c r="Y4" s="3416" t="s">
        <v>526</v>
      </c>
      <c r="Z4" s="3417"/>
      <c r="AA4" s="3405" t="s">
        <v>522</v>
      </c>
      <c r="AB4" s="3405" t="s">
        <v>523</v>
      </c>
      <c r="AC4" s="3405" t="s">
        <v>524</v>
      </c>
    </row>
    <row r="5" spans="1:29">
      <c r="A5" s="515"/>
      <c r="B5" s="516"/>
      <c r="C5" s="3426" t="str">
        <f>'比较法-住宅、综合'!C7:D7</f>
        <v>恒大云湖上郡</v>
      </c>
      <c r="D5" s="3425"/>
      <c r="E5" s="3499" t="s">
        <v>3414</v>
      </c>
      <c r="F5" s="3450"/>
      <c r="G5" s="3426" t="s">
        <v>3415</v>
      </c>
      <c r="H5" s="3425"/>
      <c r="I5" s="3426" t="s">
        <v>3416</v>
      </c>
      <c r="J5" s="3425"/>
      <c r="K5" s="854"/>
      <c r="L5" s="2133"/>
      <c r="M5" s="2134"/>
      <c r="N5" s="2134"/>
      <c r="O5" s="2134"/>
      <c r="P5" s="3412"/>
      <c r="Q5" s="3413"/>
      <c r="R5" s="3418"/>
      <c r="S5" s="3419"/>
      <c r="T5" s="3418"/>
      <c r="U5" s="3419"/>
      <c r="V5" s="3403"/>
      <c r="W5" s="3403"/>
      <c r="X5" s="3209"/>
      <c r="Y5" s="3418"/>
      <c r="Z5" s="3419"/>
      <c r="AA5" s="3406"/>
      <c r="AB5" s="3406"/>
      <c r="AC5" s="3406"/>
    </row>
    <row r="6" spans="1:29" ht="15" customHeight="1" thickBot="1">
      <c r="A6" s="517"/>
      <c r="B6" s="518"/>
      <c r="C6" s="3500" t="s">
        <v>3156</v>
      </c>
      <c r="D6" s="3423"/>
      <c r="E6" s="3500" t="s">
        <v>3156</v>
      </c>
      <c r="F6" s="3423"/>
      <c r="G6" s="3500" t="s">
        <v>3156</v>
      </c>
      <c r="H6" s="3423"/>
      <c r="I6" s="3500" t="s">
        <v>3156</v>
      </c>
      <c r="J6" s="3423"/>
      <c r="K6" s="854" t="s">
        <v>527</v>
      </c>
      <c r="L6" s="2133"/>
      <c r="M6" s="2134"/>
      <c r="N6" s="2134"/>
      <c r="O6" s="2134"/>
      <c r="P6" s="3414"/>
      <c r="Q6" s="3415"/>
      <c r="R6" s="3418"/>
      <c r="S6" s="3419"/>
      <c r="T6" s="3420"/>
      <c r="U6" s="3421"/>
      <c r="V6" s="3403"/>
      <c r="W6" s="3403"/>
      <c r="X6" s="3209"/>
      <c r="Y6" s="3420"/>
      <c r="Z6" s="3421"/>
      <c r="AA6" s="3407"/>
      <c r="AB6" s="3407"/>
      <c r="AC6" s="3407"/>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35" t="s">
        <v>529</v>
      </c>
      <c r="Q7" s="3437"/>
      <c r="R7" s="1567" t="s">
        <v>8</v>
      </c>
      <c r="S7" s="1568">
        <f t="shared" ref="S7:S15" si="0">F7</f>
        <v>100</v>
      </c>
      <c r="T7" s="1567" t="s">
        <v>8</v>
      </c>
      <c r="U7" s="1568">
        <f t="shared" ref="U7:U15" si="1">H7</f>
        <v>100</v>
      </c>
      <c r="V7" s="1567" t="s">
        <v>8</v>
      </c>
      <c r="W7" s="1568">
        <f t="shared" ref="W7:W15" si="2">J7</f>
        <v>100</v>
      </c>
      <c r="X7" s="1569"/>
      <c r="Y7" s="3435" t="s">
        <v>529</v>
      </c>
      <c r="Z7" s="3436"/>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35" t="s">
        <v>532</v>
      </c>
      <c r="Q8" s="3436"/>
      <c r="R8" s="1567" t="s">
        <v>8</v>
      </c>
      <c r="S8" s="1568">
        <f t="shared" si="0"/>
        <v>100</v>
      </c>
      <c r="T8" s="1567" t="s">
        <v>8</v>
      </c>
      <c r="U8" s="1568">
        <f t="shared" si="1"/>
        <v>100</v>
      </c>
      <c r="V8" s="1567" t="s">
        <v>8</v>
      </c>
      <c r="W8" s="1568">
        <f t="shared" si="2"/>
        <v>100</v>
      </c>
      <c r="X8" s="1569"/>
      <c r="Y8" s="3435" t="s">
        <v>532</v>
      </c>
      <c r="Z8" s="3436"/>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02" t="s">
        <v>534</v>
      </c>
      <c r="Q9" s="3205" t="str">
        <f t="shared" ref="Q9:Q15" si="6">B9</f>
        <v>用途</v>
      </c>
      <c r="R9" s="1567" t="s">
        <v>8</v>
      </c>
      <c r="S9" s="1568">
        <f t="shared" si="0"/>
        <v>100</v>
      </c>
      <c r="T9" s="1567" t="s">
        <v>8</v>
      </c>
      <c r="U9" s="1568">
        <f t="shared" si="1"/>
        <v>100</v>
      </c>
      <c r="V9" s="1567" t="s">
        <v>8</v>
      </c>
      <c r="W9" s="1568">
        <f t="shared" si="2"/>
        <v>100</v>
      </c>
      <c r="X9" s="1569"/>
      <c r="Y9" s="3348"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02"/>
      <c r="Q10" s="3205" t="str">
        <f t="shared" si="6"/>
        <v>土地使用年限（年）</v>
      </c>
      <c r="R10" s="1567" t="s">
        <v>8</v>
      </c>
      <c r="S10" s="1568">
        <f t="shared" si="0"/>
        <v>100</v>
      </c>
      <c r="T10" s="1567" t="s">
        <v>8</v>
      </c>
      <c r="U10" s="1568">
        <f t="shared" si="1"/>
        <v>100</v>
      </c>
      <c r="V10" s="1567" t="s">
        <v>8</v>
      </c>
      <c r="W10" s="1568">
        <f t="shared" si="2"/>
        <v>100</v>
      </c>
      <c r="X10" s="1569"/>
      <c r="Y10" s="3348"/>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02"/>
      <c r="Q11" s="3205" t="str">
        <f t="shared" si="6"/>
        <v>容积率</v>
      </c>
      <c r="R11" s="1567" t="s">
        <v>8</v>
      </c>
      <c r="S11" s="1568">
        <f t="shared" si="0"/>
        <v>100</v>
      </c>
      <c r="T11" s="1567" t="s">
        <v>8</v>
      </c>
      <c r="U11" s="1568">
        <f t="shared" si="1"/>
        <v>99</v>
      </c>
      <c r="V11" s="1567" t="s">
        <v>8</v>
      </c>
      <c r="W11" s="1568">
        <f t="shared" si="2"/>
        <v>100</v>
      </c>
      <c r="X11" s="1569"/>
      <c r="Y11" s="3348"/>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2"/>
      <c r="Q12" s="3205">
        <f t="shared" si="6"/>
        <v>111</v>
      </c>
      <c r="R12" s="1567" t="s">
        <v>8</v>
      </c>
      <c r="S12" s="1568">
        <f t="shared" si="0"/>
        <v>100</v>
      </c>
      <c r="T12" s="1567" t="s">
        <v>8</v>
      </c>
      <c r="U12" s="1568">
        <f t="shared" si="1"/>
        <v>100</v>
      </c>
      <c r="V12" s="1567" t="s">
        <v>8</v>
      </c>
      <c r="W12" s="1568">
        <f t="shared" si="2"/>
        <v>100</v>
      </c>
      <c r="X12" s="1569"/>
      <c r="Y12" s="3348"/>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2"/>
      <c r="Q13" s="3205">
        <f t="shared" si="6"/>
        <v>111</v>
      </c>
      <c r="R13" s="1567" t="s">
        <v>8</v>
      </c>
      <c r="S13" s="1568">
        <f t="shared" si="0"/>
        <v>100</v>
      </c>
      <c r="T13" s="1567" t="s">
        <v>8</v>
      </c>
      <c r="U13" s="1568">
        <f t="shared" si="1"/>
        <v>100</v>
      </c>
      <c r="V13" s="1567" t="s">
        <v>8</v>
      </c>
      <c r="W13" s="1568">
        <f t="shared" si="2"/>
        <v>100</v>
      </c>
      <c r="X13" s="1569"/>
      <c r="Y13" s="3348"/>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2"/>
      <c r="Q14" s="3205">
        <f t="shared" si="6"/>
        <v>111</v>
      </c>
      <c r="R14" s="1567" t="s">
        <v>8</v>
      </c>
      <c r="S14" s="1568">
        <f t="shared" si="0"/>
        <v>100</v>
      </c>
      <c r="T14" s="1567" t="s">
        <v>8</v>
      </c>
      <c r="U14" s="1568">
        <f t="shared" si="1"/>
        <v>100</v>
      </c>
      <c r="V14" s="1567" t="s">
        <v>8</v>
      </c>
      <c r="W14" s="1568">
        <f t="shared" si="2"/>
        <v>100</v>
      </c>
      <c r="X14" s="1569"/>
      <c r="Y14" s="3348"/>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536" t="s">
        <v>3428</v>
      </c>
      <c r="F15" s="551">
        <f>SUMIF(76:76,E16,77:77)-SUMIF(76:76,C16,77:77)+100</f>
        <v>100</v>
      </c>
      <c r="G15" s="552"/>
      <c r="H15" s="549">
        <f>SUMIF(76:76,G16,77:77)-SUMIF(76:76,C16,77:77)+100</f>
        <v>100</v>
      </c>
      <c r="I15" s="3536" t="s">
        <v>3427</v>
      </c>
      <c r="J15" s="549">
        <f>SUMIF(76:76,I16,77:77)-SUMIF(76:76,C16,77:77)+100</f>
        <v>100</v>
      </c>
      <c r="K15" s="868">
        <v>2</v>
      </c>
      <c r="L15" s="2142"/>
      <c r="M15" s="2134"/>
      <c r="N15" s="2134"/>
      <c r="O15" s="2141"/>
      <c r="P15" s="3438" t="s">
        <v>539</v>
      </c>
      <c r="Q15" s="3207" t="str">
        <f t="shared" si="6"/>
        <v>居住社区成熟度</v>
      </c>
      <c r="R15" s="1572" t="s">
        <v>8</v>
      </c>
      <c r="S15" s="1573">
        <f t="shared" si="0"/>
        <v>100</v>
      </c>
      <c r="T15" s="1572" t="s">
        <v>8</v>
      </c>
      <c r="U15" s="1573">
        <f t="shared" si="1"/>
        <v>100</v>
      </c>
      <c r="V15" s="1572" t="s">
        <v>8</v>
      </c>
      <c r="W15" s="1573">
        <f t="shared" si="2"/>
        <v>100</v>
      </c>
      <c r="X15" s="3209"/>
      <c r="Y15" s="3438"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39"/>
      <c r="Q16" s="3207"/>
      <c r="R16" s="1572"/>
      <c r="S16" s="1573"/>
      <c r="T16" s="1572"/>
      <c r="U16" s="1573"/>
      <c r="V16" s="1572"/>
      <c r="W16" s="1573"/>
      <c r="X16" s="3209"/>
      <c r="Y16" s="3439"/>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39"/>
      <c r="Q17" s="3207" t="str">
        <f>B17</f>
        <v>交通便捷度</v>
      </c>
      <c r="R17" s="1572" t="s">
        <v>8</v>
      </c>
      <c r="S17" s="1573">
        <f>F17</f>
        <v>102</v>
      </c>
      <c r="T17" s="1572" t="s">
        <v>8</v>
      </c>
      <c r="U17" s="1573">
        <f>H17</f>
        <v>102</v>
      </c>
      <c r="V17" s="1572" t="s">
        <v>8</v>
      </c>
      <c r="W17" s="1573">
        <f>J17</f>
        <v>102</v>
      </c>
      <c r="X17" s="3209"/>
      <c r="Y17" s="3439"/>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39"/>
      <c r="Q18" s="3207"/>
      <c r="R18" s="1572"/>
      <c r="S18" s="1573"/>
      <c r="T18" s="1572"/>
      <c r="U18" s="1573"/>
      <c r="V18" s="1572"/>
      <c r="W18" s="1573"/>
      <c r="X18" s="3209"/>
      <c r="Y18" s="3439"/>
      <c r="Z18" s="3208"/>
      <c r="AA18" s="3210">
        <v>1</v>
      </c>
      <c r="AB18" s="3210">
        <v>1</v>
      </c>
      <c r="AC18" s="3210">
        <v>1</v>
      </c>
    </row>
    <row r="19" spans="1:29" ht="86.4">
      <c r="A19" s="532"/>
      <c r="B19" s="2600" t="s">
        <v>2544</v>
      </c>
      <c r="C19" s="872" t="str">
        <f>估价对象房地状况!C7</f>
        <v>估价对象所在区域公共配套设施齐备情况一般</v>
      </c>
      <c r="D19" s="565">
        <v>100</v>
      </c>
      <c r="E19" s="3535" t="s">
        <v>3425</v>
      </c>
      <c r="F19" s="571">
        <f>SUMIF(80:80,E20,81:81)-SUMIF(80:80,C20,81:81)+100</f>
        <v>102</v>
      </c>
      <c r="G19" s="3535" t="s">
        <v>3424</v>
      </c>
      <c r="H19" s="559">
        <f>SUMIF(80:80,G20,81:81)-SUMIF(80:80,C20,81:81)+100</f>
        <v>102</v>
      </c>
      <c r="I19" s="3535" t="s">
        <v>3426</v>
      </c>
      <c r="J19" s="559">
        <f>SUMIF(80:80,I20,81:81)-SUMIF(80:80,C20,81:81)+100</f>
        <v>96</v>
      </c>
      <c r="K19" s="868">
        <v>2</v>
      </c>
      <c r="L19" s="2142"/>
      <c r="M19" s="2134"/>
      <c r="N19" s="2134"/>
      <c r="O19" s="2141"/>
      <c r="P19" s="3439"/>
      <c r="Q19" s="3207" t="str">
        <f>B19</f>
        <v>公共配套设施</v>
      </c>
      <c r="R19" s="1572" t="s">
        <v>8</v>
      </c>
      <c r="S19" s="1573">
        <f>F19</f>
        <v>102</v>
      </c>
      <c r="T19" s="1572" t="s">
        <v>8</v>
      </c>
      <c r="U19" s="1573">
        <f>H19</f>
        <v>102</v>
      </c>
      <c r="V19" s="1572" t="s">
        <v>8</v>
      </c>
      <c r="W19" s="1573">
        <f>J19</f>
        <v>96</v>
      </c>
      <c r="X19" s="3209"/>
      <c r="Y19" s="3439"/>
      <c r="Z19" s="3208" t="str">
        <f>Q19</f>
        <v>公共配套设施</v>
      </c>
      <c r="AA19" s="3210">
        <f t="shared" si="3"/>
        <v>0.98039215686274506</v>
      </c>
      <c r="AB19" s="3210">
        <f t="shared" si="4"/>
        <v>0.98039215686274506</v>
      </c>
      <c r="AC19" s="3210">
        <f t="shared" si="5"/>
        <v>1.0416666666666667</v>
      </c>
    </row>
    <row r="20" spans="1:29" ht="15">
      <c r="A20" s="532"/>
      <c r="B20" s="595"/>
      <c r="C20" s="558" t="s">
        <v>3061</v>
      </c>
      <c r="D20" s="555"/>
      <c r="E20" s="558" t="s">
        <v>3033</v>
      </c>
      <c r="F20" s="557"/>
      <c r="G20" s="558" t="s">
        <v>3033</v>
      </c>
      <c r="H20" s="555"/>
      <c r="I20" s="558" t="s">
        <v>3437</v>
      </c>
      <c r="J20" s="555"/>
      <c r="K20" s="870"/>
      <c r="L20" s="2142"/>
      <c r="M20" s="2134"/>
      <c r="N20" s="2134"/>
      <c r="O20" s="2141"/>
      <c r="P20" s="3439"/>
      <c r="Q20" s="3207"/>
      <c r="R20" s="1572"/>
      <c r="S20" s="1573"/>
      <c r="T20" s="1572"/>
      <c r="U20" s="1573"/>
      <c r="V20" s="1572"/>
      <c r="W20" s="1573"/>
      <c r="X20" s="3209"/>
      <c r="Y20" s="3439"/>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39"/>
      <c r="Q21" s="3207" t="str">
        <f>B21</f>
        <v>基础设施水平</v>
      </c>
      <c r="R21" s="1572" t="s">
        <v>8</v>
      </c>
      <c r="S21" s="1573">
        <f>F21</f>
        <v>100</v>
      </c>
      <c r="T21" s="1572" t="s">
        <v>8</v>
      </c>
      <c r="U21" s="1573">
        <f>H21</f>
        <v>100</v>
      </c>
      <c r="V21" s="1572" t="s">
        <v>8</v>
      </c>
      <c r="W21" s="1573">
        <f>J21</f>
        <v>100</v>
      </c>
      <c r="X21" s="3209"/>
      <c r="Y21" s="3439"/>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39"/>
      <c r="Q22" s="3207"/>
      <c r="R22" s="1572"/>
      <c r="S22" s="1573"/>
      <c r="T22" s="1572"/>
      <c r="U22" s="1573"/>
      <c r="V22" s="1572"/>
      <c r="W22" s="1573"/>
      <c r="X22" s="3209"/>
      <c r="Y22" s="3439"/>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39"/>
      <c r="Q23" s="3207" t="str">
        <f>B23</f>
        <v>自然及人文环境</v>
      </c>
      <c r="R23" s="1572" t="s">
        <v>8</v>
      </c>
      <c r="S23" s="1573">
        <f>F23</f>
        <v>102</v>
      </c>
      <c r="T23" s="1572" t="s">
        <v>8</v>
      </c>
      <c r="U23" s="1573">
        <f>H23</f>
        <v>102</v>
      </c>
      <c r="V23" s="1572" t="s">
        <v>8</v>
      </c>
      <c r="W23" s="1573">
        <f>J23</f>
        <v>102</v>
      </c>
      <c r="X23" s="3209"/>
      <c r="Y23" s="3439"/>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39"/>
      <c r="Q24" s="3207"/>
      <c r="R24" s="1572"/>
      <c r="S24" s="1573"/>
      <c r="T24" s="1572"/>
      <c r="U24" s="1573"/>
      <c r="V24" s="1572"/>
      <c r="W24" s="1573"/>
      <c r="X24" s="3209"/>
      <c r="Y24" s="3439"/>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9"/>
      <c r="Q25" s="3207" t="str">
        <f t="shared" ref="Q25:Q46" si="11">B25</f>
        <v>楼层-1</v>
      </c>
      <c r="R25" s="1572" t="s">
        <v>8</v>
      </c>
      <c r="S25" s="1573">
        <f>F25</f>
        <v>100</v>
      </c>
      <c r="T25" s="1572" t="s">
        <v>8</v>
      </c>
      <c r="U25" s="1573">
        <f>H25</f>
        <v>100</v>
      </c>
      <c r="V25" s="1572" t="s">
        <v>8</v>
      </c>
      <c r="W25" s="1573">
        <f>J25</f>
        <v>100</v>
      </c>
      <c r="X25" s="3209"/>
      <c r="Y25" s="3439"/>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9"/>
      <c r="Q26" s="3207" t="str">
        <f t="shared" si="11"/>
        <v>朝向</v>
      </c>
      <c r="R26" s="1572" t="s">
        <v>8</v>
      </c>
      <c r="S26" s="1573">
        <f>F26</f>
        <v>100</v>
      </c>
      <c r="T26" s="1572" t="s">
        <v>8</v>
      </c>
      <c r="U26" s="1573">
        <f>H26</f>
        <v>100</v>
      </c>
      <c r="V26" s="1572" t="s">
        <v>8</v>
      </c>
      <c r="W26" s="1573">
        <f>J26</f>
        <v>100</v>
      </c>
      <c r="X26" s="3209"/>
      <c r="Y26" s="3439"/>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9"/>
      <c r="Q27" s="3205" t="str">
        <f t="shared" si="11"/>
        <v>道路级别</v>
      </c>
      <c r="R27" s="1567" t="s">
        <v>8</v>
      </c>
      <c r="S27" s="1568">
        <f>F27</f>
        <v>100</v>
      </c>
      <c r="T27" s="1567" t="s">
        <v>8</v>
      </c>
      <c r="U27" s="1568">
        <f>H27</f>
        <v>100</v>
      </c>
      <c r="V27" s="1567" t="s">
        <v>8</v>
      </c>
      <c r="W27" s="1568">
        <f>J27</f>
        <v>100</v>
      </c>
      <c r="X27" s="1569"/>
      <c r="Y27" s="3439"/>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9"/>
      <c r="Q28" s="3207">
        <f t="shared" si="11"/>
        <v>111</v>
      </c>
      <c r="R28" s="1572" t="s">
        <v>8</v>
      </c>
      <c r="S28" s="1573">
        <f t="shared" ref="S28:S46" si="12">F28</f>
        <v>100</v>
      </c>
      <c r="T28" s="1572" t="s">
        <v>8</v>
      </c>
      <c r="U28" s="1573">
        <f t="shared" ref="U28:U46" si="13">H28</f>
        <v>100</v>
      </c>
      <c r="V28" s="1572" t="s">
        <v>8</v>
      </c>
      <c r="W28" s="1573">
        <f t="shared" ref="W28:W46" si="14">J28</f>
        <v>100</v>
      </c>
      <c r="X28" s="3209"/>
      <c r="Y28" s="3439"/>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9"/>
      <c r="Q29" s="3207">
        <f t="shared" si="11"/>
        <v>111</v>
      </c>
      <c r="R29" s="1572" t="s">
        <v>8</v>
      </c>
      <c r="S29" s="1573">
        <f t="shared" si="12"/>
        <v>100</v>
      </c>
      <c r="T29" s="1572" t="s">
        <v>8</v>
      </c>
      <c r="U29" s="1573">
        <f t="shared" si="13"/>
        <v>100</v>
      </c>
      <c r="V29" s="1572" t="s">
        <v>8</v>
      </c>
      <c r="W29" s="1573">
        <f t="shared" si="14"/>
        <v>100</v>
      </c>
      <c r="X29" s="3209"/>
      <c r="Y29" s="3439"/>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9"/>
      <c r="Q30" s="3207">
        <f t="shared" si="11"/>
        <v>111</v>
      </c>
      <c r="R30" s="1572" t="s">
        <v>8</v>
      </c>
      <c r="S30" s="1573">
        <f t="shared" si="12"/>
        <v>100</v>
      </c>
      <c r="T30" s="1572" t="s">
        <v>8</v>
      </c>
      <c r="U30" s="1573">
        <f t="shared" si="13"/>
        <v>100</v>
      </c>
      <c r="V30" s="1572" t="s">
        <v>8</v>
      </c>
      <c r="W30" s="1573">
        <f t="shared" si="14"/>
        <v>100</v>
      </c>
      <c r="X30" s="3209"/>
      <c r="Y30" s="3439"/>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9"/>
      <c r="Q31" s="3207">
        <f t="shared" si="11"/>
        <v>111</v>
      </c>
      <c r="R31" s="1572" t="s">
        <v>8</v>
      </c>
      <c r="S31" s="1573">
        <f t="shared" si="12"/>
        <v>100</v>
      </c>
      <c r="T31" s="1572" t="s">
        <v>8</v>
      </c>
      <c r="U31" s="1573">
        <f t="shared" si="13"/>
        <v>100</v>
      </c>
      <c r="V31" s="1572" t="s">
        <v>8</v>
      </c>
      <c r="W31" s="1573">
        <f t="shared" si="14"/>
        <v>100</v>
      </c>
      <c r="X31" s="3209"/>
      <c r="Y31" s="3439"/>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40" t="s">
        <v>549</v>
      </c>
      <c r="Q32" s="3207" t="str">
        <f t="shared" si="11"/>
        <v>建筑类型</v>
      </c>
      <c r="R32" s="1572" t="s">
        <v>8</v>
      </c>
      <c r="S32" s="1573">
        <f t="shared" si="12"/>
        <v>100</v>
      </c>
      <c r="T32" s="1572" t="s">
        <v>8</v>
      </c>
      <c r="U32" s="1573">
        <f t="shared" si="13"/>
        <v>100</v>
      </c>
      <c r="V32" s="1572" t="s">
        <v>8</v>
      </c>
      <c r="W32" s="1573">
        <f t="shared" si="14"/>
        <v>100</v>
      </c>
      <c r="X32" s="3209"/>
      <c r="Y32" s="3441"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41"/>
      <c r="Q33" s="1604" t="str">
        <f t="shared" si="11"/>
        <v>项目建筑规模</v>
      </c>
      <c r="R33" s="1576" t="s">
        <v>8</v>
      </c>
      <c r="S33" s="1577">
        <f t="shared" si="12"/>
        <v>101</v>
      </c>
      <c r="T33" s="1576" t="s">
        <v>8</v>
      </c>
      <c r="U33" s="1577">
        <f t="shared" si="13"/>
        <v>102</v>
      </c>
      <c r="V33" s="1576" t="s">
        <v>8</v>
      </c>
      <c r="W33" s="1577">
        <f t="shared" si="14"/>
        <v>101</v>
      </c>
      <c r="X33" s="1578"/>
      <c r="Y33" s="3441"/>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41"/>
      <c r="Q34" s="3207" t="str">
        <f t="shared" si="11"/>
        <v>建筑结构</v>
      </c>
      <c r="R34" s="1572" t="s">
        <v>8</v>
      </c>
      <c r="S34" s="1573">
        <f t="shared" si="12"/>
        <v>100</v>
      </c>
      <c r="T34" s="1572" t="s">
        <v>8</v>
      </c>
      <c r="U34" s="1573">
        <f t="shared" si="13"/>
        <v>100</v>
      </c>
      <c r="V34" s="1572" t="s">
        <v>8</v>
      </c>
      <c r="W34" s="1573">
        <f t="shared" si="14"/>
        <v>100</v>
      </c>
      <c r="X34" s="3209"/>
      <c r="Y34" s="3441"/>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41"/>
      <c r="Q35" s="3207" t="str">
        <f t="shared" si="11"/>
        <v>建筑品质</v>
      </c>
      <c r="R35" s="1572" t="s">
        <v>8</v>
      </c>
      <c r="S35" s="1573">
        <f t="shared" si="12"/>
        <v>100</v>
      </c>
      <c r="T35" s="1572" t="s">
        <v>8</v>
      </c>
      <c r="U35" s="1573">
        <f t="shared" si="13"/>
        <v>100</v>
      </c>
      <c r="V35" s="1572" t="s">
        <v>8</v>
      </c>
      <c r="W35" s="1573">
        <f t="shared" si="14"/>
        <v>100</v>
      </c>
      <c r="X35" s="3209"/>
      <c r="Y35" s="3441"/>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41"/>
      <c r="Q36" s="3207" t="str">
        <f t="shared" si="11"/>
        <v>公共部分装修</v>
      </c>
      <c r="R36" s="1572" t="s">
        <v>8</v>
      </c>
      <c r="S36" s="1573">
        <f t="shared" si="12"/>
        <v>100</v>
      </c>
      <c r="T36" s="1572" t="s">
        <v>8</v>
      </c>
      <c r="U36" s="1573">
        <f t="shared" si="13"/>
        <v>100</v>
      </c>
      <c r="V36" s="1572" t="s">
        <v>8</v>
      </c>
      <c r="W36" s="1573">
        <f t="shared" si="14"/>
        <v>100</v>
      </c>
      <c r="X36" s="3209"/>
      <c r="Y36" s="3441"/>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41"/>
      <c r="Q37" s="3205" t="str">
        <f t="shared" si="11"/>
        <v>成新度</v>
      </c>
      <c r="R37" s="1567" t="s">
        <v>8</v>
      </c>
      <c r="S37" s="1568">
        <f t="shared" si="12"/>
        <v>100</v>
      </c>
      <c r="T37" s="1567" t="s">
        <v>8</v>
      </c>
      <c r="U37" s="1568">
        <f t="shared" si="13"/>
        <v>100</v>
      </c>
      <c r="V37" s="1567" t="s">
        <v>8</v>
      </c>
      <c r="W37" s="1568">
        <f t="shared" si="14"/>
        <v>100</v>
      </c>
      <c r="X37" s="1569"/>
      <c r="Y37" s="3441"/>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41" t="s">
        <v>549</v>
      </c>
      <c r="Q38" s="3207" t="str">
        <f t="shared" si="11"/>
        <v>物业管理</v>
      </c>
      <c r="R38" s="1572" t="s">
        <v>8</v>
      </c>
      <c r="S38" s="1573">
        <f t="shared" si="12"/>
        <v>100</v>
      </c>
      <c r="T38" s="1572" t="s">
        <v>8</v>
      </c>
      <c r="U38" s="1573">
        <f t="shared" si="13"/>
        <v>100</v>
      </c>
      <c r="V38" s="1572" t="s">
        <v>8</v>
      </c>
      <c r="W38" s="1573">
        <f t="shared" si="14"/>
        <v>100</v>
      </c>
      <c r="X38" s="3209"/>
      <c r="Y38" s="3441"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41"/>
      <c r="Q39" s="3207" t="str">
        <f t="shared" si="11"/>
        <v>市政基础设施</v>
      </c>
      <c r="R39" s="1572" t="s">
        <v>8</v>
      </c>
      <c r="S39" s="1573">
        <f t="shared" si="12"/>
        <v>100</v>
      </c>
      <c r="T39" s="1572" t="s">
        <v>8</v>
      </c>
      <c r="U39" s="1573">
        <f t="shared" si="13"/>
        <v>100</v>
      </c>
      <c r="V39" s="1572" t="s">
        <v>8</v>
      </c>
      <c r="W39" s="1573">
        <f t="shared" si="14"/>
        <v>100</v>
      </c>
      <c r="X39" s="3209"/>
      <c r="Y39" s="3441"/>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41"/>
      <c r="Q40" s="3207" t="str">
        <f t="shared" si="11"/>
        <v>房型</v>
      </c>
      <c r="R40" s="1572" t="s">
        <v>8</v>
      </c>
      <c r="S40" s="1573">
        <f t="shared" si="12"/>
        <v>100</v>
      </c>
      <c r="T40" s="1572" t="s">
        <v>8</v>
      </c>
      <c r="U40" s="1573">
        <f t="shared" si="13"/>
        <v>100</v>
      </c>
      <c r="V40" s="1572" t="s">
        <v>8</v>
      </c>
      <c r="W40" s="1573">
        <f t="shared" si="14"/>
        <v>100</v>
      </c>
      <c r="X40" s="3209"/>
      <c r="Y40" s="3441"/>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41"/>
      <c r="Q41" s="1604" t="str">
        <f t="shared" si="11"/>
        <v>单套/主力户型建筑面积</v>
      </c>
      <c r="R41" s="1576" t="s">
        <v>8</v>
      </c>
      <c r="S41" s="1577">
        <f t="shared" si="12"/>
        <v>100</v>
      </c>
      <c r="T41" s="1576" t="s">
        <v>8</v>
      </c>
      <c r="U41" s="1577">
        <f t="shared" si="13"/>
        <v>100</v>
      </c>
      <c r="V41" s="1576" t="s">
        <v>8</v>
      </c>
      <c r="W41" s="1577">
        <f t="shared" si="14"/>
        <v>100</v>
      </c>
      <c r="X41" s="1578"/>
      <c r="Y41" s="3441"/>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41"/>
      <c r="Q42" s="3207" t="str">
        <f t="shared" si="11"/>
        <v>内部装修</v>
      </c>
      <c r="R42" s="1572" t="s">
        <v>8</v>
      </c>
      <c r="S42" s="1573">
        <f t="shared" si="12"/>
        <v>100</v>
      </c>
      <c r="T42" s="1572" t="s">
        <v>8</v>
      </c>
      <c r="U42" s="1573">
        <f t="shared" si="13"/>
        <v>100</v>
      </c>
      <c r="V42" s="1572" t="s">
        <v>8</v>
      </c>
      <c r="W42" s="1573">
        <f t="shared" si="14"/>
        <v>100</v>
      </c>
      <c r="X42" s="3209"/>
      <c r="Y42" s="3441"/>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41"/>
      <c r="Q43" s="3207" t="str">
        <f t="shared" si="11"/>
        <v>内部装修维护情况</v>
      </c>
      <c r="R43" s="1572" t="s">
        <v>8</v>
      </c>
      <c r="S43" s="1573">
        <f t="shared" si="12"/>
        <v>100</v>
      </c>
      <c r="T43" s="1572" t="s">
        <v>8</v>
      </c>
      <c r="U43" s="1573">
        <f t="shared" si="13"/>
        <v>100</v>
      </c>
      <c r="V43" s="1572" t="s">
        <v>8</v>
      </c>
      <c r="W43" s="1573">
        <f t="shared" si="14"/>
        <v>100</v>
      </c>
      <c r="X43" s="3209"/>
      <c r="Y43" s="3441"/>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41"/>
      <c r="Q44" s="3205" t="str">
        <f t="shared" si="11"/>
        <v>特殊修正</v>
      </c>
      <c r="R44" s="1567" t="s">
        <v>8</v>
      </c>
      <c r="S44" s="1568">
        <f t="shared" si="12"/>
        <v>100</v>
      </c>
      <c r="T44" s="1567" t="s">
        <v>8</v>
      </c>
      <c r="U44" s="1568">
        <f t="shared" si="13"/>
        <v>100</v>
      </c>
      <c r="V44" s="1567" t="s">
        <v>8</v>
      </c>
      <c r="W44" s="1568">
        <f t="shared" si="14"/>
        <v>100</v>
      </c>
      <c r="X44" s="1569"/>
      <c r="Y44" s="3441"/>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1"/>
      <c r="Q45" s="3207">
        <f t="shared" si="11"/>
        <v>111</v>
      </c>
      <c r="R45" s="1572" t="s">
        <v>8</v>
      </c>
      <c r="S45" s="1573">
        <f t="shared" si="12"/>
        <v>100</v>
      </c>
      <c r="T45" s="1572" t="s">
        <v>8</v>
      </c>
      <c r="U45" s="1573">
        <f t="shared" si="13"/>
        <v>100</v>
      </c>
      <c r="V45" s="1572" t="s">
        <v>8</v>
      </c>
      <c r="W45" s="1573">
        <f t="shared" si="14"/>
        <v>100</v>
      </c>
      <c r="X45" s="3209"/>
      <c r="Y45" s="3441"/>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3207">
        <f t="shared" si="11"/>
        <v>111</v>
      </c>
      <c r="R46" s="1572" t="s">
        <v>8</v>
      </c>
      <c r="S46" s="1573">
        <f t="shared" si="12"/>
        <v>100</v>
      </c>
      <c r="T46" s="1572" t="s">
        <v>8</v>
      </c>
      <c r="U46" s="1573">
        <f t="shared" si="13"/>
        <v>100</v>
      </c>
      <c r="V46" s="1572" t="s">
        <v>8</v>
      </c>
      <c r="W46" s="1573">
        <f t="shared" si="14"/>
        <v>100</v>
      </c>
      <c r="X46" s="3209"/>
      <c r="Y46" s="3498"/>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02" t="str">
        <f>A47</f>
        <v>成交单价（元/平方米）</v>
      </c>
      <c r="Q47" s="3402"/>
      <c r="R47" s="3496">
        <f>E47</f>
        <v>10527</v>
      </c>
      <c r="S47" s="3496"/>
      <c r="T47" s="3496">
        <f>G47</f>
        <v>12000</v>
      </c>
      <c r="U47" s="3496"/>
      <c r="V47" s="3496">
        <f>I47</f>
        <v>12000</v>
      </c>
      <c r="W47" s="3496"/>
      <c r="X47" s="1558"/>
      <c r="Y47" s="1580"/>
      <c r="Z47" s="1558"/>
      <c r="AA47" s="1558"/>
      <c r="AB47" s="1558"/>
      <c r="AC47" s="1558"/>
    </row>
    <row r="48" spans="1:29" ht="15" thickBot="1">
      <c r="A48" s="615" t="s">
        <v>2690</v>
      </c>
      <c r="B48" s="888"/>
      <c r="C48" s="2633">
        <f>R49</f>
        <v>10925</v>
      </c>
      <c r="D48" s="2634"/>
      <c r="E48" s="2635">
        <f>R48</f>
        <v>9822</v>
      </c>
      <c r="F48" s="2635"/>
      <c r="G48" s="2633">
        <f>T48</f>
        <v>11198</v>
      </c>
      <c r="H48" s="2634"/>
      <c r="I48" s="2635">
        <f>V48</f>
        <v>11896</v>
      </c>
      <c r="J48" s="2634"/>
      <c r="K48" s="1606"/>
      <c r="L48" s="2144"/>
      <c r="M48" s="2145"/>
      <c r="N48" s="2145"/>
      <c r="O48" s="2145"/>
      <c r="P48" s="3402" t="str">
        <f>A48</f>
        <v>比较价格（元/平方米）</v>
      </c>
      <c r="Q48" s="3402"/>
      <c r="R48" s="3496">
        <f>IF(F1="售价",ROUND(PRODUCT(R47,AA7:AA46),0),ROUND(PRODUCT(R47,AA7:AA46),1))</f>
        <v>9822</v>
      </c>
      <c r="S48" s="3496"/>
      <c r="T48" s="3496">
        <f>IF(F1="售价",ROUND(PRODUCT(T47,AB7:AB46),0),ROUND(PRODUCT(T47,AB7:AB46),1))</f>
        <v>11198</v>
      </c>
      <c r="U48" s="3496"/>
      <c r="V48" s="3496">
        <f>IF(F1="售价",ROUND(PRODUCT(V47,AC7:AC46),0),ROUND(PRODUCT(V47,AC7:AC46),1))</f>
        <v>11896</v>
      </c>
      <c r="W48" s="3496"/>
      <c r="X48" s="1558"/>
      <c r="Y48" s="1558"/>
      <c r="Z48" s="1558"/>
      <c r="AA48" s="1558"/>
      <c r="AB48" s="1558"/>
      <c r="AC48" s="1558"/>
    </row>
    <row r="49" spans="1:29" ht="15" thickBot="1">
      <c r="A49" s="621" t="s">
        <v>2930</v>
      </c>
      <c r="B49" s="622"/>
      <c r="C49" s="2636">
        <f>R49</f>
        <v>10925</v>
      </c>
      <c r="D49" s="2636"/>
      <c r="E49" s="2636"/>
      <c r="F49" s="2636"/>
      <c r="G49" s="2636"/>
      <c r="H49" s="2636"/>
      <c r="I49" s="2636"/>
      <c r="J49" s="2636"/>
      <c r="K49" s="1607"/>
      <c r="L49" s="2144"/>
      <c r="M49" s="2145"/>
      <c r="N49" s="2145"/>
      <c r="O49" s="2145"/>
      <c r="P49" s="3399" t="str">
        <f>A49</f>
        <v>估价对象XX用房的比较价格（楼面单价，元/平方米）</v>
      </c>
      <c r="Q49" s="3400"/>
      <c r="R49" s="3497">
        <f>ROUND(R48*R50+T48*T50+V48*V50,0)</f>
        <v>10925</v>
      </c>
      <c r="S49" s="3497"/>
      <c r="T49" s="3497"/>
      <c r="U49" s="3497"/>
      <c r="V49" s="3497"/>
      <c r="W49" s="349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7.1777642028100219E-2</v>
      </c>
      <c r="F52" s="627" t="str">
        <f>IF(OR(E52&gt;=0.3,E52&lt;=-0.3),"超过30%","")</f>
        <v/>
      </c>
      <c r="G52" s="626">
        <f>IF(G47&lt;G48,G48/G47-1,G47/G48-1)</f>
        <v>7.1619932130737585E-2</v>
      </c>
      <c r="H52" s="627" t="str">
        <f>IF(OR(G52&gt;=0.3,G52&lt;=-0.3),"超过30%","")</f>
        <v/>
      </c>
      <c r="I52" s="626">
        <f>IF(I47&lt;I48,I48/I47-1,I47/I48-1)</f>
        <v>8.7424344317417191E-3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0.14009366727754013</v>
      </c>
      <c r="F53" s="627" t="str">
        <f>IF(OR(E53&gt;=0.2,E53&lt;=-0.2),"超过20%","")</f>
        <v/>
      </c>
      <c r="G53" s="626">
        <f>IF(G48&lt;I48,I48/G48-1,G48/I48-1)</f>
        <v>6.2332559385604558E-2</v>
      </c>
      <c r="H53" s="627" t="str">
        <f>IF(OR(G53&gt;=0.2,G53&lt;=-0.2),"超过20%","")</f>
        <v/>
      </c>
      <c r="I53" s="626">
        <f>IF(I48&lt;E48,E48/I48-1,I48/E48-1)</f>
        <v>0.21115862349826919</v>
      </c>
      <c r="J53" s="627" t="str">
        <f>IF(OR(I53&gt;=0.2,I53&lt;=-0.2),"超过20%","")</f>
        <v>超过20%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08" t="s">
        <v>521</v>
      </c>
      <c r="D4" s="3409"/>
      <c r="E4" s="3447" t="s">
        <v>522</v>
      </c>
      <c r="F4" s="3448"/>
      <c r="G4" s="3408" t="s">
        <v>523</v>
      </c>
      <c r="H4" s="3409"/>
      <c r="I4" s="3408" t="s">
        <v>524</v>
      </c>
      <c r="J4" s="3409"/>
      <c r="K4" s="853"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5" t="s">
        <v>523</v>
      </c>
      <c r="AC4" s="3405" t="s">
        <v>524</v>
      </c>
    </row>
    <row r="5" spans="1:29">
      <c r="A5" s="515"/>
      <c r="B5" s="516"/>
      <c r="C5" s="3426" t="s">
        <v>3085</v>
      </c>
      <c r="D5" s="3425"/>
      <c r="E5" s="3499" t="s">
        <v>3087</v>
      </c>
      <c r="F5" s="3450"/>
      <c r="G5" s="3426" t="s">
        <v>3092</v>
      </c>
      <c r="H5" s="3425"/>
      <c r="I5" s="3426" t="s">
        <v>3091</v>
      </c>
      <c r="J5" s="3425"/>
      <c r="K5" s="85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500" t="s">
        <v>3086</v>
      </c>
      <c r="D6" s="3423"/>
      <c r="E6" s="3501" t="s">
        <v>3088</v>
      </c>
      <c r="F6" s="3446"/>
      <c r="G6" s="3500" t="s">
        <v>3093</v>
      </c>
      <c r="H6" s="3423"/>
      <c r="I6" s="3500" t="str">
        <f>G6</f>
        <v>永川区</v>
      </c>
      <c r="J6" s="3423"/>
      <c r="K6" s="85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35" t="s">
        <v>529</v>
      </c>
      <c r="Q7" s="3437"/>
      <c r="R7" s="1567" t="s">
        <v>13</v>
      </c>
      <c r="S7" s="1568">
        <f t="shared" ref="S7:S15" si="0">F7</f>
        <v>99</v>
      </c>
      <c r="T7" s="1567" t="s">
        <v>13</v>
      </c>
      <c r="U7" s="1568">
        <f t="shared" ref="U7:U15" si="1">H7</f>
        <v>100</v>
      </c>
      <c r="V7" s="1567" t="s">
        <v>13</v>
      </c>
      <c r="W7" s="1568">
        <f t="shared" ref="W7:W15" si="2">J7</f>
        <v>100</v>
      </c>
      <c r="X7" s="1569"/>
      <c r="Y7" s="3435" t="s">
        <v>529</v>
      </c>
      <c r="Z7" s="3436"/>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35" t="s">
        <v>532</v>
      </c>
      <c r="Q8" s="3436"/>
      <c r="R8" s="1567" t="s">
        <v>13</v>
      </c>
      <c r="S8" s="1568">
        <f t="shared" si="0"/>
        <v>100</v>
      </c>
      <c r="T8" s="1567" t="s">
        <v>13</v>
      </c>
      <c r="U8" s="1568">
        <f t="shared" si="1"/>
        <v>100</v>
      </c>
      <c r="V8" s="1567" t="s">
        <v>13</v>
      </c>
      <c r="W8" s="1568">
        <f t="shared" si="2"/>
        <v>100</v>
      </c>
      <c r="X8" s="1569"/>
      <c r="Y8" s="3435" t="s">
        <v>532</v>
      </c>
      <c r="Z8" s="3436"/>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02"/>
      <c r="Q11" s="1151" t="str">
        <f t="shared" si="6"/>
        <v>容积率</v>
      </c>
      <c r="R11" s="1567" t="s">
        <v>11</v>
      </c>
      <c r="S11" s="1568">
        <f t="shared" si="0"/>
        <v>99.5</v>
      </c>
      <c r="T11" s="1567" t="s">
        <v>11</v>
      </c>
      <c r="U11" s="1568">
        <f t="shared" si="1"/>
        <v>99</v>
      </c>
      <c r="V11" s="1567" t="s">
        <v>11</v>
      </c>
      <c r="W11" s="1568">
        <f t="shared" si="2"/>
        <v>99.5</v>
      </c>
      <c r="X11" s="1569"/>
      <c r="Y11" s="3348"/>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2"/>
      <c r="Q12" s="1151">
        <f t="shared" si="6"/>
        <v>111</v>
      </c>
      <c r="R12" s="1567" t="s">
        <v>11</v>
      </c>
      <c r="S12" s="1568">
        <f t="shared" si="0"/>
        <v>100</v>
      </c>
      <c r="T12" s="1567" t="s">
        <v>11</v>
      </c>
      <c r="U12" s="1568">
        <f t="shared" si="1"/>
        <v>100</v>
      </c>
      <c r="V12" s="1567" t="s">
        <v>11</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2"/>
      <c r="Q13" s="1151">
        <f t="shared" si="6"/>
        <v>111</v>
      </c>
      <c r="R13" s="1567" t="s">
        <v>11</v>
      </c>
      <c r="S13" s="1568">
        <f t="shared" si="0"/>
        <v>100</v>
      </c>
      <c r="T13" s="1567" t="s">
        <v>11</v>
      </c>
      <c r="U13" s="1568">
        <f t="shared" si="1"/>
        <v>100</v>
      </c>
      <c r="V13" s="1567" t="s">
        <v>11</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2"/>
      <c r="Q14" s="1151">
        <f t="shared" si="6"/>
        <v>111</v>
      </c>
      <c r="R14" s="1567" t="s">
        <v>11</v>
      </c>
      <c r="S14" s="1568">
        <f t="shared" si="0"/>
        <v>100</v>
      </c>
      <c r="T14" s="1567" t="s">
        <v>11</v>
      </c>
      <c r="U14" s="1568">
        <f t="shared" si="1"/>
        <v>100</v>
      </c>
      <c r="V14" s="1567" t="s">
        <v>11</v>
      </c>
      <c r="W14" s="1568">
        <f t="shared" si="2"/>
        <v>100</v>
      </c>
      <c r="X14" s="1569"/>
      <c r="Y14" s="3348"/>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38" t="s">
        <v>539</v>
      </c>
      <c r="Q15" s="1571" t="str">
        <f t="shared" si="6"/>
        <v>居住社区成熟度</v>
      </c>
      <c r="R15" s="1572" t="s">
        <v>11</v>
      </c>
      <c r="S15" s="1573">
        <f t="shared" si="0"/>
        <v>100</v>
      </c>
      <c r="T15" s="1572" t="s">
        <v>11</v>
      </c>
      <c r="U15" s="1573">
        <f t="shared" si="1"/>
        <v>100</v>
      </c>
      <c r="V15" s="1572" t="s">
        <v>11</v>
      </c>
      <c r="W15" s="1573">
        <f t="shared" si="2"/>
        <v>100</v>
      </c>
      <c r="X15" s="1566"/>
      <c r="Y15" s="3438"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39"/>
      <c r="Q16" s="1571"/>
      <c r="R16" s="1572"/>
      <c r="S16" s="1573"/>
      <c r="T16" s="1572"/>
      <c r="U16" s="1573"/>
      <c r="V16" s="1572"/>
      <c r="W16" s="1573"/>
      <c r="X16" s="1566"/>
      <c r="Y16" s="3439"/>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39"/>
      <c r="Q17" s="1571" t="str">
        <f>B17</f>
        <v>交通便捷度</v>
      </c>
      <c r="R17" s="1572" t="s">
        <v>11</v>
      </c>
      <c r="S17" s="1573">
        <f>F17</f>
        <v>100</v>
      </c>
      <c r="T17" s="1572" t="s">
        <v>11</v>
      </c>
      <c r="U17" s="1573">
        <f>H17</f>
        <v>100</v>
      </c>
      <c r="V17" s="1572" t="s">
        <v>11</v>
      </c>
      <c r="W17" s="1573">
        <f>J17</f>
        <v>100</v>
      </c>
      <c r="X17" s="1566"/>
      <c r="Y17" s="3439"/>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39"/>
      <c r="Q18" s="1571"/>
      <c r="R18" s="1572"/>
      <c r="S18" s="1573"/>
      <c r="T18" s="1572"/>
      <c r="U18" s="1573"/>
      <c r="V18" s="1572"/>
      <c r="W18" s="1573"/>
      <c r="X18" s="1566"/>
      <c r="Y18" s="3439"/>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39"/>
      <c r="Q19" s="1571" t="str">
        <f>B19</f>
        <v>公共配套设施</v>
      </c>
      <c r="R19" s="1572" t="s">
        <v>11</v>
      </c>
      <c r="S19" s="1573">
        <f>F19</f>
        <v>100</v>
      </c>
      <c r="T19" s="1572" t="s">
        <v>11</v>
      </c>
      <c r="U19" s="1573">
        <f>H19</f>
        <v>100</v>
      </c>
      <c r="V19" s="1572" t="s">
        <v>11</v>
      </c>
      <c r="W19" s="1573">
        <f>J19</f>
        <v>100</v>
      </c>
      <c r="X19" s="1566"/>
      <c r="Y19" s="3439"/>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39"/>
      <c r="Q21" s="2579" t="str">
        <f>B21</f>
        <v>基础设施水平</v>
      </c>
      <c r="R21" s="1572" t="s">
        <v>11</v>
      </c>
      <c r="S21" s="1573">
        <f>F21</f>
        <v>100</v>
      </c>
      <c r="T21" s="1572" t="s">
        <v>11</v>
      </c>
      <c r="U21" s="1573">
        <f>H21</f>
        <v>100</v>
      </c>
      <c r="V21" s="1572" t="s">
        <v>11</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39"/>
      <c r="Q22" s="2579"/>
      <c r="R22" s="1572"/>
      <c r="S22" s="1573"/>
      <c r="T22" s="1572"/>
      <c r="U22" s="1573"/>
      <c r="V22" s="1572"/>
      <c r="W22" s="1573"/>
      <c r="X22" s="2581"/>
      <c r="Y22" s="3439"/>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39"/>
      <c r="Q23" s="1571" t="str">
        <f>B23</f>
        <v>自然及人文环境</v>
      </c>
      <c r="R23" s="1572" t="s">
        <v>11</v>
      </c>
      <c r="S23" s="1573">
        <f>F23</f>
        <v>100</v>
      </c>
      <c r="T23" s="1572" t="s">
        <v>11</v>
      </c>
      <c r="U23" s="1573">
        <f>H23</f>
        <v>100</v>
      </c>
      <c r="V23" s="1572" t="s">
        <v>11</v>
      </c>
      <c r="W23" s="1573">
        <f>J23</f>
        <v>100</v>
      </c>
      <c r="X23" s="1566"/>
      <c r="Y23" s="3439"/>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9"/>
      <c r="Q25" s="1571" t="str">
        <f t="shared" ref="Q25:Q46" si="11">B25</f>
        <v>楼层-1</v>
      </c>
      <c r="R25" s="1572" t="s">
        <v>11</v>
      </c>
      <c r="S25" s="1573">
        <f>F25</f>
        <v>100</v>
      </c>
      <c r="T25" s="1572" t="s">
        <v>11</v>
      </c>
      <c r="U25" s="1573">
        <f>H25</f>
        <v>100</v>
      </c>
      <c r="V25" s="1572" t="s">
        <v>11</v>
      </c>
      <c r="W25" s="1573">
        <f>J25</f>
        <v>100</v>
      </c>
      <c r="X25" s="1566"/>
      <c r="Y25" s="343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9"/>
      <c r="Q26" s="1571" t="str">
        <f t="shared" si="11"/>
        <v>朝向</v>
      </c>
      <c r="R26" s="1572" t="s">
        <v>11</v>
      </c>
      <c r="S26" s="1573">
        <f>F26</f>
        <v>100</v>
      </c>
      <c r="T26" s="1572" t="s">
        <v>11</v>
      </c>
      <c r="U26" s="1573">
        <f>H26</f>
        <v>100</v>
      </c>
      <c r="V26" s="1572" t="s">
        <v>11</v>
      </c>
      <c r="W26" s="1573">
        <f>J26</f>
        <v>100</v>
      </c>
      <c r="X26" s="1566"/>
      <c r="Y26" s="3439"/>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39"/>
      <c r="Q27" s="1151" t="str">
        <f t="shared" si="11"/>
        <v>道路级别</v>
      </c>
      <c r="R27" s="1567" t="s">
        <v>11</v>
      </c>
      <c r="S27" s="1568">
        <f>F27</f>
        <v>100</v>
      </c>
      <c r="T27" s="1567" t="s">
        <v>11</v>
      </c>
      <c r="U27" s="1568">
        <f>H27</f>
        <v>100</v>
      </c>
      <c r="V27" s="1567" t="s">
        <v>11</v>
      </c>
      <c r="W27" s="1568">
        <f>J27</f>
        <v>100</v>
      </c>
      <c r="X27" s="1569"/>
      <c r="Y27" s="3439"/>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9"/>
      <c r="Q29" s="1571">
        <f t="shared" si="11"/>
        <v>111</v>
      </c>
      <c r="R29" s="1572" t="s">
        <v>11</v>
      </c>
      <c r="S29" s="1573">
        <f t="shared" si="12"/>
        <v>100</v>
      </c>
      <c r="T29" s="1572" t="s">
        <v>11</v>
      </c>
      <c r="U29" s="1573">
        <f t="shared" si="13"/>
        <v>100</v>
      </c>
      <c r="V29" s="1572" t="s">
        <v>11</v>
      </c>
      <c r="W29" s="1573">
        <f t="shared" si="14"/>
        <v>100</v>
      </c>
      <c r="X29" s="1566"/>
      <c r="Y29" s="34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9"/>
      <c r="Q30" s="1571">
        <f t="shared" si="11"/>
        <v>111</v>
      </c>
      <c r="R30" s="1572" t="s">
        <v>11</v>
      </c>
      <c r="S30" s="1573">
        <f t="shared" si="12"/>
        <v>100</v>
      </c>
      <c r="T30" s="1572" t="s">
        <v>11</v>
      </c>
      <c r="U30" s="1573">
        <f t="shared" si="13"/>
        <v>100</v>
      </c>
      <c r="V30" s="1572" t="s">
        <v>11</v>
      </c>
      <c r="W30" s="1573">
        <f t="shared" si="14"/>
        <v>100</v>
      </c>
      <c r="X30" s="1566"/>
      <c r="Y30" s="3439"/>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9"/>
      <c r="Q31" s="1571">
        <f t="shared" si="11"/>
        <v>111</v>
      </c>
      <c r="R31" s="1572" t="s">
        <v>11</v>
      </c>
      <c r="S31" s="1573">
        <f t="shared" si="12"/>
        <v>100</v>
      </c>
      <c r="T31" s="1572" t="s">
        <v>11</v>
      </c>
      <c r="U31" s="1573">
        <f t="shared" si="13"/>
        <v>100</v>
      </c>
      <c r="V31" s="1572" t="s">
        <v>11</v>
      </c>
      <c r="W31" s="1573">
        <f t="shared" si="14"/>
        <v>100</v>
      </c>
      <c r="X31" s="1566"/>
      <c r="Y31" s="3439"/>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40" t="s">
        <v>549</v>
      </c>
      <c r="Q32" s="1571" t="str">
        <f t="shared" si="11"/>
        <v>建筑类型</v>
      </c>
      <c r="R32" s="1572" t="s">
        <v>11</v>
      </c>
      <c r="S32" s="1573">
        <f t="shared" si="12"/>
        <v>100</v>
      </c>
      <c r="T32" s="1572" t="s">
        <v>11</v>
      </c>
      <c r="U32" s="1573">
        <f t="shared" si="13"/>
        <v>100</v>
      </c>
      <c r="V32" s="1572" t="s">
        <v>11</v>
      </c>
      <c r="W32" s="1573">
        <f t="shared" si="14"/>
        <v>100</v>
      </c>
      <c r="X32" s="1566"/>
      <c r="Y32" s="3441"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41"/>
      <c r="Q33" s="1604" t="str">
        <f t="shared" si="11"/>
        <v>项目建筑规模</v>
      </c>
      <c r="R33" s="1576" t="s">
        <v>11</v>
      </c>
      <c r="S33" s="1577">
        <f t="shared" si="12"/>
        <v>100</v>
      </c>
      <c r="T33" s="1576" t="s">
        <v>11</v>
      </c>
      <c r="U33" s="1577">
        <f t="shared" si="13"/>
        <v>104</v>
      </c>
      <c r="V33" s="1576" t="s">
        <v>11</v>
      </c>
      <c r="W33" s="1577">
        <f t="shared" si="14"/>
        <v>104</v>
      </c>
      <c r="X33" s="1578"/>
      <c r="Y33" s="3441"/>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41"/>
      <c r="Q34" s="1571" t="str">
        <f t="shared" si="11"/>
        <v>建筑结构</v>
      </c>
      <c r="R34" s="1572" t="s">
        <v>11</v>
      </c>
      <c r="S34" s="1573">
        <f t="shared" si="12"/>
        <v>100</v>
      </c>
      <c r="T34" s="1572" t="s">
        <v>11</v>
      </c>
      <c r="U34" s="1573">
        <f t="shared" si="13"/>
        <v>100</v>
      </c>
      <c r="V34" s="1572" t="s">
        <v>11</v>
      </c>
      <c r="W34" s="1573">
        <f t="shared" si="14"/>
        <v>100</v>
      </c>
      <c r="X34" s="1566"/>
      <c r="Y34" s="3441"/>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41"/>
      <c r="Q35" s="1571" t="str">
        <f t="shared" si="11"/>
        <v>建筑品质</v>
      </c>
      <c r="R35" s="1572" t="s">
        <v>11</v>
      </c>
      <c r="S35" s="1573">
        <f t="shared" si="12"/>
        <v>100</v>
      </c>
      <c r="T35" s="1572" t="s">
        <v>11</v>
      </c>
      <c r="U35" s="1573">
        <f t="shared" si="13"/>
        <v>100</v>
      </c>
      <c r="V35" s="1572" t="s">
        <v>11</v>
      </c>
      <c r="W35" s="1573">
        <f t="shared" si="14"/>
        <v>100</v>
      </c>
      <c r="X35" s="1566"/>
      <c r="Y35" s="3441"/>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41"/>
      <c r="Q36" s="1571" t="str">
        <f t="shared" si="11"/>
        <v>公共部分装修</v>
      </c>
      <c r="R36" s="1572" t="s">
        <v>11</v>
      </c>
      <c r="S36" s="1573">
        <f t="shared" si="12"/>
        <v>100</v>
      </c>
      <c r="T36" s="1572" t="s">
        <v>11</v>
      </c>
      <c r="U36" s="1573">
        <f t="shared" si="13"/>
        <v>100</v>
      </c>
      <c r="V36" s="1572" t="s">
        <v>11</v>
      </c>
      <c r="W36" s="1573">
        <f t="shared" si="14"/>
        <v>100</v>
      </c>
      <c r="X36" s="1566"/>
      <c r="Y36" s="3441"/>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41"/>
      <c r="Q37" s="1151" t="str">
        <f t="shared" si="11"/>
        <v>成新度</v>
      </c>
      <c r="R37" s="1567" t="s">
        <v>11</v>
      </c>
      <c r="S37" s="1568">
        <f t="shared" si="12"/>
        <v>100</v>
      </c>
      <c r="T37" s="1567" t="s">
        <v>11</v>
      </c>
      <c r="U37" s="1568">
        <f t="shared" si="13"/>
        <v>100</v>
      </c>
      <c r="V37" s="1567" t="s">
        <v>11</v>
      </c>
      <c r="W37" s="1568">
        <f t="shared" si="14"/>
        <v>100</v>
      </c>
      <c r="X37" s="1569"/>
      <c r="Y37" s="3441"/>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41" t="s">
        <v>549</v>
      </c>
      <c r="Q38" s="1571" t="str">
        <f t="shared" si="11"/>
        <v>物业管理</v>
      </c>
      <c r="R38" s="1572" t="s">
        <v>11</v>
      </c>
      <c r="S38" s="1573">
        <f t="shared" si="12"/>
        <v>100</v>
      </c>
      <c r="T38" s="1572" t="s">
        <v>11</v>
      </c>
      <c r="U38" s="1573">
        <f t="shared" si="13"/>
        <v>100</v>
      </c>
      <c r="V38" s="1572" t="s">
        <v>11</v>
      </c>
      <c r="W38" s="1573">
        <f t="shared" si="14"/>
        <v>100</v>
      </c>
      <c r="X38" s="1566"/>
      <c r="Y38" s="3441"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41"/>
      <c r="Q39" s="1571" t="str">
        <f t="shared" si="11"/>
        <v>市政基础设施</v>
      </c>
      <c r="R39" s="1572" t="s">
        <v>11</v>
      </c>
      <c r="S39" s="1573">
        <f t="shared" si="12"/>
        <v>100</v>
      </c>
      <c r="T39" s="1572" t="s">
        <v>11</v>
      </c>
      <c r="U39" s="1573">
        <f t="shared" si="13"/>
        <v>100</v>
      </c>
      <c r="V39" s="1572" t="s">
        <v>11</v>
      </c>
      <c r="W39" s="1573">
        <f t="shared" si="14"/>
        <v>100</v>
      </c>
      <c r="X39" s="1566"/>
      <c r="Y39" s="3441"/>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41"/>
      <c r="Q40" s="1571" t="str">
        <f t="shared" si="11"/>
        <v>房型</v>
      </c>
      <c r="R40" s="1572" t="s">
        <v>11</v>
      </c>
      <c r="S40" s="1573">
        <f t="shared" si="12"/>
        <v>100</v>
      </c>
      <c r="T40" s="1572" t="s">
        <v>11</v>
      </c>
      <c r="U40" s="1573">
        <f t="shared" si="13"/>
        <v>100</v>
      </c>
      <c r="V40" s="1572" t="s">
        <v>11</v>
      </c>
      <c r="W40" s="1573">
        <f t="shared" si="14"/>
        <v>100</v>
      </c>
      <c r="X40" s="1566"/>
      <c r="Y40" s="3441"/>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41"/>
      <c r="Q41" s="1604" t="str">
        <f t="shared" si="11"/>
        <v>单套/主力户型建筑面积</v>
      </c>
      <c r="R41" s="1576" t="s">
        <v>11</v>
      </c>
      <c r="S41" s="1577">
        <f t="shared" si="12"/>
        <v>100</v>
      </c>
      <c r="T41" s="1576" t="s">
        <v>11</v>
      </c>
      <c r="U41" s="1577">
        <f t="shared" si="13"/>
        <v>100</v>
      </c>
      <c r="V41" s="1576" t="s">
        <v>11</v>
      </c>
      <c r="W41" s="1577">
        <f t="shared" si="14"/>
        <v>100</v>
      </c>
      <c r="X41" s="1578"/>
      <c r="Y41" s="3441"/>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41"/>
      <c r="Q42" s="1571" t="str">
        <f t="shared" si="11"/>
        <v>内部装修</v>
      </c>
      <c r="R42" s="1572" t="s">
        <v>11</v>
      </c>
      <c r="S42" s="1573">
        <f t="shared" si="12"/>
        <v>91</v>
      </c>
      <c r="T42" s="1572" t="s">
        <v>11</v>
      </c>
      <c r="U42" s="1573">
        <f t="shared" si="13"/>
        <v>91</v>
      </c>
      <c r="V42" s="1572" t="s">
        <v>11</v>
      </c>
      <c r="W42" s="1573">
        <f t="shared" si="14"/>
        <v>91</v>
      </c>
      <c r="X42" s="1566"/>
      <c r="Y42" s="3441"/>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41"/>
      <c r="Q43" s="1571" t="str">
        <f t="shared" si="11"/>
        <v>内部装修维护情况</v>
      </c>
      <c r="R43" s="1572" t="s">
        <v>11</v>
      </c>
      <c r="S43" s="1573">
        <f t="shared" si="12"/>
        <v>100</v>
      </c>
      <c r="T43" s="1572" t="s">
        <v>11</v>
      </c>
      <c r="U43" s="1573">
        <f t="shared" si="13"/>
        <v>100</v>
      </c>
      <c r="V43" s="1572" t="s">
        <v>11</v>
      </c>
      <c r="W43" s="1573">
        <f t="shared" si="14"/>
        <v>100</v>
      </c>
      <c r="X43" s="1566"/>
      <c r="Y43" s="3441"/>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41"/>
      <c r="Q44" s="1151" t="str">
        <f t="shared" si="11"/>
        <v>特殊修正</v>
      </c>
      <c r="R44" s="1567" t="s">
        <v>11</v>
      </c>
      <c r="S44" s="1568">
        <f t="shared" si="12"/>
        <v>100</v>
      </c>
      <c r="T44" s="1567" t="s">
        <v>11</v>
      </c>
      <c r="U44" s="1568">
        <f t="shared" si="13"/>
        <v>100</v>
      </c>
      <c r="V44" s="1567" t="s">
        <v>11</v>
      </c>
      <c r="W44" s="1568">
        <f t="shared" si="14"/>
        <v>100</v>
      </c>
      <c r="X44" s="1569"/>
      <c r="Y44" s="3441"/>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1"/>
      <c r="Q45" s="1571">
        <f t="shared" si="11"/>
        <v>111</v>
      </c>
      <c r="R45" s="1572" t="s">
        <v>11</v>
      </c>
      <c r="S45" s="1573">
        <f t="shared" si="12"/>
        <v>100</v>
      </c>
      <c r="T45" s="1572" t="s">
        <v>11</v>
      </c>
      <c r="U45" s="1573">
        <f t="shared" si="13"/>
        <v>100</v>
      </c>
      <c r="V45" s="1572" t="s">
        <v>11</v>
      </c>
      <c r="W45" s="1573">
        <f t="shared" si="14"/>
        <v>100</v>
      </c>
      <c r="X45" s="1566"/>
      <c r="Y45" s="3441"/>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8"/>
      <c r="Q46" s="1571">
        <f t="shared" si="11"/>
        <v>111</v>
      </c>
      <c r="R46" s="1572" t="s">
        <v>10</v>
      </c>
      <c r="S46" s="1573">
        <f t="shared" si="12"/>
        <v>100</v>
      </c>
      <c r="T46" s="1572" t="s">
        <v>10</v>
      </c>
      <c r="U46" s="1573">
        <f t="shared" si="13"/>
        <v>100</v>
      </c>
      <c r="V46" s="1572" t="s">
        <v>10</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02" t="str">
        <f>A47</f>
        <v>成交单价（元/平方米）</v>
      </c>
      <c r="Q47" s="3402"/>
      <c r="R47" s="3496">
        <f>E47</f>
        <v>5800</v>
      </c>
      <c r="S47" s="3496"/>
      <c r="T47" s="3496">
        <f>G47</f>
        <v>5980</v>
      </c>
      <c r="U47" s="3496"/>
      <c r="V47" s="3496">
        <f>I47</f>
        <v>5800</v>
      </c>
      <c r="W47" s="3496"/>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02" t="str">
        <f>A48</f>
        <v>比较价格（元/平方米）</v>
      </c>
      <c r="Q48" s="3402"/>
      <c r="R48" s="3496">
        <f>IF(F1="售价",ROUND(PRODUCT(R47,AA7:AA46),0),ROUND(PRODUCT(R47,AA7:AA46),1))</f>
        <v>6470</v>
      </c>
      <c r="S48" s="3496"/>
      <c r="T48" s="3496">
        <f>IF(F1="售价",ROUND(PRODUCT(T47,AB7:AB46),0),ROUND(PRODUCT(T47,AB7:AB46),1))</f>
        <v>6383</v>
      </c>
      <c r="U48" s="3496"/>
      <c r="V48" s="3496">
        <f>IF(F1="售价",ROUND(PRODUCT(V47,AC7:AC46),0),ROUND(PRODUCT(V47,AC7:AC46),1))</f>
        <v>6159</v>
      </c>
      <c r="W48" s="3496"/>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399" t="str">
        <f>A49</f>
        <v>估价对象XX用房的比较价格（楼面单价，元/平方米）</v>
      </c>
      <c r="Q49" s="3400"/>
      <c r="R49" s="3497">
        <f>ROUND(R48*R50+T48*T50+V48*V50,0)</f>
        <v>6364</v>
      </c>
      <c r="S49" s="3497"/>
      <c r="T49" s="3497"/>
      <c r="U49" s="3497"/>
      <c r="V49" s="3497"/>
      <c r="W49" s="3497"/>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636</v>
      </c>
      <c r="F6" s="785" t="e">
        <f ca="1">INDIRECT("'数据-取费表'!u"&amp;$G$1)</f>
        <v>#N/A</v>
      </c>
      <c r="G6" s="1591"/>
      <c r="H6" s="2504" t="s">
        <v>1823</v>
      </c>
      <c r="I6" s="3480" t="s">
        <v>2461</v>
      </c>
      <c r="J6" s="783" t="e">
        <f ca="1">ROUND(M6*M8*M7*(1-M9)/10000,0)</f>
        <v>#N/A</v>
      </c>
      <c r="K6" s="341" t="s">
        <v>635</v>
      </c>
      <c r="L6" s="784" t="s">
        <v>636</v>
      </c>
      <c r="M6" s="785" t="e">
        <f ca="1">INDIRECT("'数据-取费表'!z"&amp;$G$1)</f>
        <v>#N/A</v>
      </c>
    </row>
    <row r="7" spans="1:33" ht="18" customHeight="1">
      <c r="A7" s="2500"/>
      <c r="B7" s="3481"/>
      <c r="C7" s="788"/>
      <c r="D7" s="789"/>
      <c r="E7" s="784" t="s">
        <v>637</v>
      </c>
      <c r="F7" s="785" t="e">
        <f ca="1">IF(INDIRECT("'数据-取费表'!ah"&amp;$G$1)="",INDIRECT("'数据-取费表'!k"&amp;$G$1),INDIRECT("'数据-取费表'!ah"&amp;$G$1))</f>
        <v>#N/A</v>
      </c>
      <c r="G7" s="1591"/>
      <c r="H7" s="2489"/>
      <c r="I7" s="3481"/>
      <c r="J7" s="788"/>
      <c r="K7" s="789"/>
      <c r="L7" s="784" t="s">
        <v>637</v>
      </c>
      <c r="M7" s="785" t="e">
        <f ca="1">F7</f>
        <v>#N/A</v>
      </c>
    </row>
    <row r="8" spans="1:33" ht="18" customHeight="1">
      <c r="A8" s="2493"/>
      <c r="B8" s="3482"/>
      <c r="C8" s="788"/>
      <c r="D8" s="789"/>
      <c r="E8" s="784" t="s">
        <v>638</v>
      </c>
      <c r="F8" s="785" t="e">
        <f ca="1">INDIRECT("'数据-取费表'!ai"&amp;$G$1)</f>
        <v>#N/A</v>
      </c>
      <c r="G8" s="1591"/>
      <c r="H8" s="2489"/>
      <c r="I8" s="3482"/>
      <c r="J8" s="788"/>
      <c r="K8" s="789"/>
      <c r="L8" s="784" t="s">
        <v>638</v>
      </c>
      <c r="M8" s="785" t="e">
        <f ca="1">INDIRECT("'数据-取费表'!ai"&amp;$G$1)</f>
        <v>#N/A</v>
      </c>
    </row>
    <row r="9" spans="1:33" ht="18" customHeight="1">
      <c r="A9" s="786"/>
      <c r="B9" s="3483"/>
      <c r="C9" s="788"/>
      <c r="D9" s="789"/>
      <c r="E9" s="784" t="s">
        <v>639</v>
      </c>
      <c r="F9" s="794" t="e">
        <f ca="1">INDIRECT("'数据-取费表'!w"&amp;$G$1)</f>
        <v>#N/A</v>
      </c>
      <c r="G9" s="1591"/>
      <c r="H9" s="2505"/>
      <c r="I9" s="3482"/>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2</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D24" sqref="D2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33.07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24215</v>
      </c>
      <c r="C2" s="2057"/>
      <c r="D2" s="2055"/>
      <c r="E2" s="2056"/>
      <c r="F2" s="2056"/>
      <c r="G2" s="1589"/>
      <c r="H2" s="2057"/>
      <c r="I2" s="2057"/>
      <c r="J2" s="2057"/>
      <c r="K2" s="2058"/>
      <c r="L2" s="2057"/>
      <c r="M2" s="2057"/>
    </row>
    <row r="3" spans="1:33" ht="18" customHeight="1" thickBot="1">
      <c r="A3" s="833" t="s">
        <v>1726</v>
      </c>
      <c r="B3" s="834">
        <f ca="1">IF(ISERROR(B2*10000/F43),0,ROUND(B2*10000/F43,0))</f>
        <v>11865</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480" t="s">
        <v>2461</v>
      </c>
      <c r="C6" s="783">
        <f ca="1">ROUND(F6*F8*F7*(1-F9)/10000,0)</f>
        <v>1676</v>
      </c>
      <c r="D6" s="2497" t="s">
        <v>2460</v>
      </c>
      <c r="E6" s="784" t="s">
        <v>1737</v>
      </c>
      <c r="F6" s="785">
        <f ca="1">INDIRECT("'数据-取费表'!u"&amp;$G$1)</f>
        <v>2.5</v>
      </c>
      <c r="G6" s="1591"/>
      <c r="H6" s="2504" t="s">
        <v>2466</v>
      </c>
      <c r="I6" s="3480" t="s">
        <v>2461</v>
      </c>
      <c r="J6" s="783">
        <f ca="1">ROUND(M6*M8*M7*(1-M9)/10000,0)</f>
        <v>0</v>
      </c>
      <c r="K6" s="341" t="s">
        <v>1736</v>
      </c>
      <c r="L6" s="784" t="s">
        <v>1737</v>
      </c>
      <c r="M6" s="785">
        <f ca="1">INDIRECT("'数据-取费表'!z"&amp;$G$1)</f>
        <v>0</v>
      </c>
    </row>
    <row r="7" spans="1:33" ht="18" customHeight="1">
      <c r="A7" s="2500"/>
      <c r="B7" s="3481"/>
      <c r="C7" s="788"/>
      <c r="D7" s="789"/>
      <c r="E7" s="784" t="s">
        <v>1738</v>
      </c>
      <c r="F7" s="785">
        <f ca="1">IF(INDIRECT("'数据-取费表'!ah"&amp;$G$1)="",INDIRECT("'数据-取费表'!k"&amp;$G$1),INDIRECT("'数据-取费表'!ah"&amp;$G$1))</f>
        <v>20408.7</v>
      </c>
      <c r="G7" s="1591"/>
      <c r="H7" s="2489"/>
      <c r="I7" s="3481"/>
      <c r="J7" s="788"/>
      <c r="K7" s="789"/>
      <c r="L7" s="784" t="s">
        <v>1738</v>
      </c>
      <c r="M7" s="785">
        <f ca="1">F7</f>
        <v>20408.7</v>
      </c>
    </row>
    <row r="8" spans="1:33" ht="18" customHeight="1">
      <c r="A8" s="2493"/>
      <c r="B8" s="3482"/>
      <c r="C8" s="788"/>
      <c r="D8" s="789"/>
      <c r="E8" s="784" t="s">
        <v>1739</v>
      </c>
      <c r="F8" s="785">
        <f ca="1">INDIRECT("'数据-取费表'!ai"&amp;$G$1)</f>
        <v>365</v>
      </c>
      <c r="G8" s="1591"/>
      <c r="H8" s="2489"/>
      <c r="I8" s="3482"/>
      <c r="J8" s="788"/>
      <c r="K8" s="789"/>
      <c r="L8" s="784" t="s">
        <v>1739</v>
      </c>
      <c r="M8" s="785">
        <f ca="1">INDIRECT("'数据-取费表'!ai"&amp;$G$1)</f>
        <v>365</v>
      </c>
    </row>
    <row r="9" spans="1:33" ht="18" customHeight="1">
      <c r="A9" s="786"/>
      <c r="B9" s="3483"/>
      <c r="C9" s="788"/>
      <c r="D9" s="789"/>
      <c r="E9" s="784" t="s">
        <v>1740</v>
      </c>
      <c r="F9" s="794">
        <f ca="1">INDIRECT("'数据-取费表'!w"&amp;$G$1)</f>
        <v>0.1</v>
      </c>
      <c r="G9" s="1591"/>
      <c r="H9" s="2505"/>
      <c r="I9" s="3482"/>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9567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6123</v>
      </c>
      <c r="D14" s="1979" t="s">
        <v>1744</v>
      </c>
      <c r="E14" s="1980"/>
      <c r="F14" s="805"/>
      <c r="G14" s="1591"/>
      <c r="H14" s="1648" t="s">
        <v>1829</v>
      </c>
      <c r="I14" s="2231" t="s">
        <v>2823</v>
      </c>
      <c r="J14" s="53">
        <f ca="1">C29</f>
        <v>9567</v>
      </c>
      <c r="K14" s="26"/>
      <c r="L14" s="801"/>
      <c r="M14" s="802"/>
    </row>
    <row r="15" spans="1:33" s="2064" customFormat="1" ht="18" customHeight="1" thickBot="1">
      <c r="A15" s="1647" t="s">
        <v>1884</v>
      </c>
      <c r="B15" s="784" t="s">
        <v>646</v>
      </c>
      <c r="C15" s="53">
        <f ca="1">ROUND(C14*F15,0)</f>
        <v>306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975</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831</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92</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6929</v>
      </c>
      <c r="D19" s="261" t="s">
        <v>1756</v>
      </c>
      <c r="E19" s="1982"/>
      <c r="F19" s="56"/>
      <c r="G19" s="1591"/>
      <c r="H19" s="1647" t="s">
        <v>1884</v>
      </c>
      <c r="I19" s="784" t="s">
        <v>1757</v>
      </c>
      <c r="J19" s="53">
        <f ca="1">IF(K19="按租金收入计税",ROUND(J5*M19,1),ROUND(C29*F33*0.7,1))</f>
        <v>803.6</v>
      </c>
      <c r="K19" s="811" t="s">
        <v>664</v>
      </c>
      <c r="L19" s="784" t="s">
        <v>1746</v>
      </c>
      <c r="M19" s="809">
        <f>IF(K19="按租金收入计税",'数据-取费表'!B51,'数据-取费表'!B50)</f>
        <v>1.2E-2</v>
      </c>
    </row>
    <row r="20" spans="1:33" s="2064" customFormat="1" ht="18" customHeight="1">
      <c r="A20" s="1648" t="s">
        <v>1888</v>
      </c>
      <c r="B20" s="784" t="s">
        <v>665</v>
      </c>
      <c r="C20" s="53">
        <f ca="1">ROUND(C19*F20,0)</f>
        <v>139</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144</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336</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-975</v>
      </c>
      <c r="K25" s="2548" t="s">
        <v>1776</v>
      </c>
      <c r="L25" s="2549"/>
      <c r="M25" s="2550"/>
    </row>
    <row r="26" spans="1:33" ht="18" customHeight="1">
      <c r="A26" s="1647" t="s">
        <v>1830</v>
      </c>
      <c r="B26" s="784" t="s">
        <v>2438</v>
      </c>
      <c r="C26" s="53">
        <f ca="1">ROUND((C19+C20)*F26,0)</f>
        <v>1414</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9567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493</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813</v>
      </c>
      <c r="K35" s="2078"/>
      <c r="L35" s="2077"/>
      <c r="M35" s="2077"/>
    </row>
    <row r="36" spans="1:18" ht="18" customHeight="1">
      <c r="A36" s="1648" t="s">
        <v>1888</v>
      </c>
      <c r="B36" s="784" t="s">
        <v>1801</v>
      </c>
      <c r="C36" s="53">
        <f ca="1">ROUND(C29*F36,1)</f>
        <v>143.5</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14.4</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1185</v>
      </c>
      <c r="D39" s="2548" t="s">
        <v>1805</v>
      </c>
      <c r="E39" s="2549"/>
      <c r="F39" s="2550"/>
      <c r="G39" s="2062"/>
      <c r="H39" s="2077"/>
      <c r="I39" s="837" t="s">
        <v>1817</v>
      </c>
      <c r="J39" s="845">
        <f ca="1">ROUND(J35/C39,3)</f>
        <v>0.68600000000000005</v>
      </c>
      <c r="K39" s="2083"/>
      <c r="L39" s="2077"/>
      <c r="M39" s="2077"/>
    </row>
    <row r="40" spans="1:18" ht="18" customHeight="1">
      <c r="A40" s="781" t="s">
        <v>1894</v>
      </c>
      <c r="B40" s="2232" t="s">
        <v>2301</v>
      </c>
      <c r="C40" s="783">
        <f ca="1">ROUND(C39*(1-((1+F42)/(1+F40))^F41)/(F40-F42),0)</f>
        <v>24215</v>
      </c>
      <c r="D40" s="814" t="s">
        <v>1806</v>
      </c>
      <c r="E40" s="784" t="s">
        <v>2419</v>
      </c>
      <c r="F40" s="794">
        <f ca="1">INDIRECT("'数据-取费表'!I"&amp;$G$1)</f>
        <v>0.06</v>
      </c>
      <c r="G40" s="2062"/>
      <c r="H40" s="2062"/>
      <c r="I40" s="837" t="s">
        <v>1818</v>
      </c>
      <c r="J40" s="845">
        <f ca="1">1-J39</f>
        <v>0.31399999999999995</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33.07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0.39500000000000002</v>
      </c>
      <c r="K42" s="2082"/>
      <c r="L42" s="1988"/>
      <c r="M42" s="1988"/>
    </row>
    <row r="43" spans="1:18" ht="18" customHeight="1" thickBot="1">
      <c r="A43" s="823" t="s">
        <v>1786</v>
      </c>
      <c r="B43" s="824" t="s">
        <v>1809</v>
      </c>
      <c r="C43" s="825">
        <f ca="1">ROUND(C40*10000/F43,0)</f>
        <v>11865</v>
      </c>
      <c r="D43" s="826" t="s">
        <v>1810</v>
      </c>
      <c r="E43" s="827" t="s">
        <v>1811</v>
      </c>
      <c r="F43" s="828">
        <f ca="1">INDIRECT("'数据-取费表'!k"&amp;$G$1)</f>
        <v>20408.7</v>
      </c>
      <c r="G43" s="2062"/>
      <c r="H43" s="1988"/>
      <c r="I43" s="847" t="s">
        <v>1821</v>
      </c>
      <c r="J43" s="848">
        <f ca="1">1-J42</f>
        <v>0.60499999999999998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-26849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24215</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9567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5726</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33.07</v>
      </c>
      <c r="K53" s="3502" t="s">
        <v>2962</v>
      </c>
      <c r="L53" s="3503"/>
      <c r="O53" s="2401" t="s">
        <v>2388</v>
      </c>
      <c r="P53" s="2399" t="s">
        <v>2389</v>
      </c>
      <c r="Q53" s="2400">
        <f ca="1">J53</f>
        <v>33.07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24215</v>
      </c>
      <c r="R54" s="2403" t="s">
        <v>2392</v>
      </c>
    </row>
    <row r="55" spans="1:18" s="2059" customFormat="1" ht="18" customHeight="1" thickTop="1" thickBot="1">
      <c r="A55" s="797">
        <v>2</v>
      </c>
      <c r="B55" s="798" t="s">
        <v>643</v>
      </c>
      <c r="C55" s="799">
        <f ca="1">C13</f>
        <v>9567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9567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185</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24215</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143.5</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24215</v>
      </c>
      <c r="R63" s="2403" t="s">
        <v>2392</v>
      </c>
    </row>
    <row r="64" spans="1:18" s="2059" customFormat="1" ht="16.2" thickBot="1">
      <c r="A64" s="1648" t="s">
        <v>1889</v>
      </c>
      <c r="B64" s="784" t="s">
        <v>678</v>
      </c>
      <c r="C64" s="53">
        <f ca="1">ROUND(C55*F64,1)</f>
        <v>14.4</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-185</v>
      </c>
      <c r="D66" s="2638" t="s">
        <v>699</v>
      </c>
      <c r="E66" s="2637"/>
      <c r="F66" s="820"/>
      <c r="K66" s="2086"/>
      <c r="O66" s="2398" t="s">
        <v>2379</v>
      </c>
      <c r="P66" s="2399" t="s">
        <v>2409</v>
      </c>
      <c r="Q66" s="2400">
        <f ca="1">C40+J29</f>
        <v>24215</v>
      </c>
      <c r="R66" s="2399" t="s">
        <v>2380</v>
      </c>
    </row>
    <row r="67" spans="1:18" s="2059" customFormat="1" ht="19.2" thickBot="1">
      <c r="A67" s="781" t="s">
        <v>1779</v>
      </c>
      <c r="B67" s="2232" t="s">
        <v>2301</v>
      </c>
      <c r="C67" s="783">
        <f ca="1">ROUND(C66*(1-((1+F69)/(1+F67))^F68)/(F67-F69),0)</f>
        <v>-2634</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33.07</v>
      </c>
      <c r="O68" s="2401" t="s">
        <v>2383</v>
      </c>
      <c r="P68" s="2399" t="s">
        <v>2413</v>
      </c>
      <c r="Q68" s="2405">
        <f ca="1">L51</f>
        <v>5726</v>
      </c>
      <c r="R68" s="2406" t="s">
        <v>2416</v>
      </c>
    </row>
    <row r="69" spans="1:18" ht="19.2" thickBot="1">
      <c r="A69" s="790"/>
      <c r="B69" s="791"/>
      <c r="C69" s="792"/>
      <c r="D69" s="816"/>
      <c r="E69" s="784" t="s">
        <v>709</v>
      </c>
      <c r="F69" s="2371"/>
      <c r="O69" s="2401" t="s">
        <v>2384</v>
      </c>
      <c r="P69" s="2407" t="s">
        <v>2398</v>
      </c>
      <c r="Q69" s="2400">
        <f ca="1">ROUND(Q70-Q71*Q72,0)</f>
        <v>372</v>
      </c>
      <c r="R69" s="2403"/>
    </row>
    <row r="70" spans="1:18" ht="16.2" thickBot="1">
      <c r="A70" s="823" t="s">
        <v>1786</v>
      </c>
      <c r="B70" s="824" t="s">
        <v>1809</v>
      </c>
      <c r="C70" s="825">
        <f ca="1">ROUND(C67*10000/F70,0)</f>
        <v>-1291</v>
      </c>
      <c r="D70" s="826" t="s">
        <v>1810</v>
      </c>
      <c r="E70" s="827" t="s">
        <v>1811</v>
      </c>
      <c r="F70" s="828">
        <f ca="1">F43</f>
        <v>20408.7</v>
      </c>
      <c r="O70" s="2401" t="s">
        <v>2399</v>
      </c>
      <c r="P70" s="2407" t="s">
        <v>2400</v>
      </c>
      <c r="Q70" s="2400">
        <f ca="1">C39</f>
        <v>1185</v>
      </c>
      <c r="R70" s="2399" t="s">
        <v>2380</v>
      </c>
    </row>
    <row r="71" spans="1:18" ht="16.2" thickBot="1">
      <c r="O71" s="2401" t="s">
        <v>2401</v>
      </c>
      <c r="P71" s="2407" t="s">
        <v>2402</v>
      </c>
      <c r="Q71" s="2400">
        <f ca="1">C13</f>
        <v>9567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24215</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04" t="s">
        <v>2469</v>
      </c>
      <c r="B1" s="3505"/>
      <c r="C1" s="3506"/>
      <c r="D1" s="3507">
        <f>SUM(I10,I15,I20,I21,I23)</f>
        <v>0</v>
      </c>
      <c r="E1" s="3507"/>
      <c r="F1" s="3507"/>
      <c r="G1" s="3507"/>
      <c r="H1" s="3507"/>
      <c r="I1" s="3508"/>
    </row>
    <row r="2" spans="1:9">
      <c r="A2" s="3509" t="s">
        <v>2470</v>
      </c>
      <c r="B2" s="3510" t="s">
        <v>2471</v>
      </c>
      <c r="C2" s="3510"/>
      <c r="D2" s="2507" t="s">
        <v>2472</v>
      </c>
      <c r="E2" s="2507" t="s">
        <v>2473</v>
      </c>
      <c r="F2" s="2507" t="s">
        <v>2474</v>
      </c>
      <c r="G2" s="2507" t="s">
        <v>2475</v>
      </c>
      <c r="H2" s="2507" t="s">
        <v>2476</v>
      </c>
      <c r="I2" s="2508" t="s">
        <v>2477</v>
      </c>
    </row>
    <row r="3" spans="1:9">
      <c r="A3" s="3509"/>
      <c r="B3" s="3510" t="s">
        <v>2478</v>
      </c>
      <c r="C3" s="3510"/>
      <c r="D3" s="2509"/>
      <c r="E3" s="2507"/>
      <c r="F3" s="2510"/>
      <c r="G3" s="2510"/>
      <c r="H3" s="2511"/>
      <c r="I3" s="2512">
        <f>ROUND(D3*E3*F3*G3*H3/10000,0)</f>
        <v>0</v>
      </c>
    </row>
    <row r="4" spans="1:9">
      <c r="A4" s="3509"/>
      <c r="B4" s="3510" t="s">
        <v>2479</v>
      </c>
      <c r="C4" s="3510"/>
      <c r="D4" s="2509"/>
      <c r="E4" s="2507"/>
      <c r="F4" s="2510"/>
      <c r="G4" s="2510"/>
      <c r="H4" s="2511"/>
      <c r="I4" s="2512">
        <f t="shared" ref="I4:I9" si="0">ROUND(D4*E4*F4*G4*H4/10000,0)</f>
        <v>0</v>
      </c>
    </row>
    <row r="5" spans="1:9">
      <c r="A5" s="3509"/>
      <c r="B5" s="3510" t="s">
        <v>2480</v>
      </c>
      <c r="C5" s="3510"/>
      <c r="D5" s="2509"/>
      <c r="E5" s="2507"/>
      <c r="F5" s="2510"/>
      <c r="G5" s="2510"/>
      <c r="H5" s="2511"/>
      <c r="I5" s="2512">
        <f t="shared" si="0"/>
        <v>0</v>
      </c>
    </row>
    <row r="6" spans="1:9">
      <c r="A6" s="3509"/>
      <c r="B6" s="3510" t="s">
        <v>2481</v>
      </c>
      <c r="C6" s="3510"/>
      <c r="D6" s="2509"/>
      <c r="E6" s="2507"/>
      <c r="F6" s="2510"/>
      <c r="G6" s="2510"/>
      <c r="H6" s="2511"/>
      <c r="I6" s="2512">
        <f t="shared" si="0"/>
        <v>0</v>
      </c>
    </row>
    <row r="7" spans="1:9">
      <c r="A7" s="3509"/>
      <c r="B7" s="3510" t="s">
        <v>2482</v>
      </c>
      <c r="C7" s="3510"/>
      <c r="D7" s="2509"/>
      <c r="E7" s="2507"/>
      <c r="F7" s="2510"/>
      <c r="G7" s="2510"/>
      <c r="H7" s="2511"/>
      <c r="I7" s="2512">
        <f t="shared" si="0"/>
        <v>0</v>
      </c>
    </row>
    <row r="8" spans="1:9">
      <c r="A8" s="3509"/>
      <c r="B8" s="3510" t="s">
        <v>2483</v>
      </c>
      <c r="C8" s="3510"/>
      <c r="D8" s="2509"/>
      <c r="E8" s="2507"/>
      <c r="F8" s="2510"/>
      <c r="G8" s="2510"/>
      <c r="H8" s="2511"/>
      <c r="I8" s="2512">
        <f t="shared" si="0"/>
        <v>0</v>
      </c>
    </row>
    <row r="9" spans="1:9">
      <c r="A9" s="3509"/>
      <c r="B9" s="3510" t="s">
        <v>2484</v>
      </c>
      <c r="C9" s="3510"/>
      <c r="D9" s="2509"/>
      <c r="E9" s="2507"/>
      <c r="F9" s="2510"/>
      <c r="G9" s="2510"/>
      <c r="H9" s="2511"/>
      <c r="I9" s="2512">
        <f t="shared" si="0"/>
        <v>0</v>
      </c>
    </row>
    <row r="10" spans="1:9">
      <c r="A10" s="3509"/>
      <c r="B10" s="3511" t="s">
        <v>2485</v>
      </c>
      <c r="C10" s="3511"/>
      <c r="D10" s="2513">
        <v>527</v>
      </c>
      <c r="E10" s="2513" t="e">
        <f>ROUND(D1*10000/D10/H9,0)</f>
        <v>#DIV/0!</v>
      </c>
      <c r="F10" s="2514"/>
      <c r="G10" s="2514"/>
      <c r="H10" s="2515"/>
      <c r="I10" s="2516">
        <f>SUM(I3:I9)</f>
        <v>0</v>
      </c>
    </row>
    <row r="11" spans="1:9" ht="15.6">
      <c r="A11" s="3509" t="s">
        <v>2486</v>
      </c>
      <c r="B11" s="3510" t="s">
        <v>2487</v>
      </c>
      <c r="C11" s="3510"/>
      <c r="D11" s="2509" t="s">
        <v>2488</v>
      </c>
      <c r="E11" s="2509" t="s">
        <v>2489</v>
      </c>
      <c r="F11" s="2510" t="s">
        <v>2490</v>
      </c>
      <c r="G11" s="2510" t="s">
        <v>2491</v>
      </c>
      <c r="H11" s="2517" t="s">
        <v>2492</v>
      </c>
      <c r="I11" s="2508" t="s">
        <v>2493</v>
      </c>
    </row>
    <row r="12" spans="1:9">
      <c r="A12" s="3509"/>
      <c r="B12" s="3510" t="s">
        <v>2494</v>
      </c>
      <c r="C12" s="3510"/>
      <c r="D12" s="2509"/>
      <c r="E12" s="2509"/>
      <c r="F12" s="2510"/>
      <c r="G12" s="2511"/>
      <c r="H12" s="2518"/>
      <c r="I12" s="2508">
        <f>ROUND(D12*E12*F12*G12/10000,0)</f>
        <v>0</v>
      </c>
    </row>
    <row r="13" spans="1:9">
      <c r="A13" s="3509"/>
      <c r="B13" s="3510" t="s">
        <v>2495</v>
      </c>
      <c r="C13" s="3510"/>
      <c r="D13" s="2509"/>
      <c r="E13" s="2509"/>
      <c r="F13" s="2510"/>
      <c r="G13" s="2511"/>
      <c r="H13" s="2518"/>
      <c r="I13" s="2508">
        <f>ROUND(D13*E13*F13*G13/10000,0)</f>
        <v>0</v>
      </c>
    </row>
    <row r="14" spans="1:9">
      <c r="A14" s="3509"/>
      <c r="B14" s="3510" t="s">
        <v>2496</v>
      </c>
      <c r="C14" s="3510"/>
      <c r="D14" s="2509"/>
      <c r="E14" s="2509"/>
      <c r="F14" s="2510"/>
      <c r="G14" s="2511"/>
      <c r="H14" s="2518"/>
      <c r="I14" s="2508">
        <f>ROUND(D14*E14*F14*G14/10000,0)</f>
        <v>0</v>
      </c>
    </row>
    <row r="15" spans="1:9">
      <c r="A15" s="3509"/>
      <c r="B15" s="3511" t="s">
        <v>2485</v>
      </c>
      <c r="C15" s="3511"/>
      <c r="D15" s="2513"/>
      <c r="E15" s="2513">
        <f>SUM(E12:E14)</f>
        <v>0</v>
      </c>
      <c r="F15" s="2514"/>
      <c r="G15" s="2511"/>
      <c r="H15" s="2518"/>
      <c r="I15" s="2519">
        <f>SUM(I12:I14)</f>
        <v>0</v>
      </c>
    </row>
    <row r="16" spans="1:9" ht="24">
      <c r="A16" s="3509" t="s">
        <v>2497</v>
      </c>
      <c r="B16" s="3510" t="s">
        <v>2498</v>
      </c>
      <c r="C16" s="3510"/>
      <c r="D16" s="2509" t="s">
        <v>2499</v>
      </c>
      <c r="E16" s="2520" t="s">
        <v>2500</v>
      </c>
      <c r="F16" s="2510" t="s">
        <v>2501</v>
      </c>
      <c r="G16" s="2511" t="s">
        <v>2491</v>
      </c>
      <c r="H16" s="2517" t="s">
        <v>2492</v>
      </c>
      <c r="I16" s="2508" t="s">
        <v>2493</v>
      </c>
    </row>
    <row r="17" spans="1:9" ht="15.6">
      <c r="A17" s="3509"/>
      <c r="B17" s="3510" t="s">
        <v>2502</v>
      </c>
      <c r="C17" s="3510"/>
      <c r="D17" s="2509"/>
      <c r="E17" s="2509"/>
      <c r="F17" s="2510"/>
      <c r="G17" s="2511"/>
      <c r="H17" s="2521"/>
      <c r="I17" s="2522">
        <f>ROUND(D17*E17*F17*G17/10000,0)</f>
        <v>0</v>
      </c>
    </row>
    <row r="18" spans="1:9" ht="15.6">
      <c r="A18" s="3509"/>
      <c r="B18" s="3510" t="s">
        <v>2503</v>
      </c>
      <c r="C18" s="3510"/>
      <c r="D18" s="2509"/>
      <c r="E18" s="2509"/>
      <c r="F18" s="2510"/>
      <c r="G18" s="2511"/>
      <c r="H18" s="2521"/>
      <c r="I18" s="2522">
        <f>ROUND(D18*E18*F18*G18/10000,0)</f>
        <v>0</v>
      </c>
    </row>
    <row r="19" spans="1:9" ht="15.6">
      <c r="A19" s="3509"/>
      <c r="B19" s="3510" t="s">
        <v>2504</v>
      </c>
      <c r="C19" s="3510"/>
      <c r="D19" s="2509"/>
      <c r="E19" s="2509"/>
      <c r="F19" s="2510"/>
      <c r="G19" s="2511"/>
      <c r="H19" s="2521"/>
      <c r="I19" s="2522">
        <f>ROUND(D19*E19*F19*G19/10000,0)</f>
        <v>0</v>
      </c>
    </row>
    <row r="20" spans="1:9">
      <c r="A20" s="3509"/>
      <c r="B20" s="3511" t="s">
        <v>2485</v>
      </c>
      <c r="C20" s="3511"/>
      <c r="D20" s="2513">
        <f>SUM(D17:D19)</f>
        <v>0</v>
      </c>
      <c r="E20" s="2513"/>
      <c r="F20" s="2514"/>
      <c r="G20" s="2511"/>
      <c r="H20" s="2518"/>
      <c r="I20" s="2519">
        <f>SUM(I17:I19)</f>
        <v>0</v>
      </c>
    </row>
    <row r="21" spans="1:9">
      <c r="A21" s="3509" t="s">
        <v>2505</v>
      </c>
      <c r="B21" s="3513"/>
      <c r="C21" s="3513"/>
      <c r="D21" s="3513"/>
      <c r="E21" s="3513"/>
      <c r="F21" s="3513"/>
      <c r="G21" s="3513"/>
      <c r="H21" s="2523">
        <v>0.1</v>
      </c>
      <c r="I21" s="2516">
        <f>ROUND(I10*H21,0)</f>
        <v>0</v>
      </c>
    </row>
    <row r="22" spans="1:9" ht="15.6">
      <c r="A22" s="3514" t="s">
        <v>2506</v>
      </c>
      <c r="B22" s="3515"/>
      <c r="C22" s="3516"/>
      <c r="D22" s="2524" t="s">
        <v>2507</v>
      </c>
      <c r="E22" s="2524" t="s">
        <v>2508</v>
      </c>
      <c r="F22" s="2525" t="s">
        <v>2509</v>
      </c>
      <c r="G22" s="2525" t="s">
        <v>2510</v>
      </c>
      <c r="H22" s="2517" t="s">
        <v>2511</v>
      </c>
      <c r="I22" s="2508" t="s">
        <v>2512</v>
      </c>
    </row>
    <row r="23" spans="1:9" ht="15" thickBot="1">
      <c r="A23" s="3517"/>
      <c r="B23" s="3518"/>
      <c r="C23" s="3519"/>
      <c r="D23" s="2526"/>
      <c r="E23" s="2526"/>
      <c r="F23" s="2526"/>
      <c r="G23" s="2527"/>
      <c r="H23" s="2528"/>
      <c r="I23" s="2529">
        <f>ROUND(E23*D23*F23*(1-G23)/10000,0)</f>
        <v>0</v>
      </c>
    </row>
    <row r="26" spans="1:9">
      <c r="A26" s="2530" t="s">
        <v>2513</v>
      </c>
      <c r="B26" s="2530"/>
      <c r="C26" s="2530"/>
      <c r="D26" s="2530"/>
      <c r="E26" s="3520">
        <f>C27-C30-C31-C32</f>
        <v>0</v>
      </c>
      <c r="F26" s="3520"/>
      <c r="G26" s="3520"/>
      <c r="H26" s="3042" t="s">
        <v>2840</v>
      </c>
    </row>
    <row r="27" spans="1:9">
      <c r="A27" s="2531">
        <v>1</v>
      </c>
      <c r="B27" s="2532" t="s">
        <v>2514</v>
      </c>
      <c r="C27" s="2532"/>
      <c r="D27" s="2532"/>
      <c r="E27" s="3521"/>
      <c r="F27" s="3521"/>
      <c r="G27" s="3521"/>
    </row>
    <row r="28" spans="1:9">
      <c r="A28" s="2533" t="s">
        <v>2515</v>
      </c>
      <c r="B28" s="2532" t="s">
        <v>2516</v>
      </c>
      <c r="C28" s="2532"/>
      <c r="D28" s="2532"/>
      <c r="E28" s="3521"/>
      <c r="F28" s="3521"/>
      <c r="G28" s="3521"/>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12"/>
      <c r="F32" s="3512"/>
      <c r="G32" s="3512"/>
    </row>
    <row r="33" spans="1:7" hidden="1">
      <c r="A33" s="3522" t="s">
        <v>2524</v>
      </c>
      <c r="B33" s="3523"/>
      <c r="C33" s="3523"/>
      <c r="D33" s="3524"/>
      <c r="E33" s="3520"/>
      <c r="F33" s="3520"/>
      <c r="G33" s="3520"/>
    </row>
    <row r="34" spans="1:7" hidden="1">
      <c r="A34" s="2535">
        <v>1</v>
      </c>
      <c r="B34" s="2532" t="s">
        <v>2525</v>
      </c>
      <c r="C34" s="2532"/>
      <c r="D34" s="2532"/>
      <c r="E34" s="3521"/>
      <c r="F34" s="3521"/>
      <c r="G34" s="3521"/>
    </row>
    <row r="35" spans="1:7" hidden="1">
      <c r="A35" s="2535">
        <v>2</v>
      </c>
      <c r="B35" s="2532" t="s">
        <v>2526</v>
      </c>
      <c r="C35" s="2532"/>
      <c r="D35" s="2532"/>
      <c r="E35" s="3521"/>
      <c r="F35" s="3521"/>
      <c r="G35" s="3521"/>
    </row>
    <row r="36" spans="1:7" hidden="1">
      <c r="A36" s="2535">
        <v>3</v>
      </c>
      <c r="B36" s="2532" t="s">
        <v>2527</v>
      </c>
      <c r="C36" s="2532"/>
      <c r="D36" s="2532"/>
      <c r="E36" s="3521"/>
      <c r="F36" s="3521"/>
      <c r="G36" s="3521"/>
    </row>
    <row r="37" spans="1:7" hidden="1">
      <c r="A37" s="2535">
        <v>4</v>
      </c>
      <c r="B37" s="2532" t="s">
        <v>2528</v>
      </c>
      <c r="C37" s="2532"/>
      <c r="D37" s="2532"/>
      <c r="E37" s="3521"/>
      <c r="F37" s="3521"/>
      <c r="G37" s="3521"/>
    </row>
    <row r="38" spans="1:7" hidden="1">
      <c r="A38" s="3522" t="s">
        <v>2529</v>
      </c>
      <c r="B38" s="3523"/>
      <c r="C38" s="3523"/>
      <c r="D38" s="3524"/>
      <c r="E38" s="3520"/>
      <c r="F38" s="3520"/>
      <c r="G38" s="35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140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0" t="s">
        <v>2461</v>
      </c>
      <c r="C6" s="783" t="e">
        <f ca="1">ROUND(F6*F8*F7*(1-F9)/10000,0)</f>
        <v>#N/A</v>
      </c>
      <c r="D6" s="2497" t="s">
        <v>2460</v>
      </c>
      <c r="E6" s="784" t="s">
        <v>1737</v>
      </c>
      <c r="F6" s="785" t="e">
        <f ca="1">INDIRECT("'数据-取费表'!u"&amp;$G$1)</f>
        <v>#N/A</v>
      </c>
      <c r="G6" s="1591"/>
      <c r="H6" s="2504" t="s">
        <v>1823</v>
      </c>
      <c r="I6" s="3480" t="s">
        <v>2461</v>
      </c>
      <c r="J6" s="783" t="e">
        <f ca="1">ROUND(M6*M8*M7*(1-M9)/10000,0)</f>
        <v>#N/A</v>
      </c>
      <c r="K6" s="341" t="s">
        <v>1736</v>
      </c>
      <c r="L6" s="784" t="s">
        <v>1737</v>
      </c>
      <c r="M6" s="785" t="e">
        <f ca="1">INDIRECT("'数据-取费表'!z"&amp;$G$1)</f>
        <v>#N/A</v>
      </c>
    </row>
    <row r="7" spans="1:33" ht="18" customHeight="1">
      <c r="A7" s="2500"/>
      <c r="B7" s="3481"/>
      <c r="C7" s="788"/>
      <c r="D7" s="789"/>
      <c r="E7" s="784" t="s">
        <v>1738</v>
      </c>
      <c r="F7" s="785" t="e">
        <f ca="1">IF(INDIRECT("'数据-取费表'!ah"&amp;$G$1)="",INDIRECT("'数据-取费表'!k"&amp;$G$1),INDIRECT("'数据-取费表'!ah"&amp;$G$1))</f>
        <v>#N/A</v>
      </c>
      <c r="G7" s="1591"/>
      <c r="H7" s="2489"/>
      <c r="I7" s="3481"/>
      <c r="J7" s="788"/>
      <c r="K7" s="789"/>
      <c r="L7" s="784" t="s">
        <v>1738</v>
      </c>
      <c r="M7" s="785" t="e">
        <f ca="1">F7</f>
        <v>#N/A</v>
      </c>
    </row>
    <row r="8" spans="1:33" ht="18" customHeight="1">
      <c r="A8" s="2493"/>
      <c r="B8" s="3482"/>
      <c r="C8" s="788"/>
      <c r="D8" s="789"/>
      <c r="E8" s="784" t="s">
        <v>1739</v>
      </c>
      <c r="F8" s="785" t="e">
        <f ca="1">INDIRECT("'数据-取费表'!ai"&amp;$G$1)</f>
        <v>#N/A</v>
      </c>
      <c r="G8" s="1591"/>
      <c r="H8" s="2489"/>
      <c r="I8" s="3482"/>
      <c r="J8" s="788"/>
      <c r="K8" s="789"/>
      <c r="L8" s="784" t="s">
        <v>1739</v>
      </c>
      <c r="M8" s="785" t="e">
        <f ca="1">INDIRECT("'数据-取费表'!ai"&amp;$G$1)</f>
        <v>#N/A</v>
      </c>
    </row>
    <row r="9" spans="1:33" ht="18" customHeight="1">
      <c r="A9" s="786"/>
      <c r="B9" s="3483"/>
      <c r="C9" s="788"/>
      <c r="D9" s="789"/>
      <c r="E9" s="784" t="s">
        <v>1740</v>
      </c>
      <c r="F9" s="794" t="e">
        <f ca="1">INDIRECT("'数据-取费表'!w"&amp;$G$1)</f>
        <v>#N/A</v>
      </c>
      <c r="G9" s="1591"/>
      <c r="H9" s="2505"/>
      <c r="I9" s="3482"/>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2" t="s">
        <v>2962</v>
      </c>
      <c r="L53" s="3503"/>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08" t="s">
        <v>521</v>
      </c>
      <c r="D4" s="3409"/>
      <c r="E4" s="3447" t="s">
        <v>522</v>
      </c>
      <c r="F4" s="3448"/>
      <c r="G4" s="3408" t="s">
        <v>523</v>
      </c>
      <c r="H4" s="3409"/>
      <c r="I4" s="3408" t="s">
        <v>524</v>
      </c>
      <c r="J4" s="3409"/>
      <c r="K4" s="514"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3"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3"/>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3"/>
      <c r="AC6" s="3407"/>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35"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8" t="s">
        <v>539</v>
      </c>
      <c r="Q15" s="1571" t="str">
        <f t="shared" si="6"/>
        <v>商业繁华度</v>
      </c>
      <c r="R15" s="1572" t="s">
        <v>8</v>
      </c>
      <c r="S15" s="1573">
        <f t="shared" si="0"/>
        <v>100</v>
      </c>
      <c r="T15" s="1572" t="s">
        <v>8</v>
      </c>
      <c r="U15" s="1573">
        <f t="shared" si="1"/>
        <v>100</v>
      </c>
      <c r="V15" s="1572" t="s">
        <v>8</v>
      </c>
      <c r="W15" s="1573">
        <f t="shared" si="2"/>
        <v>100</v>
      </c>
      <c r="X15" s="1566"/>
      <c r="Y15" s="343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9"/>
      <c r="Q16" s="1571"/>
      <c r="R16" s="1572"/>
      <c r="S16" s="1573"/>
      <c r="T16" s="1572"/>
      <c r="U16" s="1573"/>
      <c r="V16" s="1572"/>
      <c r="W16" s="1573"/>
      <c r="X16" s="1566"/>
      <c r="Y16" s="3439"/>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9"/>
      <c r="Q18" s="1571"/>
      <c r="R18" s="1572"/>
      <c r="S18" s="1573"/>
      <c r="T18" s="1572"/>
      <c r="U18" s="1573"/>
      <c r="V18" s="1572"/>
      <c r="W18" s="1573"/>
      <c r="X18" s="1566"/>
      <c r="Y18" s="3439"/>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39"/>
      <c r="Q22" s="2579"/>
      <c r="R22" s="1572"/>
      <c r="S22" s="1573"/>
      <c r="T22" s="1572"/>
      <c r="U22" s="1573"/>
      <c r="V22" s="1572"/>
      <c r="W22" s="1573"/>
      <c r="X22" s="2581"/>
      <c r="Y22" s="3439"/>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9"/>
      <c r="Q23" s="1571" t="str">
        <f>B23</f>
        <v>自然及人文环境</v>
      </c>
      <c r="R23" s="1572" t="s">
        <v>8</v>
      </c>
      <c r="S23" s="1573">
        <f>F23</f>
        <v>100</v>
      </c>
      <c r="T23" s="1572" t="s">
        <v>8</v>
      </c>
      <c r="U23" s="1573">
        <f>H23</f>
        <v>100</v>
      </c>
      <c r="V23" s="1572" t="s">
        <v>8</v>
      </c>
      <c r="W23" s="1573">
        <f>J23</f>
        <v>100</v>
      </c>
      <c r="X23" s="1566"/>
      <c r="Y23" s="343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9"/>
      <c r="Q25" s="1571" t="str">
        <f t="shared" ref="Q25:Q46" si="11">B25</f>
        <v>临街状况</v>
      </c>
      <c r="R25" s="1572" t="s">
        <v>8</v>
      </c>
      <c r="S25" s="1573">
        <f>F25</f>
        <v>100</v>
      </c>
      <c r="T25" s="1572" t="s">
        <v>8</v>
      </c>
      <c r="U25" s="1573">
        <f>H25</f>
        <v>100</v>
      </c>
      <c r="V25" s="1572" t="s">
        <v>8</v>
      </c>
      <c r="W25" s="1573">
        <f>J25</f>
        <v>100</v>
      </c>
      <c r="X25" s="1566"/>
      <c r="Y25" s="343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9"/>
      <c r="Q26" s="1571" t="str">
        <f t="shared" si="11"/>
        <v>平面位置/可视性</v>
      </c>
      <c r="R26" s="1572" t="s">
        <v>8</v>
      </c>
      <c r="S26" s="1573">
        <f>F26</f>
        <v>100</v>
      </c>
      <c r="T26" s="1572" t="s">
        <v>8</v>
      </c>
      <c r="U26" s="1573">
        <f>H26</f>
        <v>100</v>
      </c>
      <c r="V26" s="1572" t="s">
        <v>8</v>
      </c>
      <c r="W26" s="1573">
        <f>J26</f>
        <v>100</v>
      </c>
      <c r="X26" s="1566"/>
      <c r="Y26" s="3439"/>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9"/>
      <c r="Q27" s="1151" t="str">
        <f t="shared" si="11"/>
        <v>人流量</v>
      </c>
      <c r="R27" s="1567" t="s">
        <v>8</v>
      </c>
      <c r="S27" s="1568">
        <f>F27</f>
        <v>100</v>
      </c>
      <c r="T27" s="1567" t="s">
        <v>8</v>
      </c>
      <c r="U27" s="1568">
        <f>H27</f>
        <v>100</v>
      </c>
      <c r="V27" s="1567" t="s">
        <v>8</v>
      </c>
      <c r="W27" s="1568">
        <f>J27</f>
        <v>100</v>
      </c>
      <c r="X27" s="1569"/>
      <c r="Y27" s="3439"/>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9"/>
      <c r="Q29" s="1571">
        <f t="shared" si="11"/>
        <v>111</v>
      </c>
      <c r="R29" s="1572" t="s">
        <v>8</v>
      </c>
      <c r="S29" s="1573">
        <f t="shared" si="12"/>
        <v>100</v>
      </c>
      <c r="T29" s="1572" t="s">
        <v>8</v>
      </c>
      <c r="U29" s="1573">
        <f t="shared" si="13"/>
        <v>100</v>
      </c>
      <c r="V29" s="1572" t="s">
        <v>8</v>
      </c>
      <c r="W29" s="1573">
        <f t="shared" si="14"/>
        <v>100</v>
      </c>
      <c r="X29" s="1566"/>
      <c r="Y29" s="343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9"/>
      <c r="Q30" s="1571">
        <f t="shared" si="11"/>
        <v>111</v>
      </c>
      <c r="R30" s="1572" t="s">
        <v>8</v>
      </c>
      <c r="S30" s="1573">
        <f t="shared" si="12"/>
        <v>100</v>
      </c>
      <c r="T30" s="1572" t="s">
        <v>8</v>
      </c>
      <c r="U30" s="1573">
        <f t="shared" si="13"/>
        <v>100</v>
      </c>
      <c r="V30" s="1572" t="s">
        <v>8</v>
      </c>
      <c r="W30" s="1573">
        <f t="shared" si="14"/>
        <v>100</v>
      </c>
      <c r="X30" s="1566"/>
      <c r="Y30" s="3439"/>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9"/>
      <c r="Q31" s="1571">
        <f t="shared" si="11"/>
        <v>111</v>
      </c>
      <c r="R31" s="1572" t="s">
        <v>8</v>
      </c>
      <c r="S31" s="1573">
        <f t="shared" si="12"/>
        <v>100</v>
      </c>
      <c r="T31" s="1572" t="s">
        <v>8</v>
      </c>
      <c r="U31" s="1573">
        <f t="shared" si="13"/>
        <v>100</v>
      </c>
      <c r="V31" s="1572" t="s">
        <v>8</v>
      </c>
      <c r="W31" s="1573">
        <f t="shared" si="14"/>
        <v>100</v>
      </c>
      <c r="X31" s="1566"/>
      <c r="Y31" s="3439"/>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40" t="s">
        <v>549</v>
      </c>
      <c r="Q32" s="1571" t="str">
        <f t="shared" si="11"/>
        <v>商业类型</v>
      </c>
      <c r="R32" s="1572" t="s">
        <v>8</v>
      </c>
      <c r="S32" s="1573">
        <f t="shared" si="12"/>
        <v>100</v>
      </c>
      <c r="T32" s="1572" t="s">
        <v>8</v>
      </c>
      <c r="U32" s="1573">
        <f t="shared" si="13"/>
        <v>100</v>
      </c>
      <c r="V32" s="1572" t="s">
        <v>8</v>
      </c>
      <c r="W32" s="1573">
        <f t="shared" si="14"/>
        <v>100</v>
      </c>
      <c r="X32" s="1566"/>
      <c r="Y32" s="3441"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41"/>
      <c r="Q33" s="1604" t="str">
        <f t="shared" si="11"/>
        <v>项目建筑规模</v>
      </c>
      <c r="R33" s="1576" t="s">
        <v>8</v>
      </c>
      <c r="S33" s="1577" t="e">
        <f t="shared" si="12"/>
        <v>#N/A</v>
      </c>
      <c r="T33" s="1576" t="s">
        <v>8</v>
      </c>
      <c r="U33" s="1577" t="e">
        <f t="shared" si="13"/>
        <v>#N/A</v>
      </c>
      <c r="V33" s="1576" t="s">
        <v>8</v>
      </c>
      <c r="W33" s="1577" t="e">
        <f t="shared" si="14"/>
        <v>#N/A</v>
      </c>
      <c r="X33" s="1578"/>
      <c r="Y33" s="3441"/>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41"/>
      <c r="Q34" s="1571" t="str">
        <f t="shared" si="11"/>
        <v>建筑结构</v>
      </c>
      <c r="R34" s="1572" t="s">
        <v>8</v>
      </c>
      <c r="S34" s="1573">
        <f t="shared" si="12"/>
        <v>100</v>
      </c>
      <c r="T34" s="1572" t="s">
        <v>8</v>
      </c>
      <c r="U34" s="1573">
        <f t="shared" si="13"/>
        <v>100</v>
      </c>
      <c r="V34" s="1572" t="s">
        <v>8</v>
      </c>
      <c r="W34" s="1573">
        <f t="shared" si="14"/>
        <v>100</v>
      </c>
      <c r="X34" s="1566"/>
      <c r="Y34" s="344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41"/>
      <c r="Q35" s="1571" t="str">
        <f t="shared" si="11"/>
        <v>公共部分装修</v>
      </c>
      <c r="R35" s="1572" t="s">
        <v>8</v>
      </c>
      <c r="S35" s="1573">
        <f t="shared" si="12"/>
        <v>100</v>
      </c>
      <c r="T35" s="1572" t="s">
        <v>8</v>
      </c>
      <c r="U35" s="1573">
        <f t="shared" si="13"/>
        <v>100</v>
      </c>
      <c r="V35" s="1572" t="s">
        <v>8</v>
      </c>
      <c r="W35" s="1573">
        <f t="shared" si="14"/>
        <v>100</v>
      </c>
      <c r="X35" s="1566"/>
      <c r="Y35" s="3441"/>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41"/>
      <c r="Q36" s="1571" t="str">
        <f t="shared" si="11"/>
        <v>成新度</v>
      </c>
      <c r="R36" s="1572" t="s">
        <v>8</v>
      </c>
      <c r="S36" s="1573" t="e">
        <f t="shared" si="12"/>
        <v>#N/A</v>
      </c>
      <c r="T36" s="1572" t="s">
        <v>8</v>
      </c>
      <c r="U36" s="1573" t="e">
        <f t="shared" si="13"/>
        <v>#N/A</v>
      </c>
      <c r="V36" s="1572" t="s">
        <v>8</v>
      </c>
      <c r="W36" s="1573" t="e">
        <f t="shared" si="14"/>
        <v>#N/A</v>
      </c>
      <c r="X36" s="1566"/>
      <c r="Y36" s="3441"/>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41"/>
      <c r="Q37" s="1151" t="str">
        <f t="shared" si="11"/>
        <v>市政基础设施</v>
      </c>
      <c r="R37" s="1567" t="s">
        <v>8</v>
      </c>
      <c r="S37" s="1568">
        <f t="shared" si="12"/>
        <v>100</v>
      </c>
      <c r="T37" s="1567" t="s">
        <v>8</v>
      </c>
      <c r="U37" s="1568">
        <f t="shared" si="13"/>
        <v>100</v>
      </c>
      <c r="V37" s="1567" t="s">
        <v>8</v>
      </c>
      <c r="W37" s="1568">
        <f t="shared" si="14"/>
        <v>100</v>
      </c>
      <c r="X37" s="1569"/>
      <c r="Y37" s="3441"/>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1" t="s">
        <v>765</v>
      </c>
      <c r="Q38" s="1571" t="str">
        <f t="shared" si="11"/>
        <v>业态</v>
      </c>
      <c r="R38" s="1572" t="s">
        <v>8</v>
      </c>
      <c r="S38" s="1573">
        <f t="shared" si="12"/>
        <v>100</v>
      </c>
      <c r="T38" s="1572" t="s">
        <v>8</v>
      </c>
      <c r="U38" s="1573">
        <f t="shared" si="13"/>
        <v>100</v>
      </c>
      <c r="V38" s="1572" t="s">
        <v>8</v>
      </c>
      <c r="W38" s="1573">
        <f t="shared" si="14"/>
        <v>100</v>
      </c>
      <c r="X38" s="1566"/>
      <c r="Y38" s="344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1"/>
      <c r="Q39" s="1571" t="str">
        <f t="shared" si="11"/>
        <v>层高</v>
      </c>
      <c r="R39" s="1572" t="s">
        <v>8</v>
      </c>
      <c r="S39" s="1573">
        <f t="shared" si="12"/>
        <v>100</v>
      </c>
      <c r="T39" s="1572" t="s">
        <v>8</v>
      </c>
      <c r="U39" s="1573">
        <f t="shared" si="13"/>
        <v>100</v>
      </c>
      <c r="V39" s="1572" t="s">
        <v>8</v>
      </c>
      <c r="W39" s="1573">
        <f t="shared" si="14"/>
        <v>100</v>
      </c>
      <c r="X39" s="1566"/>
      <c r="Y39" s="3441"/>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1"/>
      <c r="Q40" s="1571" t="str">
        <f t="shared" si="11"/>
        <v>单套建筑面积</v>
      </c>
      <c r="R40" s="1572" t="s">
        <v>8</v>
      </c>
      <c r="S40" s="1573">
        <f t="shared" si="12"/>
        <v>100</v>
      </c>
      <c r="T40" s="1572" t="s">
        <v>8</v>
      </c>
      <c r="U40" s="1573">
        <f t="shared" si="13"/>
        <v>100</v>
      </c>
      <c r="V40" s="1572" t="s">
        <v>8</v>
      </c>
      <c r="W40" s="1573">
        <f t="shared" si="14"/>
        <v>100</v>
      </c>
      <c r="X40" s="1566"/>
      <c r="Y40" s="3441"/>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1"/>
      <c r="Q41" s="1604" t="str">
        <f t="shared" si="11"/>
        <v>进深比</v>
      </c>
      <c r="R41" s="1576" t="s">
        <v>8</v>
      </c>
      <c r="S41" s="1577">
        <f t="shared" si="12"/>
        <v>100</v>
      </c>
      <c r="T41" s="1576" t="s">
        <v>8</v>
      </c>
      <c r="U41" s="1577">
        <f t="shared" si="13"/>
        <v>100</v>
      </c>
      <c r="V41" s="1576" t="s">
        <v>8</v>
      </c>
      <c r="W41" s="1577">
        <f t="shared" si="14"/>
        <v>100</v>
      </c>
      <c r="X41" s="1578"/>
      <c r="Y41" s="344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41"/>
      <c r="Q42" s="1571" t="str">
        <f t="shared" si="11"/>
        <v>内部装修</v>
      </c>
      <c r="R42" s="1572" t="s">
        <v>8</v>
      </c>
      <c r="S42" s="1573">
        <f t="shared" si="12"/>
        <v>100</v>
      </c>
      <c r="T42" s="1572" t="s">
        <v>8</v>
      </c>
      <c r="U42" s="1573">
        <f t="shared" si="13"/>
        <v>100</v>
      </c>
      <c r="V42" s="1572" t="s">
        <v>8</v>
      </c>
      <c r="W42" s="1573">
        <f t="shared" si="14"/>
        <v>100</v>
      </c>
      <c r="X42" s="1566"/>
      <c r="Y42" s="3441"/>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1"/>
      <c r="Q43" s="1571" t="str">
        <f t="shared" si="11"/>
        <v>内部装修维护情况</v>
      </c>
      <c r="R43" s="1572" t="s">
        <v>8</v>
      </c>
      <c r="S43" s="1573">
        <f t="shared" si="12"/>
        <v>100</v>
      </c>
      <c r="T43" s="1572" t="s">
        <v>8</v>
      </c>
      <c r="U43" s="1573">
        <f t="shared" si="13"/>
        <v>100</v>
      </c>
      <c r="V43" s="1572" t="s">
        <v>8</v>
      </c>
      <c r="W43" s="1573">
        <f t="shared" si="14"/>
        <v>100</v>
      </c>
      <c r="X43" s="1566"/>
      <c r="Y43" s="3441"/>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1"/>
      <c r="Q44" s="1151">
        <f t="shared" si="11"/>
        <v>111</v>
      </c>
      <c r="R44" s="1567" t="s">
        <v>8</v>
      </c>
      <c r="S44" s="1568">
        <f t="shared" si="12"/>
        <v>100</v>
      </c>
      <c r="T44" s="1567" t="s">
        <v>8</v>
      </c>
      <c r="U44" s="1568">
        <f t="shared" si="13"/>
        <v>100</v>
      </c>
      <c r="V44" s="1567" t="s">
        <v>8</v>
      </c>
      <c r="W44" s="1568">
        <f t="shared" si="14"/>
        <v>100</v>
      </c>
      <c r="X44" s="1569"/>
      <c r="Y44" s="3441"/>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1"/>
      <c r="Q45" s="1571">
        <f t="shared" si="11"/>
        <v>111</v>
      </c>
      <c r="R45" s="1572" t="s">
        <v>8</v>
      </c>
      <c r="S45" s="1573">
        <f t="shared" si="12"/>
        <v>100</v>
      </c>
      <c r="T45" s="1572" t="s">
        <v>8</v>
      </c>
      <c r="U45" s="1573">
        <f t="shared" si="13"/>
        <v>100</v>
      </c>
      <c r="V45" s="1572" t="s">
        <v>8</v>
      </c>
      <c r="W45" s="1573">
        <f t="shared" si="14"/>
        <v>100</v>
      </c>
      <c r="X45" s="1566"/>
      <c r="Y45" s="3441"/>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8"/>
      <c r="Q46" s="1571">
        <f t="shared" si="11"/>
        <v>111</v>
      </c>
      <c r="R46" s="1572" t="s">
        <v>8</v>
      </c>
      <c r="S46" s="1573">
        <f t="shared" si="12"/>
        <v>100</v>
      </c>
      <c r="T46" s="1572" t="s">
        <v>8</v>
      </c>
      <c r="U46" s="1573">
        <f t="shared" si="13"/>
        <v>100</v>
      </c>
      <c r="V46" s="1572" t="s">
        <v>8</v>
      </c>
      <c r="W46" s="1573">
        <f t="shared" si="14"/>
        <v>100</v>
      </c>
      <c r="X46" s="1566"/>
      <c r="Y46" s="3498"/>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02" t="str">
        <f>A47</f>
        <v>成交单价（元/平方米）</v>
      </c>
      <c r="Q47" s="3402"/>
      <c r="R47" s="3496">
        <f>E47</f>
        <v>0</v>
      </c>
      <c r="S47" s="3496"/>
      <c r="T47" s="3496">
        <f>G47</f>
        <v>0</v>
      </c>
      <c r="U47" s="3496"/>
      <c r="V47" s="3496">
        <f>I47</f>
        <v>0</v>
      </c>
      <c r="W47" s="3496"/>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02" t="str">
        <f>A48</f>
        <v>比较价格（元/平方米）</v>
      </c>
      <c r="Q48" s="340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399" t="str">
        <f>A49</f>
        <v>估价对象XX用房的比较价格（楼面单价，元/平方米）</v>
      </c>
      <c r="Q49" s="3400"/>
      <c r="R49" s="3497" t="e">
        <f>IF(F1="售价",ROUND(AVERAGE(R48:V48),0),ROUND(AVERAGE(R48:V48),1))</f>
        <v>#DIV/0!</v>
      </c>
      <c r="S49" s="3497"/>
      <c r="T49" s="3497"/>
      <c r="U49" s="3497"/>
      <c r="V49" s="3497"/>
      <c r="W49" s="349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08" t="s">
        <v>521</v>
      </c>
      <c r="D4" s="3409"/>
      <c r="E4" s="3447" t="s">
        <v>522</v>
      </c>
      <c r="F4" s="3448"/>
      <c r="G4" s="3408" t="s">
        <v>523</v>
      </c>
      <c r="H4" s="3409"/>
      <c r="I4" s="3408" t="s">
        <v>524</v>
      </c>
      <c r="J4" s="3409"/>
      <c r="K4" s="514" t="s">
        <v>525</v>
      </c>
      <c r="L4" s="2133"/>
      <c r="M4" s="2134"/>
      <c r="N4" s="2134"/>
      <c r="O4" s="2134"/>
      <c r="P4" s="3526" t="s">
        <v>526</v>
      </c>
      <c r="Q4" s="3411"/>
      <c r="R4" s="3416" t="s">
        <v>522</v>
      </c>
      <c r="S4" s="3417"/>
      <c r="T4" s="3416" t="s">
        <v>523</v>
      </c>
      <c r="U4" s="3417"/>
      <c r="V4" s="3403" t="s">
        <v>524</v>
      </c>
      <c r="W4" s="3403"/>
      <c r="X4" s="1566"/>
      <c r="Y4" s="3416" t="s">
        <v>526</v>
      </c>
      <c r="Z4" s="3417"/>
      <c r="AA4" s="3405" t="s">
        <v>522</v>
      </c>
      <c r="AB4" s="3405"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527"/>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528"/>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7"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7" t="s">
        <v>532</v>
      </c>
      <c r="Q8" s="3436"/>
      <c r="R8" s="1567" t="s">
        <v>8</v>
      </c>
      <c r="S8" s="1568">
        <f t="shared" si="0"/>
        <v>0</v>
      </c>
      <c r="T8" s="1567" t="s">
        <v>8</v>
      </c>
      <c r="U8" s="1568">
        <f t="shared" si="1"/>
        <v>0</v>
      </c>
      <c r="V8" s="1567" t="s">
        <v>8</v>
      </c>
      <c r="W8" s="1568">
        <f t="shared" si="2"/>
        <v>0</v>
      </c>
      <c r="X8" s="1569"/>
      <c r="Y8" s="3435" t="s">
        <v>532</v>
      </c>
      <c r="Z8" s="3436"/>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8" t="s">
        <v>539</v>
      </c>
      <c r="Q15" s="1571" t="str">
        <f t="shared" si="6"/>
        <v>办公集聚程度</v>
      </c>
      <c r="R15" s="1572" t="s">
        <v>8</v>
      </c>
      <c r="S15" s="1573">
        <f t="shared" si="0"/>
        <v>100</v>
      </c>
      <c r="T15" s="1572" t="s">
        <v>8</v>
      </c>
      <c r="U15" s="1573">
        <f t="shared" si="1"/>
        <v>100</v>
      </c>
      <c r="V15" s="1572" t="s">
        <v>8</v>
      </c>
      <c r="W15" s="1573">
        <f t="shared" si="2"/>
        <v>100</v>
      </c>
      <c r="X15" s="1566"/>
      <c r="Y15" s="343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9"/>
      <c r="Q16" s="1571"/>
      <c r="R16" s="1572"/>
      <c r="S16" s="1573"/>
      <c r="T16" s="1572"/>
      <c r="U16" s="1573"/>
      <c r="V16" s="1572"/>
      <c r="W16" s="1573"/>
      <c r="X16" s="1566"/>
      <c r="Y16" s="3439"/>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9"/>
      <c r="Q18" s="1571"/>
      <c r="R18" s="1572"/>
      <c r="S18" s="1573"/>
      <c r="T18" s="1572"/>
      <c r="U18" s="1573"/>
      <c r="V18" s="1572"/>
      <c r="W18" s="1573"/>
      <c r="X18" s="1566"/>
      <c r="Y18" s="3439"/>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9"/>
      <c r="Q20" s="1571"/>
      <c r="R20" s="1572"/>
      <c r="S20" s="1573"/>
      <c r="T20" s="1572"/>
      <c r="U20" s="1573"/>
      <c r="V20" s="1572"/>
      <c r="W20" s="1573"/>
      <c r="X20" s="1566"/>
      <c r="Y20" s="3439"/>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39"/>
      <c r="Q22" s="2579"/>
      <c r="R22" s="1572"/>
      <c r="S22" s="1573"/>
      <c r="T22" s="1572"/>
      <c r="U22" s="1573"/>
      <c r="V22" s="1572"/>
      <c r="W22" s="1573"/>
      <c r="X22" s="2581"/>
      <c r="Y22" s="3439"/>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9"/>
      <c r="Q23" s="1571" t="str">
        <f>B23</f>
        <v>环境质量</v>
      </c>
      <c r="R23" s="1572" t="s">
        <v>8</v>
      </c>
      <c r="S23" s="1573">
        <f>F23</f>
        <v>100</v>
      </c>
      <c r="T23" s="1572" t="s">
        <v>8</v>
      </c>
      <c r="U23" s="1573">
        <f>H23</f>
        <v>100</v>
      </c>
      <c r="V23" s="1572" t="s">
        <v>8</v>
      </c>
      <c r="W23" s="1573">
        <f>J23</f>
        <v>100</v>
      </c>
      <c r="X23" s="1566"/>
      <c r="Y23" s="343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9"/>
      <c r="Q24" s="1571"/>
      <c r="R24" s="1572"/>
      <c r="S24" s="1573"/>
      <c r="T24" s="1572"/>
      <c r="U24" s="1573"/>
      <c r="V24" s="1572"/>
      <c r="W24" s="1573"/>
      <c r="X24" s="1566"/>
      <c r="Y24" s="3439"/>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9"/>
      <c r="Q25" s="1571" t="str">
        <f>B25</f>
        <v>毗邻道路的类型与等级</v>
      </c>
      <c r="R25" s="1572" t="s">
        <v>8</v>
      </c>
      <c r="S25" s="1573">
        <f>F25</f>
        <v>100</v>
      </c>
      <c r="T25" s="1572" t="s">
        <v>8</v>
      </c>
      <c r="U25" s="1573">
        <f>H25</f>
        <v>100</v>
      </c>
      <c r="V25" s="1572" t="s">
        <v>8</v>
      </c>
      <c r="W25" s="1573">
        <f>J25</f>
        <v>100</v>
      </c>
      <c r="X25" s="1566"/>
      <c r="Y25" s="343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9"/>
      <c r="Q26" s="1571"/>
      <c r="R26" s="1572"/>
      <c r="S26" s="1573"/>
      <c r="T26" s="1572"/>
      <c r="U26" s="1573"/>
      <c r="V26" s="1572"/>
      <c r="W26" s="1573"/>
      <c r="X26" s="1566"/>
      <c r="Y26" s="343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9"/>
      <c r="Q27" s="1571" t="str">
        <f t="shared" ref="Q27:Q47" si="11">B27</f>
        <v>楼层</v>
      </c>
      <c r="R27" s="1572" t="s">
        <v>8</v>
      </c>
      <c r="S27" s="1573">
        <f>F27</f>
        <v>100</v>
      </c>
      <c r="T27" s="1572" t="s">
        <v>8</v>
      </c>
      <c r="U27" s="1573">
        <f>H27</f>
        <v>100</v>
      </c>
      <c r="V27" s="1572" t="s">
        <v>8</v>
      </c>
      <c r="W27" s="1573">
        <f>J27</f>
        <v>100</v>
      </c>
      <c r="X27" s="1566"/>
      <c r="Y27" s="3439"/>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9"/>
      <c r="Q28" s="1151" t="str">
        <f t="shared" si="11"/>
        <v>朝向</v>
      </c>
      <c r="R28" s="1567" t="s">
        <v>8</v>
      </c>
      <c r="S28" s="1568">
        <f>F28</f>
        <v>100</v>
      </c>
      <c r="T28" s="1567" t="s">
        <v>8</v>
      </c>
      <c r="U28" s="1568">
        <f>H28</f>
        <v>100</v>
      </c>
      <c r="V28" s="1567" t="s">
        <v>8</v>
      </c>
      <c r="W28" s="1568">
        <f>J28</f>
        <v>100</v>
      </c>
      <c r="X28" s="1569"/>
      <c r="Y28" s="3439"/>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9"/>
      <c r="Q29" s="1571">
        <f t="shared" si="11"/>
        <v>111</v>
      </c>
      <c r="R29" s="1572" t="s">
        <v>8</v>
      </c>
      <c r="S29" s="1573">
        <f t="shared" ref="S29:S47" si="12">F29</f>
        <v>100</v>
      </c>
      <c r="T29" s="1572" t="s">
        <v>8</v>
      </c>
      <c r="U29" s="1573">
        <f t="shared" ref="U29:U47" si="13">H29</f>
        <v>100</v>
      </c>
      <c r="V29" s="1572" t="s">
        <v>8</v>
      </c>
      <c r="W29" s="1573">
        <f t="shared" ref="W29:W47" si="14">J29</f>
        <v>100</v>
      </c>
      <c r="X29" s="1566"/>
      <c r="Y29" s="343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9"/>
      <c r="Q30" s="1571">
        <f t="shared" si="11"/>
        <v>111</v>
      </c>
      <c r="R30" s="1572" t="s">
        <v>8</v>
      </c>
      <c r="S30" s="1573">
        <f t="shared" si="12"/>
        <v>100</v>
      </c>
      <c r="T30" s="1572" t="s">
        <v>8</v>
      </c>
      <c r="U30" s="1573">
        <f t="shared" si="13"/>
        <v>100</v>
      </c>
      <c r="V30" s="1572" t="s">
        <v>8</v>
      </c>
      <c r="W30" s="1573">
        <f t="shared" si="14"/>
        <v>100</v>
      </c>
      <c r="X30" s="1566"/>
      <c r="Y30" s="343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9"/>
      <c r="Q31" s="1571">
        <f t="shared" si="11"/>
        <v>111</v>
      </c>
      <c r="R31" s="1572" t="s">
        <v>8</v>
      </c>
      <c r="S31" s="1573">
        <f t="shared" si="12"/>
        <v>100</v>
      </c>
      <c r="T31" s="1572" t="s">
        <v>8</v>
      </c>
      <c r="U31" s="1573">
        <f t="shared" si="13"/>
        <v>100</v>
      </c>
      <c r="V31" s="1572" t="s">
        <v>8</v>
      </c>
      <c r="W31" s="1573">
        <f t="shared" si="14"/>
        <v>100</v>
      </c>
      <c r="X31" s="1566"/>
      <c r="Y31" s="3439"/>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9"/>
      <c r="Q32" s="1571">
        <f t="shared" si="11"/>
        <v>111</v>
      </c>
      <c r="R32" s="1572" t="s">
        <v>8</v>
      </c>
      <c r="S32" s="1573">
        <f t="shared" si="12"/>
        <v>100</v>
      </c>
      <c r="T32" s="1572" t="s">
        <v>8</v>
      </c>
      <c r="U32" s="1573">
        <f t="shared" si="13"/>
        <v>100</v>
      </c>
      <c r="V32" s="1572" t="s">
        <v>8</v>
      </c>
      <c r="W32" s="1573">
        <f t="shared" si="14"/>
        <v>100</v>
      </c>
      <c r="X32" s="1566"/>
      <c r="Y32" s="3439"/>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0" t="s">
        <v>549</v>
      </c>
      <c r="Q33" s="1571" t="str">
        <f t="shared" si="11"/>
        <v>建筑类型</v>
      </c>
      <c r="R33" s="1572" t="s">
        <v>8</v>
      </c>
      <c r="S33" s="1573">
        <f t="shared" si="12"/>
        <v>100</v>
      </c>
      <c r="T33" s="1572" t="s">
        <v>8</v>
      </c>
      <c r="U33" s="1573">
        <f t="shared" si="13"/>
        <v>100</v>
      </c>
      <c r="V33" s="1572" t="s">
        <v>8</v>
      </c>
      <c r="W33" s="1573">
        <f t="shared" si="14"/>
        <v>100</v>
      </c>
      <c r="X33" s="1566"/>
      <c r="Y33" s="3441"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1"/>
      <c r="Q34" s="1604" t="str">
        <f t="shared" si="11"/>
        <v>项目建筑规模</v>
      </c>
      <c r="R34" s="1576" t="s">
        <v>8</v>
      </c>
      <c r="S34" s="1577" t="e">
        <f t="shared" si="12"/>
        <v>#N/A</v>
      </c>
      <c r="T34" s="1576" t="s">
        <v>8</v>
      </c>
      <c r="U34" s="1577" t="e">
        <f t="shared" si="13"/>
        <v>#N/A</v>
      </c>
      <c r="V34" s="1576" t="s">
        <v>8</v>
      </c>
      <c r="W34" s="1577" t="e">
        <f t="shared" si="14"/>
        <v>#N/A</v>
      </c>
      <c r="X34" s="1578"/>
      <c r="Y34" s="344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1"/>
      <c r="Q35" s="1571" t="str">
        <f t="shared" si="11"/>
        <v>建筑结构</v>
      </c>
      <c r="R35" s="1572" t="s">
        <v>8</v>
      </c>
      <c r="S35" s="1573">
        <f t="shared" si="12"/>
        <v>100</v>
      </c>
      <c r="T35" s="1572" t="s">
        <v>8</v>
      </c>
      <c r="U35" s="1573">
        <f t="shared" si="13"/>
        <v>100</v>
      </c>
      <c r="V35" s="1572" t="s">
        <v>8</v>
      </c>
      <c r="W35" s="1573">
        <f t="shared" si="14"/>
        <v>100</v>
      </c>
      <c r="X35" s="1566"/>
      <c r="Y35" s="344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1"/>
      <c r="Q36" s="1571" t="str">
        <f t="shared" si="11"/>
        <v>公共部分装修</v>
      </c>
      <c r="R36" s="1572" t="s">
        <v>8</v>
      </c>
      <c r="S36" s="1573">
        <f t="shared" si="12"/>
        <v>100</v>
      </c>
      <c r="T36" s="1572" t="s">
        <v>8</v>
      </c>
      <c r="U36" s="1573">
        <f t="shared" si="13"/>
        <v>100</v>
      </c>
      <c r="V36" s="1572" t="s">
        <v>8</v>
      </c>
      <c r="W36" s="1573">
        <f t="shared" si="14"/>
        <v>100</v>
      </c>
      <c r="X36" s="1566"/>
      <c r="Y36" s="3441"/>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1"/>
      <c r="Q37" s="1571" t="str">
        <f t="shared" si="11"/>
        <v>成新度</v>
      </c>
      <c r="R37" s="1572" t="s">
        <v>8</v>
      </c>
      <c r="S37" s="1573" t="e">
        <f t="shared" si="12"/>
        <v>#N/A</v>
      </c>
      <c r="T37" s="1572" t="s">
        <v>8</v>
      </c>
      <c r="U37" s="1573" t="e">
        <f t="shared" si="13"/>
        <v>#N/A</v>
      </c>
      <c r="V37" s="1572" t="s">
        <v>8</v>
      </c>
      <c r="W37" s="1573" t="e">
        <f t="shared" si="14"/>
        <v>#N/A</v>
      </c>
      <c r="X37" s="1566"/>
      <c r="Y37" s="3441"/>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1"/>
      <c r="Q38" s="1151" t="str">
        <f t="shared" si="11"/>
        <v>写字楼等级</v>
      </c>
      <c r="R38" s="1567" t="s">
        <v>8</v>
      </c>
      <c r="S38" s="1568">
        <f t="shared" si="12"/>
        <v>100</v>
      </c>
      <c r="T38" s="1567" t="s">
        <v>8</v>
      </c>
      <c r="U38" s="1568">
        <f t="shared" si="13"/>
        <v>100</v>
      </c>
      <c r="V38" s="1567" t="s">
        <v>8</v>
      </c>
      <c r="W38" s="1568">
        <f t="shared" si="14"/>
        <v>100</v>
      </c>
      <c r="X38" s="1569"/>
      <c r="Y38" s="3441"/>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1" t="s">
        <v>549</v>
      </c>
      <c r="Q39" s="1571" t="str">
        <f t="shared" si="11"/>
        <v>物业管理</v>
      </c>
      <c r="R39" s="1572" t="s">
        <v>8</v>
      </c>
      <c r="S39" s="1573">
        <f t="shared" si="12"/>
        <v>100</v>
      </c>
      <c r="T39" s="1572" t="s">
        <v>8</v>
      </c>
      <c r="U39" s="1573">
        <f t="shared" si="13"/>
        <v>100</v>
      </c>
      <c r="V39" s="1572" t="s">
        <v>8</v>
      </c>
      <c r="W39" s="1573">
        <f t="shared" si="14"/>
        <v>100</v>
      </c>
      <c r="X39" s="1566"/>
      <c r="Y39" s="3441"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1"/>
      <c r="Q40" s="1571" t="str">
        <f t="shared" si="11"/>
        <v>市政基础设施</v>
      </c>
      <c r="R40" s="1572" t="s">
        <v>8</v>
      </c>
      <c r="S40" s="1573">
        <f t="shared" si="12"/>
        <v>100</v>
      </c>
      <c r="T40" s="1572" t="s">
        <v>8</v>
      </c>
      <c r="U40" s="1573">
        <f t="shared" si="13"/>
        <v>100</v>
      </c>
      <c r="V40" s="1572" t="s">
        <v>8</v>
      </c>
      <c r="W40" s="1573">
        <f t="shared" si="14"/>
        <v>100</v>
      </c>
      <c r="X40" s="1566"/>
      <c r="Y40" s="344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1"/>
      <c r="Q41" s="1571" t="str">
        <f t="shared" si="11"/>
        <v>层高</v>
      </c>
      <c r="R41" s="1572" t="s">
        <v>8</v>
      </c>
      <c r="S41" s="1573">
        <f t="shared" si="12"/>
        <v>100</v>
      </c>
      <c r="T41" s="1572" t="s">
        <v>8</v>
      </c>
      <c r="U41" s="1573">
        <f t="shared" si="13"/>
        <v>100</v>
      </c>
      <c r="V41" s="1572" t="s">
        <v>8</v>
      </c>
      <c r="W41" s="1573">
        <f t="shared" si="14"/>
        <v>100</v>
      </c>
      <c r="X41" s="1566"/>
      <c r="Y41" s="3441"/>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1"/>
      <c r="Q42" s="1604" t="str">
        <f t="shared" si="11"/>
        <v>单套建筑面积</v>
      </c>
      <c r="R42" s="1576" t="s">
        <v>8</v>
      </c>
      <c r="S42" s="1577">
        <f t="shared" si="12"/>
        <v>100</v>
      </c>
      <c r="T42" s="1576" t="s">
        <v>8</v>
      </c>
      <c r="U42" s="1577">
        <f t="shared" si="13"/>
        <v>100</v>
      </c>
      <c r="V42" s="1576" t="s">
        <v>8</v>
      </c>
      <c r="W42" s="1577">
        <f t="shared" si="14"/>
        <v>100</v>
      </c>
      <c r="X42" s="1578"/>
      <c r="Y42" s="344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1"/>
      <c r="Q43" s="1571" t="str">
        <f t="shared" si="11"/>
        <v>内部装修</v>
      </c>
      <c r="R43" s="1572" t="s">
        <v>8</v>
      </c>
      <c r="S43" s="1573">
        <f t="shared" si="12"/>
        <v>100</v>
      </c>
      <c r="T43" s="1572" t="s">
        <v>8</v>
      </c>
      <c r="U43" s="1573">
        <f t="shared" si="13"/>
        <v>100</v>
      </c>
      <c r="V43" s="1572" t="s">
        <v>8</v>
      </c>
      <c r="W43" s="1573">
        <f t="shared" si="14"/>
        <v>100</v>
      </c>
      <c r="X43" s="1566"/>
      <c r="Y43" s="3441"/>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1"/>
      <c r="Q44" s="1571" t="str">
        <f t="shared" si="11"/>
        <v>内部装修维护情况</v>
      </c>
      <c r="R44" s="1572" t="s">
        <v>8</v>
      </c>
      <c r="S44" s="1573">
        <f t="shared" si="12"/>
        <v>100</v>
      </c>
      <c r="T44" s="1572" t="s">
        <v>8</v>
      </c>
      <c r="U44" s="1573">
        <f t="shared" si="13"/>
        <v>100</v>
      </c>
      <c r="V44" s="1572" t="s">
        <v>8</v>
      </c>
      <c r="W44" s="1573">
        <f t="shared" si="14"/>
        <v>100</v>
      </c>
      <c r="X44" s="1566"/>
      <c r="Y44" s="3441"/>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1"/>
      <c r="Q45" s="1151">
        <f t="shared" si="11"/>
        <v>111</v>
      </c>
      <c r="R45" s="1567" t="s">
        <v>8</v>
      </c>
      <c r="S45" s="1568">
        <f t="shared" si="12"/>
        <v>100</v>
      </c>
      <c r="T45" s="1567" t="s">
        <v>8</v>
      </c>
      <c r="U45" s="1568">
        <f t="shared" si="13"/>
        <v>100</v>
      </c>
      <c r="V45" s="1567" t="s">
        <v>8</v>
      </c>
      <c r="W45" s="1568">
        <f t="shared" si="14"/>
        <v>100</v>
      </c>
      <c r="X45" s="1569"/>
      <c r="Y45" s="3441"/>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1"/>
      <c r="Q46" s="1571">
        <f t="shared" si="11"/>
        <v>111</v>
      </c>
      <c r="R46" s="1572" t="s">
        <v>8</v>
      </c>
      <c r="S46" s="1573">
        <f t="shared" si="12"/>
        <v>100</v>
      </c>
      <c r="T46" s="1572" t="s">
        <v>8</v>
      </c>
      <c r="U46" s="1573">
        <f t="shared" si="13"/>
        <v>100</v>
      </c>
      <c r="V46" s="1572" t="s">
        <v>8</v>
      </c>
      <c r="W46" s="1573">
        <f t="shared" si="14"/>
        <v>100</v>
      </c>
      <c r="X46" s="1566"/>
      <c r="Y46" s="3441"/>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8"/>
      <c r="Q47" s="1571">
        <f t="shared" si="11"/>
        <v>111</v>
      </c>
      <c r="R47" s="1572" t="s">
        <v>8</v>
      </c>
      <c r="S47" s="1573">
        <f t="shared" si="12"/>
        <v>100</v>
      </c>
      <c r="T47" s="1572" t="s">
        <v>8</v>
      </c>
      <c r="U47" s="1573">
        <f t="shared" si="13"/>
        <v>100</v>
      </c>
      <c r="V47" s="1572" t="s">
        <v>8</v>
      </c>
      <c r="W47" s="1573">
        <f t="shared" si="14"/>
        <v>100</v>
      </c>
      <c r="X47" s="1566"/>
      <c r="Y47" s="3498"/>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00" t="str">
        <f>A48</f>
        <v>成交单价（元/平方米）</v>
      </c>
      <c r="Q48" s="3402"/>
      <c r="R48" s="3496">
        <f>E48</f>
        <v>0</v>
      </c>
      <c r="S48" s="3496"/>
      <c r="T48" s="3496">
        <f>G48</f>
        <v>0</v>
      </c>
      <c r="U48" s="3496"/>
      <c r="V48" s="3496">
        <f>I48</f>
        <v>0</v>
      </c>
      <c r="W48" s="3496"/>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00" t="str">
        <f>A49</f>
        <v>比较价格（元/平方米）</v>
      </c>
      <c r="Q49" s="340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25" t="str">
        <f>A50</f>
        <v>估价对象XX用房的比较价格（楼面单价，元/平方米）</v>
      </c>
      <c r="Q50" s="3400"/>
      <c r="R50" s="3497" t="e">
        <f>IF(F1="售价",ROUND(AVERAGE(R49:V49),0),ROUND(AVERAGE(R49:V49),1))</f>
        <v>#DIV/0!</v>
      </c>
      <c r="S50" s="3497"/>
      <c r="T50" s="3497"/>
      <c r="U50" s="3497"/>
      <c r="V50" s="3497"/>
      <c r="W50" s="349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08" t="s">
        <v>521</v>
      </c>
      <c r="D4" s="3409"/>
      <c r="E4" s="3447" t="s">
        <v>522</v>
      </c>
      <c r="F4" s="3448"/>
      <c r="G4" s="3408" t="s">
        <v>523</v>
      </c>
      <c r="H4" s="3409"/>
      <c r="I4" s="3408" t="s">
        <v>524</v>
      </c>
      <c r="J4" s="3409"/>
      <c r="K4" s="514" t="s">
        <v>525</v>
      </c>
      <c r="L4" s="2133"/>
      <c r="M4" s="2134"/>
      <c r="N4" s="2134"/>
      <c r="O4" s="2134"/>
      <c r="P4" s="3410" t="s">
        <v>526</v>
      </c>
      <c r="Q4" s="3411"/>
      <c r="R4" s="3416" t="s">
        <v>522</v>
      </c>
      <c r="S4" s="3417"/>
      <c r="T4" s="3416" t="s">
        <v>523</v>
      </c>
      <c r="U4" s="3417"/>
      <c r="V4" s="3403" t="s">
        <v>524</v>
      </c>
      <c r="W4" s="3403"/>
      <c r="X4" s="1566"/>
      <c r="Y4" s="3416" t="s">
        <v>526</v>
      </c>
      <c r="Z4" s="3417"/>
      <c r="AA4" s="3405" t="s">
        <v>522</v>
      </c>
      <c r="AB4" s="3406" t="s">
        <v>523</v>
      </c>
      <c r="AC4" s="3405" t="s">
        <v>524</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35" t="s">
        <v>529</v>
      </c>
      <c r="Q7" s="3437"/>
      <c r="R7" s="1567" t="s">
        <v>8</v>
      </c>
      <c r="S7" s="1568">
        <f t="shared" ref="S7:S15" si="0">F7</f>
        <v>0</v>
      </c>
      <c r="T7" s="1567" t="s">
        <v>8</v>
      </c>
      <c r="U7" s="1568">
        <f t="shared" ref="U7:U15" si="1">H7</f>
        <v>0</v>
      </c>
      <c r="V7" s="1567" t="s">
        <v>8</v>
      </c>
      <c r="W7" s="1568">
        <f t="shared" ref="W7:W15"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2" t="s">
        <v>534</v>
      </c>
      <c r="Q9" s="1151" t="str">
        <f t="shared" ref="Q9:Q15" si="6">B9</f>
        <v>用途</v>
      </c>
      <c r="R9" s="1567" t="s">
        <v>8</v>
      </c>
      <c r="S9" s="1568">
        <f t="shared" si="0"/>
        <v>100</v>
      </c>
      <c r="T9" s="1567" t="s">
        <v>8</v>
      </c>
      <c r="U9" s="1568">
        <f t="shared" si="1"/>
        <v>100</v>
      </c>
      <c r="V9" s="1567" t="s">
        <v>8</v>
      </c>
      <c r="W9" s="1568">
        <f t="shared" si="2"/>
        <v>100</v>
      </c>
      <c r="X9" s="1569"/>
      <c r="Y9" s="3348"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2"/>
      <c r="Q11" s="1151" t="str">
        <f t="shared" si="6"/>
        <v>容积率</v>
      </c>
      <c r="R11" s="1567" t="s">
        <v>8</v>
      </c>
      <c r="S11" s="1568" t="e">
        <f t="shared" si="0"/>
        <v>#N/A</v>
      </c>
      <c r="T11" s="1567" t="s">
        <v>8</v>
      </c>
      <c r="U11" s="1568" t="e">
        <f t="shared" si="1"/>
        <v>#N/A</v>
      </c>
      <c r="V11" s="1567" t="s">
        <v>8</v>
      </c>
      <c r="W11" s="1568" t="e">
        <f t="shared" si="2"/>
        <v>#N/A</v>
      </c>
      <c r="X11" s="1569"/>
      <c r="Y11" s="3348"/>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2"/>
      <c r="Q14" s="1151">
        <f t="shared" si="6"/>
        <v>111</v>
      </c>
      <c r="R14" s="1567" t="s">
        <v>8</v>
      </c>
      <c r="S14" s="1568">
        <f t="shared" si="0"/>
        <v>100</v>
      </c>
      <c r="T14" s="1567" t="s">
        <v>8</v>
      </c>
      <c r="U14" s="1568">
        <f t="shared" si="1"/>
        <v>100</v>
      </c>
      <c r="V14" s="1567" t="s">
        <v>8</v>
      </c>
      <c r="W14" s="1568">
        <f t="shared" si="2"/>
        <v>100</v>
      </c>
      <c r="X14" s="1569"/>
      <c r="Y14" s="3348"/>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8" t="s">
        <v>539</v>
      </c>
      <c r="Q15" s="1571" t="str">
        <f t="shared" si="6"/>
        <v>产业集聚程度</v>
      </c>
      <c r="R15" s="1572" t="s">
        <v>8</v>
      </c>
      <c r="S15" s="1573">
        <f t="shared" si="0"/>
        <v>100</v>
      </c>
      <c r="T15" s="1572" t="s">
        <v>8</v>
      </c>
      <c r="U15" s="1573">
        <f t="shared" si="1"/>
        <v>100</v>
      </c>
      <c r="V15" s="1572" t="s">
        <v>8</v>
      </c>
      <c r="W15" s="1573">
        <f t="shared" si="2"/>
        <v>100</v>
      </c>
      <c r="X15" s="1566"/>
      <c r="Y15" s="343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9"/>
      <c r="Q16" s="1571"/>
      <c r="R16" s="1572"/>
      <c r="S16" s="1573"/>
      <c r="T16" s="1572"/>
      <c r="U16" s="1573"/>
      <c r="V16" s="1572"/>
      <c r="W16" s="1573"/>
      <c r="X16" s="1566"/>
      <c r="Y16" s="3439"/>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9"/>
      <c r="Q17" s="1571" t="str">
        <f>B17</f>
        <v>交通便捷度</v>
      </c>
      <c r="R17" s="1572" t="s">
        <v>8</v>
      </c>
      <c r="S17" s="1573">
        <f>F17</f>
        <v>100</v>
      </c>
      <c r="T17" s="1572" t="s">
        <v>8</v>
      </c>
      <c r="U17" s="1573">
        <f>H17</f>
        <v>100</v>
      </c>
      <c r="V17" s="1572" t="s">
        <v>8</v>
      </c>
      <c r="W17" s="1573">
        <f>J17</f>
        <v>100</v>
      </c>
      <c r="X17" s="1566"/>
      <c r="Y17" s="343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9"/>
      <c r="Q18" s="1571"/>
      <c r="R18" s="1572"/>
      <c r="S18" s="1573"/>
      <c r="T18" s="1572"/>
      <c r="U18" s="1573"/>
      <c r="V18" s="1572"/>
      <c r="W18" s="1573"/>
      <c r="X18" s="1566"/>
      <c r="Y18" s="3439"/>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9"/>
      <c r="Q19" s="1571" t="str">
        <f>B19</f>
        <v>公共配套设施</v>
      </c>
      <c r="R19" s="1572" t="s">
        <v>8</v>
      </c>
      <c r="S19" s="1573">
        <f>F19</f>
        <v>100</v>
      </c>
      <c r="T19" s="1572" t="s">
        <v>8</v>
      </c>
      <c r="U19" s="1573">
        <f>H19</f>
        <v>100</v>
      </c>
      <c r="V19" s="1572" t="s">
        <v>8</v>
      </c>
      <c r="W19" s="1573">
        <f>J19</f>
        <v>100</v>
      </c>
      <c r="X19" s="1566"/>
      <c r="Y19" s="343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9"/>
      <c r="Q20" s="1571"/>
      <c r="R20" s="1572"/>
      <c r="S20" s="1573"/>
      <c r="T20" s="1572"/>
      <c r="U20" s="1573"/>
      <c r="V20" s="1572"/>
      <c r="W20" s="1573"/>
      <c r="X20" s="1566"/>
      <c r="Y20" s="3439"/>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9"/>
      <c r="Q21" s="2579" t="str">
        <f>B21</f>
        <v>基础设施水平</v>
      </c>
      <c r="R21" s="1572" t="s">
        <v>8</v>
      </c>
      <c r="S21" s="1573">
        <f>F21</f>
        <v>100</v>
      </c>
      <c r="T21" s="1572" t="s">
        <v>8</v>
      </c>
      <c r="U21" s="1573">
        <f>H21</f>
        <v>100</v>
      </c>
      <c r="V21" s="1572" t="s">
        <v>8</v>
      </c>
      <c r="W21" s="1573">
        <f>J21</f>
        <v>100</v>
      </c>
      <c r="X21" s="2581"/>
      <c r="Y21" s="343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39"/>
      <c r="Q22" s="2579"/>
      <c r="R22" s="1572"/>
      <c r="S22" s="1573"/>
      <c r="T22" s="1572"/>
      <c r="U22" s="1573"/>
      <c r="V22" s="1572"/>
      <c r="W22" s="1573"/>
      <c r="X22" s="2581"/>
      <c r="Y22" s="3439"/>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9"/>
      <c r="Q23" s="1571" t="str">
        <f>B23</f>
        <v>环境质量</v>
      </c>
      <c r="R23" s="1572" t="s">
        <v>8</v>
      </c>
      <c r="S23" s="1573">
        <f>F23</f>
        <v>100</v>
      </c>
      <c r="T23" s="1572" t="s">
        <v>8</v>
      </c>
      <c r="U23" s="1573">
        <f>H23</f>
        <v>100</v>
      </c>
      <c r="V23" s="1572" t="s">
        <v>8</v>
      </c>
      <c r="W23" s="1573">
        <f>J23</f>
        <v>100</v>
      </c>
      <c r="X23" s="1566"/>
      <c r="Y23" s="343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9"/>
      <c r="Q24" s="1571"/>
      <c r="R24" s="1572"/>
      <c r="S24" s="1573"/>
      <c r="T24" s="1572"/>
      <c r="U24" s="1573"/>
      <c r="V24" s="1572"/>
      <c r="W24" s="1573"/>
      <c r="X24" s="1566"/>
      <c r="Y24" s="343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9"/>
      <c r="Q25" s="1571">
        <f>B25</f>
        <v>111</v>
      </c>
      <c r="R25" s="1572" t="s">
        <v>8</v>
      </c>
      <c r="S25" s="1573">
        <f>F25</f>
        <v>100</v>
      </c>
      <c r="T25" s="1572" t="s">
        <v>8</v>
      </c>
      <c r="U25" s="1573">
        <f>H25</f>
        <v>100</v>
      </c>
      <c r="V25" s="1572" t="s">
        <v>8</v>
      </c>
      <c r="W25" s="1573">
        <f>J25</f>
        <v>100</v>
      </c>
      <c r="X25" s="1566"/>
      <c r="Y25" s="343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9"/>
      <c r="Q26" s="1571">
        <f t="shared" ref="Q26:Q40" si="11">B26</f>
        <v>111</v>
      </c>
      <c r="R26" s="1572" t="s">
        <v>8</v>
      </c>
      <c r="S26" s="1573">
        <f>F26</f>
        <v>100</v>
      </c>
      <c r="T26" s="1572" t="s">
        <v>8</v>
      </c>
      <c r="U26" s="1573">
        <f>H26</f>
        <v>100</v>
      </c>
      <c r="V26" s="1572" t="s">
        <v>8</v>
      </c>
      <c r="W26" s="1573">
        <f>J26</f>
        <v>100</v>
      </c>
      <c r="X26" s="1566"/>
      <c r="Y26" s="3439"/>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9"/>
      <c r="Q27" s="1151">
        <f t="shared" si="11"/>
        <v>111</v>
      </c>
      <c r="R27" s="1567" t="s">
        <v>8</v>
      </c>
      <c r="S27" s="1568">
        <f>F27</f>
        <v>100</v>
      </c>
      <c r="T27" s="1567" t="s">
        <v>8</v>
      </c>
      <c r="U27" s="1568">
        <f>H27</f>
        <v>100</v>
      </c>
      <c r="V27" s="1567" t="s">
        <v>8</v>
      </c>
      <c r="W27" s="1568">
        <f>J27</f>
        <v>100</v>
      </c>
      <c r="X27" s="1569"/>
      <c r="Y27" s="3439"/>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9"/>
      <c r="Q28" s="1571">
        <f t="shared" si="11"/>
        <v>111</v>
      </c>
      <c r="R28" s="1572" t="s">
        <v>8</v>
      </c>
      <c r="S28" s="1573">
        <f t="shared" ref="S28:S40" si="12">F28</f>
        <v>100</v>
      </c>
      <c r="T28" s="1572" t="s">
        <v>8</v>
      </c>
      <c r="U28" s="1573">
        <f t="shared" ref="U28:U40" si="13">H28</f>
        <v>100</v>
      </c>
      <c r="V28" s="1572" t="s">
        <v>8</v>
      </c>
      <c r="W28" s="1573">
        <f t="shared" ref="W28:W40" si="14">J28</f>
        <v>100</v>
      </c>
      <c r="X28" s="1566"/>
      <c r="Y28" s="3439"/>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0" t="s">
        <v>549</v>
      </c>
      <c r="Q29" s="1571" t="str">
        <f t="shared" si="11"/>
        <v>建筑类型</v>
      </c>
      <c r="R29" s="1572" t="s">
        <v>8</v>
      </c>
      <c r="S29" s="1573">
        <f t="shared" si="12"/>
        <v>100</v>
      </c>
      <c r="T29" s="1572" t="s">
        <v>8</v>
      </c>
      <c r="U29" s="1573">
        <f t="shared" si="13"/>
        <v>100</v>
      </c>
      <c r="V29" s="1572" t="s">
        <v>8</v>
      </c>
      <c r="W29" s="1573">
        <f t="shared" si="14"/>
        <v>100</v>
      </c>
      <c r="X29" s="1566"/>
      <c r="Y29" s="3441"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1"/>
      <c r="Q30" s="1604" t="str">
        <f t="shared" si="11"/>
        <v>项目建筑规模</v>
      </c>
      <c r="R30" s="1576" t="s">
        <v>8</v>
      </c>
      <c r="S30" s="1577" t="e">
        <f t="shared" si="12"/>
        <v>#N/A</v>
      </c>
      <c r="T30" s="1576" t="s">
        <v>8</v>
      </c>
      <c r="U30" s="1577" t="e">
        <f t="shared" si="13"/>
        <v>#N/A</v>
      </c>
      <c r="V30" s="1576" t="s">
        <v>8</v>
      </c>
      <c r="W30" s="1577" t="e">
        <f t="shared" si="14"/>
        <v>#N/A</v>
      </c>
      <c r="X30" s="1578"/>
      <c r="Y30" s="344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1"/>
      <c r="Q31" s="1571" t="str">
        <f t="shared" si="11"/>
        <v>建筑结构</v>
      </c>
      <c r="R31" s="1572" t="s">
        <v>8</v>
      </c>
      <c r="S31" s="1573">
        <f t="shared" si="12"/>
        <v>100</v>
      </c>
      <c r="T31" s="1572" t="s">
        <v>8</v>
      </c>
      <c r="U31" s="1573">
        <f t="shared" si="13"/>
        <v>100</v>
      </c>
      <c r="V31" s="1572" t="s">
        <v>8</v>
      </c>
      <c r="W31" s="1573">
        <f t="shared" si="14"/>
        <v>100</v>
      </c>
      <c r="X31" s="1566"/>
      <c r="Y31" s="344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1"/>
      <c r="Q32" s="1571" t="str">
        <f t="shared" si="11"/>
        <v>公共部分装修</v>
      </c>
      <c r="R32" s="1572" t="s">
        <v>8</v>
      </c>
      <c r="S32" s="1573">
        <f t="shared" si="12"/>
        <v>100</v>
      </c>
      <c r="T32" s="1572" t="s">
        <v>8</v>
      </c>
      <c r="U32" s="1573">
        <f t="shared" si="13"/>
        <v>100</v>
      </c>
      <c r="V32" s="1572" t="s">
        <v>8</v>
      </c>
      <c r="W32" s="1573">
        <f t="shared" si="14"/>
        <v>100</v>
      </c>
      <c r="X32" s="1566"/>
      <c r="Y32" s="3441"/>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1"/>
      <c r="Q33" s="1571" t="str">
        <f t="shared" si="11"/>
        <v>成新度</v>
      </c>
      <c r="R33" s="1572" t="s">
        <v>8</v>
      </c>
      <c r="S33" s="1573" t="e">
        <f t="shared" si="12"/>
        <v>#N/A</v>
      </c>
      <c r="T33" s="1572" t="s">
        <v>8</v>
      </c>
      <c r="U33" s="1573" t="e">
        <f t="shared" si="13"/>
        <v>#N/A</v>
      </c>
      <c r="V33" s="1572" t="s">
        <v>8</v>
      </c>
      <c r="W33" s="1573" t="e">
        <f t="shared" si="14"/>
        <v>#N/A</v>
      </c>
      <c r="X33" s="1566"/>
      <c r="Y33" s="3441"/>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1"/>
      <c r="Q34" s="1151" t="str">
        <f t="shared" si="11"/>
        <v>物业管理</v>
      </c>
      <c r="R34" s="1567" t="s">
        <v>8</v>
      </c>
      <c r="S34" s="1568">
        <f t="shared" si="12"/>
        <v>100</v>
      </c>
      <c r="T34" s="1567" t="s">
        <v>8</v>
      </c>
      <c r="U34" s="1568">
        <f t="shared" si="13"/>
        <v>100</v>
      </c>
      <c r="V34" s="1567" t="s">
        <v>8</v>
      </c>
      <c r="W34" s="1568">
        <f t="shared" si="14"/>
        <v>100</v>
      </c>
      <c r="X34" s="1569"/>
      <c r="Y34" s="3441"/>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1" t="s">
        <v>549</v>
      </c>
      <c r="Q35" s="1571" t="str">
        <f t="shared" si="11"/>
        <v>市政基础设施</v>
      </c>
      <c r="R35" s="1572" t="s">
        <v>8</v>
      </c>
      <c r="S35" s="1573">
        <f t="shared" si="12"/>
        <v>100</v>
      </c>
      <c r="T35" s="1572" t="s">
        <v>8</v>
      </c>
      <c r="U35" s="1573">
        <f t="shared" si="13"/>
        <v>100</v>
      </c>
      <c r="V35" s="1572" t="s">
        <v>8</v>
      </c>
      <c r="W35" s="1573">
        <f t="shared" si="14"/>
        <v>100</v>
      </c>
      <c r="X35" s="1566"/>
      <c r="Y35" s="344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1"/>
      <c r="Q36" s="1571" t="str">
        <f t="shared" si="11"/>
        <v>内部装修</v>
      </c>
      <c r="R36" s="1572" t="s">
        <v>8</v>
      </c>
      <c r="S36" s="1573">
        <f t="shared" si="12"/>
        <v>100</v>
      </c>
      <c r="T36" s="1572" t="s">
        <v>8</v>
      </c>
      <c r="U36" s="1573">
        <f t="shared" si="13"/>
        <v>100</v>
      </c>
      <c r="V36" s="1572" t="s">
        <v>8</v>
      </c>
      <c r="W36" s="1573">
        <f t="shared" si="14"/>
        <v>100</v>
      </c>
      <c r="X36" s="1566"/>
      <c r="Y36" s="344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1"/>
      <c r="Q37" s="1571" t="str">
        <f t="shared" si="11"/>
        <v>内部装修状况</v>
      </c>
      <c r="R37" s="1572" t="s">
        <v>8</v>
      </c>
      <c r="S37" s="1573">
        <f t="shared" si="12"/>
        <v>100</v>
      </c>
      <c r="T37" s="1572" t="s">
        <v>8</v>
      </c>
      <c r="U37" s="1573">
        <f t="shared" si="13"/>
        <v>100</v>
      </c>
      <c r="V37" s="1572" t="s">
        <v>8</v>
      </c>
      <c r="W37" s="1573">
        <f t="shared" si="14"/>
        <v>100</v>
      </c>
      <c r="X37" s="1566"/>
      <c r="Y37" s="3441"/>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1"/>
      <c r="Q38" s="1604">
        <f t="shared" si="11"/>
        <v>111</v>
      </c>
      <c r="R38" s="1576" t="s">
        <v>8</v>
      </c>
      <c r="S38" s="1577">
        <f t="shared" si="12"/>
        <v>100</v>
      </c>
      <c r="T38" s="1576" t="s">
        <v>8</v>
      </c>
      <c r="U38" s="1577">
        <f t="shared" si="13"/>
        <v>100</v>
      </c>
      <c r="V38" s="1576" t="s">
        <v>8</v>
      </c>
      <c r="W38" s="1577">
        <f t="shared" si="14"/>
        <v>100</v>
      </c>
      <c r="X38" s="1578"/>
      <c r="Y38" s="344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1"/>
      <c r="Q39" s="1571">
        <f t="shared" si="11"/>
        <v>111</v>
      </c>
      <c r="R39" s="1572" t="s">
        <v>8</v>
      </c>
      <c r="S39" s="1573">
        <f t="shared" si="12"/>
        <v>100</v>
      </c>
      <c r="T39" s="1572" t="s">
        <v>8</v>
      </c>
      <c r="U39" s="1573">
        <f t="shared" si="13"/>
        <v>100</v>
      </c>
      <c r="V39" s="1572" t="s">
        <v>8</v>
      </c>
      <c r="W39" s="1573">
        <f t="shared" si="14"/>
        <v>100</v>
      </c>
      <c r="X39" s="1566"/>
      <c r="Y39" s="3441"/>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8"/>
      <c r="Q40" s="1571">
        <f t="shared" si="11"/>
        <v>111</v>
      </c>
      <c r="R40" s="1572" t="s">
        <v>8</v>
      </c>
      <c r="S40" s="1573">
        <f t="shared" si="12"/>
        <v>100</v>
      </c>
      <c r="T40" s="1572" t="s">
        <v>8</v>
      </c>
      <c r="U40" s="1573">
        <f t="shared" si="13"/>
        <v>100</v>
      </c>
      <c r="V40" s="1572" t="s">
        <v>8</v>
      </c>
      <c r="W40" s="1573">
        <f t="shared" si="14"/>
        <v>100</v>
      </c>
      <c r="X40" s="1566"/>
      <c r="Y40" s="3498"/>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02" t="str">
        <f>A41</f>
        <v>成交单价（元/平方米）</v>
      </c>
      <c r="Q41" s="3402"/>
      <c r="R41" s="3496">
        <f>E41</f>
        <v>0</v>
      </c>
      <c r="S41" s="3496"/>
      <c r="T41" s="3496">
        <f>G41</f>
        <v>0</v>
      </c>
      <c r="U41" s="3496"/>
      <c r="V41" s="3496">
        <f>I41</f>
        <v>0</v>
      </c>
      <c r="W41" s="3496"/>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02" t="str">
        <f>A42</f>
        <v>比较价格（元/平方米）</v>
      </c>
      <c r="Q42" s="340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399" t="str">
        <f>A43</f>
        <v>估价对象XX用房的比较价格（楼面单价，元/平方米）</v>
      </c>
      <c r="Q43" s="3400"/>
      <c r="R43" s="3497" t="e">
        <f>IF(F1="售价",ROUND(AVERAGE(R42:V42),0),ROUND(AVERAGE(R42:V42),1))</f>
        <v>#DIV/0!</v>
      </c>
      <c r="S43" s="3497"/>
      <c r="T43" s="3497"/>
      <c r="U43" s="3497"/>
      <c r="V43" s="3497"/>
      <c r="W43" s="349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8" t="s">
        <v>797</v>
      </c>
      <c r="D4" s="3409"/>
      <c r="E4" s="3408" t="s">
        <v>798</v>
      </c>
      <c r="F4" s="3409"/>
      <c r="G4" s="3408" t="s">
        <v>799</v>
      </c>
      <c r="H4" s="3409"/>
      <c r="I4" s="3408" t="s">
        <v>800</v>
      </c>
      <c r="J4" s="3409"/>
      <c r="K4" s="514" t="s">
        <v>801</v>
      </c>
      <c r="L4" s="2133"/>
      <c r="M4" s="2134"/>
      <c r="N4" s="2134"/>
      <c r="O4" s="2134"/>
      <c r="P4" s="3410" t="s">
        <v>802</v>
      </c>
      <c r="Q4" s="3411"/>
      <c r="R4" s="3416" t="s">
        <v>798</v>
      </c>
      <c r="S4" s="3417"/>
      <c r="T4" s="3416" t="s">
        <v>799</v>
      </c>
      <c r="U4" s="3417"/>
      <c r="V4" s="3403" t="s">
        <v>800</v>
      </c>
      <c r="W4" s="3403"/>
      <c r="X4" s="1566"/>
      <c r="Y4" s="3416" t="s">
        <v>802</v>
      </c>
      <c r="Z4" s="3417"/>
      <c r="AA4" s="3405" t="s">
        <v>798</v>
      </c>
      <c r="AB4" s="3406" t="s">
        <v>799</v>
      </c>
      <c r="AC4" s="3405" t="s">
        <v>800</v>
      </c>
    </row>
    <row r="5" spans="1:29">
      <c r="A5" s="515"/>
      <c r="B5" s="516"/>
      <c r="C5" s="3424" t="s">
        <v>2924</v>
      </c>
      <c r="D5" s="3425"/>
      <c r="E5" s="3424" t="s">
        <v>2925</v>
      </c>
      <c r="F5" s="3425"/>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29" t="s">
        <v>2928</v>
      </c>
      <c r="F6" s="3428"/>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35" t="s">
        <v>529</v>
      </c>
      <c r="Q7" s="3437"/>
      <c r="R7" s="1567" t="s">
        <v>8</v>
      </c>
      <c r="S7" s="1568">
        <f t="shared" ref="S7:S14" si="0">F7</f>
        <v>0</v>
      </c>
      <c r="T7" s="1567" t="s">
        <v>8</v>
      </c>
      <c r="U7" s="1568">
        <f t="shared" ref="U7:U14" si="1">H7</f>
        <v>0</v>
      </c>
      <c r="V7" s="1567" t="s">
        <v>8</v>
      </c>
      <c r="W7" s="1568">
        <f t="shared" ref="W7:W14"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2" t="s">
        <v>534</v>
      </c>
      <c r="Q9" s="1151" t="str">
        <f t="shared" ref="Q9:Q14" si="6">B9</f>
        <v>用途</v>
      </c>
      <c r="R9" s="1567" t="s">
        <v>8</v>
      </c>
      <c r="S9" s="1568">
        <f t="shared" si="0"/>
        <v>100</v>
      </c>
      <c r="T9" s="1567" t="s">
        <v>8</v>
      </c>
      <c r="U9" s="1568">
        <f t="shared" si="1"/>
        <v>100</v>
      </c>
      <c r="V9" s="1567" t="s">
        <v>8</v>
      </c>
      <c r="W9" s="1568">
        <f t="shared" si="2"/>
        <v>100</v>
      </c>
      <c r="X9" s="1569"/>
      <c r="Y9" s="3348"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2"/>
      <c r="Q11" s="1151">
        <f t="shared" si="6"/>
        <v>111</v>
      </c>
      <c r="R11" s="1567" t="s">
        <v>8</v>
      </c>
      <c r="S11" s="1568">
        <f t="shared" si="0"/>
        <v>100</v>
      </c>
      <c r="T11" s="1567" t="s">
        <v>8</v>
      </c>
      <c r="U11" s="1568">
        <f t="shared" si="1"/>
        <v>100</v>
      </c>
      <c r="V11" s="1567" t="s">
        <v>8</v>
      </c>
      <c r="W11" s="1568">
        <f t="shared" si="2"/>
        <v>100</v>
      </c>
      <c r="X11" s="1569"/>
      <c r="Y11" s="3348"/>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38" t="s">
        <v>539</v>
      </c>
      <c r="Q14" s="1571" t="str">
        <f t="shared" si="6"/>
        <v>交通便捷度</v>
      </c>
      <c r="R14" s="1572" t="s">
        <v>8</v>
      </c>
      <c r="S14" s="1573">
        <f t="shared" si="0"/>
        <v>100</v>
      </c>
      <c r="T14" s="1572" t="s">
        <v>8</v>
      </c>
      <c r="U14" s="1573">
        <f t="shared" si="1"/>
        <v>100</v>
      </c>
      <c r="V14" s="1572" t="s">
        <v>8</v>
      </c>
      <c r="W14" s="1573">
        <f t="shared" si="2"/>
        <v>100</v>
      </c>
      <c r="X14" s="1566"/>
      <c r="Y14" s="3438"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39"/>
      <c r="Q15" s="1571"/>
      <c r="R15" s="1572"/>
      <c r="S15" s="1573"/>
      <c r="T15" s="1572"/>
      <c r="U15" s="1573"/>
      <c r="V15" s="1572"/>
      <c r="W15" s="1573"/>
      <c r="X15" s="1566"/>
      <c r="Y15" s="3439"/>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39"/>
      <c r="Q16" s="1571" t="str">
        <f>B16</f>
        <v>公共配套设施</v>
      </c>
      <c r="R16" s="1572" t="s">
        <v>8</v>
      </c>
      <c r="S16" s="1573">
        <f>F16</f>
        <v>100</v>
      </c>
      <c r="T16" s="1572" t="s">
        <v>8</v>
      </c>
      <c r="U16" s="1573">
        <f>H16</f>
        <v>100</v>
      </c>
      <c r="V16" s="1572" t="s">
        <v>8</v>
      </c>
      <c r="W16" s="1573">
        <f>J16</f>
        <v>100</v>
      </c>
      <c r="X16" s="1566"/>
      <c r="Y16" s="343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39"/>
      <c r="Q17" s="1571"/>
      <c r="R17" s="1572"/>
      <c r="S17" s="1573"/>
      <c r="T17" s="1572"/>
      <c r="U17" s="1573"/>
      <c r="V17" s="1572"/>
      <c r="W17" s="1573"/>
      <c r="X17" s="1566"/>
      <c r="Y17" s="3439"/>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39"/>
      <c r="Q18" s="2579" t="str">
        <f>B18</f>
        <v>基础设施水平</v>
      </c>
      <c r="R18" s="1572" t="s">
        <v>8</v>
      </c>
      <c r="S18" s="1573">
        <f>F18</f>
        <v>100</v>
      </c>
      <c r="T18" s="1572" t="s">
        <v>8</v>
      </c>
      <c r="U18" s="1573">
        <f>H18</f>
        <v>100</v>
      </c>
      <c r="V18" s="1572" t="s">
        <v>8</v>
      </c>
      <c r="W18" s="1573">
        <f>J18</f>
        <v>100</v>
      </c>
      <c r="X18" s="2581"/>
      <c r="Y18" s="343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39"/>
      <c r="Q19" s="2579"/>
      <c r="R19" s="1572"/>
      <c r="S19" s="1573"/>
      <c r="T19" s="1572"/>
      <c r="U19" s="1573"/>
      <c r="V19" s="1572"/>
      <c r="W19" s="1573"/>
      <c r="X19" s="2581"/>
      <c r="Y19" s="3439"/>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39"/>
      <c r="Q20" s="1571" t="str">
        <f>B20</f>
        <v>自然及人文环境</v>
      </c>
      <c r="R20" s="1572" t="s">
        <v>8</v>
      </c>
      <c r="S20" s="1573">
        <f>F20</f>
        <v>100</v>
      </c>
      <c r="T20" s="1572" t="s">
        <v>8</v>
      </c>
      <c r="U20" s="1573">
        <f>H20</f>
        <v>100</v>
      </c>
      <c r="V20" s="1572" t="s">
        <v>8</v>
      </c>
      <c r="W20" s="1573">
        <f>J20</f>
        <v>100</v>
      </c>
      <c r="X20" s="1566"/>
      <c r="Y20" s="343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39"/>
      <c r="Q21" s="1571"/>
      <c r="R21" s="1572"/>
      <c r="S21" s="1573"/>
      <c r="T21" s="1572"/>
      <c r="U21" s="1573"/>
      <c r="V21" s="1572"/>
      <c r="W21" s="1573"/>
      <c r="X21" s="1566"/>
      <c r="Y21" s="343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9"/>
      <c r="Q22" s="1571" t="str">
        <f>B22</f>
        <v>楼层</v>
      </c>
      <c r="R22" s="1572" t="s">
        <v>8</v>
      </c>
      <c r="S22" s="1573">
        <f>F22</f>
        <v>100</v>
      </c>
      <c r="T22" s="1572" t="s">
        <v>8</v>
      </c>
      <c r="U22" s="1573">
        <f>H22</f>
        <v>100</v>
      </c>
      <c r="V22" s="1572" t="s">
        <v>8</v>
      </c>
      <c r="W22" s="1573">
        <f>J22</f>
        <v>100</v>
      </c>
      <c r="X22" s="1566"/>
      <c r="Y22" s="343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9"/>
      <c r="Q23" s="1571">
        <f>B23</f>
        <v>111</v>
      </c>
      <c r="R23" s="1572" t="s">
        <v>8</v>
      </c>
      <c r="S23" s="1573">
        <f>F23</f>
        <v>100</v>
      </c>
      <c r="T23" s="1572" t="s">
        <v>8</v>
      </c>
      <c r="U23" s="1573">
        <f>H23</f>
        <v>100</v>
      </c>
      <c r="V23" s="1572" t="s">
        <v>8</v>
      </c>
      <c r="W23" s="1573">
        <f>J23</f>
        <v>100</v>
      </c>
      <c r="X23" s="1566"/>
      <c r="Y23" s="343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9"/>
      <c r="Q24" s="1571">
        <f t="shared" ref="Q24:Q36" si="11">B24</f>
        <v>111</v>
      </c>
      <c r="R24" s="1572" t="s">
        <v>8</v>
      </c>
      <c r="S24" s="1573">
        <f>F24</f>
        <v>100</v>
      </c>
      <c r="T24" s="1572" t="s">
        <v>8</v>
      </c>
      <c r="U24" s="1573">
        <f>H24</f>
        <v>100</v>
      </c>
      <c r="V24" s="1572" t="s">
        <v>8</v>
      </c>
      <c r="W24" s="1573">
        <f>J24</f>
        <v>100</v>
      </c>
      <c r="X24" s="1566"/>
      <c r="Y24" s="3439"/>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9"/>
      <c r="Q25" s="1151">
        <f t="shared" si="11"/>
        <v>111</v>
      </c>
      <c r="R25" s="1567" t="s">
        <v>8</v>
      </c>
      <c r="S25" s="1568">
        <f>F25</f>
        <v>100</v>
      </c>
      <c r="T25" s="1567" t="s">
        <v>8</v>
      </c>
      <c r="U25" s="1568">
        <f>H25</f>
        <v>100</v>
      </c>
      <c r="V25" s="1567" t="s">
        <v>8</v>
      </c>
      <c r="W25" s="1568">
        <f>J25</f>
        <v>100</v>
      </c>
      <c r="X25" s="1569"/>
      <c r="Y25" s="3439"/>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4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1"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1"/>
      <c r="Q27" s="1604" t="str">
        <f t="shared" si="11"/>
        <v>项目停车位配比</v>
      </c>
      <c r="R27" s="1576" t="s">
        <v>8</v>
      </c>
      <c r="S27" s="1577">
        <f t="shared" si="12"/>
        <v>100</v>
      </c>
      <c r="T27" s="1576" t="s">
        <v>8</v>
      </c>
      <c r="U27" s="1577">
        <f t="shared" si="13"/>
        <v>100</v>
      </c>
      <c r="V27" s="1576" t="s">
        <v>8</v>
      </c>
      <c r="W27" s="1577">
        <f t="shared" si="14"/>
        <v>100</v>
      </c>
      <c r="X27" s="1578"/>
      <c r="Y27" s="3441"/>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41"/>
      <c r="Q28" s="1571" t="str">
        <f t="shared" si="11"/>
        <v>公共部分装修</v>
      </c>
      <c r="R28" s="1572" t="s">
        <v>8</v>
      </c>
      <c r="S28" s="1573">
        <f t="shared" si="12"/>
        <v>100</v>
      </c>
      <c r="T28" s="1572" t="s">
        <v>8</v>
      </c>
      <c r="U28" s="1573">
        <f t="shared" si="13"/>
        <v>100</v>
      </c>
      <c r="V28" s="1572" t="s">
        <v>8</v>
      </c>
      <c r="W28" s="1573">
        <f t="shared" si="14"/>
        <v>100</v>
      </c>
      <c r="X28" s="1566"/>
      <c r="Y28" s="3441"/>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41"/>
      <c r="Q29" s="1571" t="str">
        <f t="shared" si="11"/>
        <v>成新率</v>
      </c>
      <c r="R29" s="1572" t="s">
        <v>8</v>
      </c>
      <c r="S29" s="1573" t="e">
        <f t="shared" si="12"/>
        <v>#N/A</v>
      </c>
      <c r="T29" s="1572" t="s">
        <v>8</v>
      </c>
      <c r="U29" s="1573" t="e">
        <f t="shared" si="13"/>
        <v>#N/A</v>
      </c>
      <c r="V29" s="1572" t="s">
        <v>8</v>
      </c>
      <c r="W29" s="1573" t="e">
        <f t="shared" si="14"/>
        <v>#N/A</v>
      </c>
      <c r="X29" s="1566"/>
      <c r="Y29" s="3441"/>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41"/>
      <c r="Q30" s="1571" t="str">
        <f t="shared" si="11"/>
        <v>物业等级</v>
      </c>
      <c r="R30" s="1572" t="s">
        <v>8</v>
      </c>
      <c r="S30" s="1573">
        <f t="shared" si="12"/>
        <v>100</v>
      </c>
      <c r="T30" s="1572" t="s">
        <v>8</v>
      </c>
      <c r="U30" s="1573">
        <f t="shared" si="13"/>
        <v>100</v>
      </c>
      <c r="V30" s="1572" t="s">
        <v>8</v>
      </c>
      <c r="W30" s="1573">
        <f t="shared" si="14"/>
        <v>100</v>
      </c>
      <c r="X30" s="1566"/>
      <c r="Y30" s="3441"/>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41"/>
      <c r="Q31" s="1151" t="str">
        <f t="shared" si="11"/>
        <v>停车位面积</v>
      </c>
      <c r="R31" s="1567" t="s">
        <v>8</v>
      </c>
      <c r="S31" s="1568" t="e">
        <f t="shared" si="12"/>
        <v>#N/A</v>
      </c>
      <c r="T31" s="1567" t="s">
        <v>8</v>
      </c>
      <c r="U31" s="1568" t="e">
        <f t="shared" si="13"/>
        <v>#N/A</v>
      </c>
      <c r="V31" s="1567" t="s">
        <v>8</v>
      </c>
      <c r="W31" s="1568" t="e">
        <f t="shared" si="14"/>
        <v>#N/A</v>
      </c>
      <c r="X31" s="1569"/>
      <c r="Y31" s="3441"/>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41" t="s">
        <v>549</v>
      </c>
      <c r="Q32" s="1571" t="str">
        <f t="shared" si="11"/>
        <v>车位类型</v>
      </c>
      <c r="R32" s="1572" t="s">
        <v>8</v>
      </c>
      <c r="S32" s="1573">
        <f t="shared" si="12"/>
        <v>100</v>
      </c>
      <c r="T32" s="1572" t="s">
        <v>8</v>
      </c>
      <c r="U32" s="1573">
        <f t="shared" si="13"/>
        <v>100</v>
      </c>
      <c r="V32" s="1572" t="s">
        <v>8</v>
      </c>
      <c r="W32" s="1573">
        <f t="shared" si="14"/>
        <v>100</v>
      </c>
      <c r="X32" s="1566"/>
      <c r="Y32" s="3441"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41"/>
      <c r="Q33" s="1571" t="str">
        <f t="shared" si="11"/>
        <v>是否直接入户</v>
      </c>
      <c r="R33" s="1572" t="s">
        <v>8</v>
      </c>
      <c r="S33" s="1573">
        <f t="shared" si="12"/>
        <v>100</v>
      </c>
      <c r="T33" s="1572" t="s">
        <v>8</v>
      </c>
      <c r="U33" s="1573">
        <f t="shared" si="13"/>
        <v>100</v>
      </c>
      <c r="V33" s="1572" t="s">
        <v>8</v>
      </c>
      <c r="W33" s="1573">
        <f t="shared" si="14"/>
        <v>100</v>
      </c>
      <c r="X33" s="1566"/>
      <c r="Y33" s="344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1"/>
      <c r="Q34" s="1571">
        <f t="shared" si="11"/>
        <v>111</v>
      </c>
      <c r="R34" s="1572" t="s">
        <v>8</v>
      </c>
      <c r="S34" s="1573">
        <f t="shared" si="12"/>
        <v>100</v>
      </c>
      <c r="T34" s="1572" t="s">
        <v>8</v>
      </c>
      <c r="U34" s="1573">
        <f t="shared" si="13"/>
        <v>100</v>
      </c>
      <c r="V34" s="1572" t="s">
        <v>8</v>
      </c>
      <c r="W34" s="1573">
        <f t="shared" si="14"/>
        <v>100</v>
      </c>
      <c r="X34" s="1566"/>
      <c r="Y34" s="3441"/>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1"/>
      <c r="Q35" s="1604">
        <f t="shared" si="11"/>
        <v>111</v>
      </c>
      <c r="R35" s="1576" t="s">
        <v>8</v>
      </c>
      <c r="S35" s="1577">
        <f t="shared" si="12"/>
        <v>100</v>
      </c>
      <c r="T35" s="1576" t="s">
        <v>8</v>
      </c>
      <c r="U35" s="1577">
        <f t="shared" si="13"/>
        <v>100</v>
      </c>
      <c r="V35" s="1576" t="s">
        <v>8</v>
      </c>
      <c r="W35" s="1577">
        <f t="shared" si="14"/>
        <v>100</v>
      </c>
      <c r="X35" s="1578"/>
      <c r="Y35" s="3441"/>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1"/>
      <c r="Q36" s="1571">
        <f t="shared" si="11"/>
        <v>111</v>
      </c>
      <c r="R36" s="1572" t="s">
        <v>8</v>
      </c>
      <c r="S36" s="1573">
        <f t="shared" si="12"/>
        <v>100</v>
      </c>
      <c r="T36" s="1572" t="s">
        <v>8</v>
      </c>
      <c r="U36" s="1573">
        <f t="shared" si="13"/>
        <v>100</v>
      </c>
      <c r="V36" s="1572" t="s">
        <v>8</v>
      </c>
      <c r="W36" s="1573">
        <f t="shared" si="14"/>
        <v>100</v>
      </c>
      <c r="X36" s="1566"/>
      <c r="Y36" s="3441"/>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02" t="str">
        <f>A37</f>
        <v>成交单价</v>
      </c>
      <c r="Q37" s="3402"/>
      <c r="R37" s="3496">
        <f>E37</f>
        <v>0</v>
      </c>
      <c r="S37" s="3496"/>
      <c r="T37" s="3496">
        <f>G37</f>
        <v>0</v>
      </c>
      <c r="U37" s="3496"/>
      <c r="V37" s="3496">
        <f>I37</f>
        <v>0</v>
      </c>
      <c r="W37" s="3496"/>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02" t="str">
        <f>A38</f>
        <v>比较价格（元/平方米）</v>
      </c>
      <c r="Q38" s="340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399" t="str">
        <f>A39</f>
        <v>估价对象XX用房的比较价格（楼面单价，元/平方米）</v>
      </c>
      <c r="Q39" s="3400"/>
      <c r="R39" s="3497" t="e">
        <f>IF(F1="售价",ROUND(AVERAGE(R38:V38),0),ROUND(AVERAGE(R38:V38),1))</f>
        <v>#DIV/0!</v>
      </c>
      <c r="S39" s="3497"/>
      <c r="T39" s="3497"/>
      <c r="U39" s="3497"/>
      <c r="V39" s="3497"/>
      <c r="W39" s="349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08" t="s">
        <v>797</v>
      </c>
      <c r="D4" s="3409"/>
      <c r="E4" s="3447" t="s">
        <v>798</v>
      </c>
      <c r="F4" s="3448"/>
      <c r="G4" s="3408" t="s">
        <v>799</v>
      </c>
      <c r="H4" s="3409"/>
      <c r="I4" s="3408" t="s">
        <v>800</v>
      </c>
      <c r="J4" s="3409"/>
      <c r="K4" s="514" t="s">
        <v>801</v>
      </c>
      <c r="L4" s="2133"/>
      <c r="M4" s="2134"/>
      <c r="N4" s="2134"/>
      <c r="O4" s="2134"/>
      <c r="P4" s="3410" t="s">
        <v>802</v>
      </c>
      <c r="Q4" s="3411"/>
      <c r="R4" s="3416" t="s">
        <v>798</v>
      </c>
      <c r="S4" s="3417"/>
      <c r="T4" s="3416" t="s">
        <v>799</v>
      </c>
      <c r="U4" s="3417"/>
      <c r="V4" s="3403" t="s">
        <v>800</v>
      </c>
      <c r="W4" s="3403"/>
      <c r="X4" s="1566"/>
      <c r="Y4" s="3416" t="s">
        <v>802</v>
      </c>
      <c r="Z4" s="3417"/>
      <c r="AA4" s="3405" t="s">
        <v>798</v>
      </c>
      <c r="AB4" s="3406" t="s">
        <v>799</v>
      </c>
      <c r="AC4" s="3405" t="s">
        <v>800</v>
      </c>
    </row>
    <row r="5" spans="1:29">
      <c r="A5" s="515"/>
      <c r="B5" s="516"/>
      <c r="C5" s="3424" t="s">
        <v>2924</v>
      </c>
      <c r="D5" s="3425"/>
      <c r="E5" s="3449" t="s">
        <v>2925</v>
      </c>
      <c r="F5" s="3450"/>
      <c r="G5" s="3424" t="s">
        <v>2926</v>
      </c>
      <c r="H5" s="3425"/>
      <c r="I5" s="3424" t="s">
        <v>2927</v>
      </c>
      <c r="J5" s="3425"/>
      <c r="K5" s="514"/>
      <c r="L5" s="2133"/>
      <c r="M5" s="2134"/>
      <c r="N5" s="2134"/>
      <c r="O5" s="2134"/>
      <c r="P5" s="3412"/>
      <c r="Q5" s="3413"/>
      <c r="R5" s="3418"/>
      <c r="S5" s="3419"/>
      <c r="T5" s="3418"/>
      <c r="U5" s="3419"/>
      <c r="V5" s="3403"/>
      <c r="W5" s="3403"/>
      <c r="X5" s="1566"/>
      <c r="Y5" s="3418"/>
      <c r="Z5" s="3419"/>
      <c r="AA5" s="3406"/>
      <c r="AB5" s="3406"/>
      <c r="AC5" s="3406"/>
    </row>
    <row r="6" spans="1:29" ht="15" thickBot="1">
      <c r="A6" s="517"/>
      <c r="B6" s="518"/>
      <c r="C6" s="3422" t="s">
        <v>2928</v>
      </c>
      <c r="D6" s="3423"/>
      <c r="E6" s="3445" t="s">
        <v>2928</v>
      </c>
      <c r="F6" s="3446"/>
      <c r="G6" s="3422" t="s">
        <v>2928</v>
      </c>
      <c r="H6" s="3423"/>
      <c r="I6" s="3422" t="s">
        <v>2928</v>
      </c>
      <c r="J6" s="3423"/>
      <c r="K6" s="514" t="s">
        <v>527</v>
      </c>
      <c r="L6" s="2133"/>
      <c r="M6" s="2134"/>
      <c r="N6" s="2134"/>
      <c r="O6" s="2134"/>
      <c r="P6" s="3414"/>
      <c r="Q6" s="3415"/>
      <c r="R6" s="3418"/>
      <c r="S6" s="3419"/>
      <c r="T6" s="3420"/>
      <c r="U6" s="3421"/>
      <c r="V6" s="3403"/>
      <c r="W6" s="3403"/>
      <c r="X6" s="1566"/>
      <c r="Y6" s="3420"/>
      <c r="Z6" s="3421"/>
      <c r="AA6" s="3407"/>
      <c r="AB6" s="3407"/>
      <c r="AC6" s="3407"/>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35" t="s">
        <v>529</v>
      </c>
      <c r="Q7" s="3437"/>
      <c r="R7" s="1567" t="s">
        <v>8</v>
      </c>
      <c r="S7" s="1568">
        <f t="shared" ref="S7:S14" si="0">F7</f>
        <v>0</v>
      </c>
      <c r="T7" s="1567" t="s">
        <v>8</v>
      </c>
      <c r="U7" s="1568">
        <f t="shared" ref="U7:U14" si="1">H7</f>
        <v>0</v>
      </c>
      <c r="V7" s="1567" t="s">
        <v>8</v>
      </c>
      <c r="W7" s="1568">
        <f t="shared" ref="W7:W14" si="2">J7</f>
        <v>0</v>
      </c>
      <c r="X7" s="1569"/>
      <c r="Y7" s="3435" t="s">
        <v>529</v>
      </c>
      <c r="Z7" s="3436"/>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35" t="s">
        <v>532</v>
      </c>
      <c r="Q8" s="3436"/>
      <c r="R8" s="1567" t="s">
        <v>8</v>
      </c>
      <c r="S8" s="1568">
        <f t="shared" si="0"/>
        <v>0</v>
      </c>
      <c r="T8" s="1567" t="s">
        <v>8</v>
      </c>
      <c r="U8" s="1568">
        <f t="shared" si="1"/>
        <v>0</v>
      </c>
      <c r="V8" s="1567" t="s">
        <v>8</v>
      </c>
      <c r="W8" s="1568">
        <f t="shared" si="2"/>
        <v>0</v>
      </c>
      <c r="X8" s="1569"/>
      <c r="Y8" s="3435" t="s">
        <v>532</v>
      </c>
      <c r="Z8" s="3436"/>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2" t="s">
        <v>534</v>
      </c>
      <c r="Q9" s="1151" t="str">
        <f t="shared" ref="Q9:Q14" si="6">B9</f>
        <v>用途</v>
      </c>
      <c r="R9" s="1567" t="s">
        <v>8</v>
      </c>
      <c r="S9" s="1568">
        <f t="shared" si="0"/>
        <v>100</v>
      </c>
      <c r="T9" s="1567" t="s">
        <v>8</v>
      </c>
      <c r="U9" s="1568">
        <f t="shared" si="1"/>
        <v>100</v>
      </c>
      <c r="V9" s="1567" t="s">
        <v>8</v>
      </c>
      <c r="W9" s="1568">
        <f t="shared" si="2"/>
        <v>100</v>
      </c>
      <c r="X9" s="1569"/>
      <c r="Y9" s="3348"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2"/>
      <c r="Q10" s="1151" t="str">
        <f t="shared" si="6"/>
        <v>土地使用年限（年）</v>
      </c>
      <c r="R10" s="1567" t="s">
        <v>8</v>
      </c>
      <c r="S10" s="1568">
        <f t="shared" si="0"/>
        <v>100</v>
      </c>
      <c r="T10" s="1567" t="s">
        <v>8</v>
      </c>
      <c r="U10" s="1568">
        <f t="shared" si="1"/>
        <v>100</v>
      </c>
      <c r="V10" s="1567" t="s">
        <v>8</v>
      </c>
      <c r="W10" s="1568">
        <f t="shared" si="2"/>
        <v>100</v>
      </c>
      <c r="X10" s="1569"/>
      <c r="Y10" s="3348"/>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2"/>
      <c r="Q11" s="1151">
        <f t="shared" si="6"/>
        <v>111</v>
      </c>
      <c r="R11" s="1567" t="s">
        <v>8</v>
      </c>
      <c r="S11" s="1568">
        <f t="shared" si="0"/>
        <v>100</v>
      </c>
      <c r="T11" s="1567" t="s">
        <v>8</v>
      </c>
      <c r="U11" s="1568">
        <f t="shared" si="1"/>
        <v>100</v>
      </c>
      <c r="V11" s="1567" t="s">
        <v>8</v>
      </c>
      <c r="W11" s="1568">
        <f t="shared" si="2"/>
        <v>100</v>
      </c>
      <c r="X11" s="1569"/>
      <c r="Y11" s="3348"/>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2"/>
      <c r="Q12" s="1151">
        <f t="shared" si="6"/>
        <v>111</v>
      </c>
      <c r="R12" s="1567" t="s">
        <v>8</v>
      </c>
      <c r="S12" s="1568">
        <f t="shared" si="0"/>
        <v>100</v>
      </c>
      <c r="T12" s="1567" t="s">
        <v>8</v>
      </c>
      <c r="U12" s="1568">
        <f t="shared" si="1"/>
        <v>100</v>
      </c>
      <c r="V12" s="1567" t="s">
        <v>8</v>
      </c>
      <c r="W12" s="1568">
        <f t="shared" si="2"/>
        <v>100</v>
      </c>
      <c r="X12" s="1569"/>
      <c r="Y12" s="3348"/>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2"/>
      <c r="Q13" s="1151">
        <f t="shared" si="6"/>
        <v>111</v>
      </c>
      <c r="R13" s="1567" t="s">
        <v>8</v>
      </c>
      <c r="S13" s="1568">
        <f t="shared" si="0"/>
        <v>100</v>
      </c>
      <c r="T13" s="1567" t="s">
        <v>8</v>
      </c>
      <c r="U13" s="1568">
        <f t="shared" si="1"/>
        <v>100</v>
      </c>
      <c r="V13" s="1567" t="s">
        <v>8</v>
      </c>
      <c r="W13" s="1568">
        <f t="shared" si="2"/>
        <v>100</v>
      </c>
      <c r="X13" s="1569"/>
      <c r="Y13" s="3348"/>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8" t="s">
        <v>539</v>
      </c>
      <c r="Q14" s="1571" t="str">
        <f t="shared" si="6"/>
        <v>交通便捷度</v>
      </c>
      <c r="R14" s="1572" t="s">
        <v>8</v>
      </c>
      <c r="S14" s="1573">
        <f t="shared" si="0"/>
        <v>100</v>
      </c>
      <c r="T14" s="1572" t="s">
        <v>8</v>
      </c>
      <c r="U14" s="1573">
        <f t="shared" si="1"/>
        <v>100</v>
      </c>
      <c r="V14" s="1572" t="s">
        <v>8</v>
      </c>
      <c r="W14" s="1573">
        <f t="shared" si="2"/>
        <v>100</v>
      </c>
      <c r="X14" s="1566"/>
      <c r="Y14" s="343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9"/>
      <c r="Q15" s="1571"/>
      <c r="R15" s="1572"/>
      <c r="S15" s="1573"/>
      <c r="T15" s="1572"/>
      <c r="U15" s="1573"/>
      <c r="V15" s="1572"/>
      <c r="W15" s="1573"/>
      <c r="X15" s="1566"/>
      <c r="Y15" s="3439"/>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9"/>
      <c r="Q16" s="1571" t="str">
        <f>B16</f>
        <v>公共配套设施</v>
      </c>
      <c r="R16" s="1572" t="s">
        <v>8</v>
      </c>
      <c r="S16" s="1573">
        <f>F16</f>
        <v>100</v>
      </c>
      <c r="T16" s="1572" t="s">
        <v>8</v>
      </c>
      <c r="U16" s="1573">
        <f>H16</f>
        <v>100</v>
      </c>
      <c r="V16" s="1572" t="s">
        <v>8</v>
      </c>
      <c r="W16" s="1573">
        <f>J16</f>
        <v>100</v>
      </c>
      <c r="X16" s="1566"/>
      <c r="Y16" s="343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9"/>
      <c r="Q17" s="1571"/>
      <c r="R17" s="1572"/>
      <c r="S17" s="1573"/>
      <c r="T17" s="1572"/>
      <c r="U17" s="1573"/>
      <c r="V17" s="1572"/>
      <c r="W17" s="1573"/>
      <c r="X17" s="1566"/>
      <c r="Y17" s="3439"/>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9"/>
      <c r="Q18" s="2579" t="str">
        <f>B18</f>
        <v>基础设施水平</v>
      </c>
      <c r="R18" s="1572" t="s">
        <v>8</v>
      </c>
      <c r="S18" s="1573">
        <f>F18</f>
        <v>100</v>
      </c>
      <c r="T18" s="1572" t="s">
        <v>8</v>
      </c>
      <c r="U18" s="1573">
        <f>H18</f>
        <v>100</v>
      </c>
      <c r="V18" s="1572" t="s">
        <v>8</v>
      </c>
      <c r="W18" s="1573">
        <f>J18</f>
        <v>100</v>
      </c>
      <c r="X18" s="2581"/>
      <c r="Y18" s="343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39"/>
      <c r="Q19" s="2579"/>
      <c r="R19" s="1572"/>
      <c r="S19" s="1573"/>
      <c r="T19" s="1572"/>
      <c r="U19" s="1573"/>
      <c r="V19" s="1572"/>
      <c r="W19" s="1573"/>
      <c r="X19" s="2581"/>
      <c r="Y19" s="3439"/>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9"/>
      <c r="Q20" s="1571" t="str">
        <f>B20</f>
        <v>自然及人文环境</v>
      </c>
      <c r="R20" s="1572" t="s">
        <v>8</v>
      </c>
      <c r="S20" s="1573">
        <f>F20</f>
        <v>100</v>
      </c>
      <c r="T20" s="1572" t="s">
        <v>8</v>
      </c>
      <c r="U20" s="1573">
        <f>H20</f>
        <v>100</v>
      </c>
      <c r="V20" s="1572" t="s">
        <v>8</v>
      </c>
      <c r="W20" s="1573">
        <f>J20</f>
        <v>100</v>
      </c>
      <c r="X20" s="1566"/>
      <c r="Y20" s="343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9"/>
      <c r="Q21" s="1571"/>
      <c r="R21" s="1572"/>
      <c r="S21" s="1573"/>
      <c r="T21" s="1572"/>
      <c r="U21" s="1573"/>
      <c r="V21" s="1572"/>
      <c r="W21" s="1573"/>
      <c r="X21" s="1566"/>
      <c r="Y21" s="343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9"/>
      <c r="Q22" s="1571" t="str">
        <f>B22</f>
        <v>楼层</v>
      </c>
      <c r="R22" s="1572" t="s">
        <v>8</v>
      </c>
      <c r="S22" s="1573">
        <f>F22</f>
        <v>100</v>
      </c>
      <c r="T22" s="1572" t="s">
        <v>8</v>
      </c>
      <c r="U22" s="1573">
        <f>H22</f>
        <v>100</v>
      </c>
      <c r="V22" s="1572" t="s">
        <v>8</v>
      </c>
      <c r="W22" s="1573">
        <f>J22</f>
        <v>100</v>
      </c>
      <c r="X22" s="1566"/>
      <c r="Y22" s="343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9"/>
      <c r="Q23" s="1571">
        <f>B23</f>
        <v>111</v>
      </c>
      <c r="R23" s="1572" t="s">
        <v>8</v>
      </c>
      <c r="S23" s="1573">
        <f>F23</f>
        <v>100</v>
      </c>
      <c r="T23" s="1572" t="s">
        <v>8</v>
      </c>
      <c r="U23" s="1573">
        <f>H23</f>
        <v>100</v>
      </c>
      <c r="V23" s="1572" t="s">
        <v>8</v>
      </c>
      <c r="W23" s="1573">
        <f>J23</f>
        <v>100</v>
      </c>
      <c r="X23" s="1566"/>
      <c r="Y23" s="343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9"/>
      <c r="Q24" s="1571">
        <f t="shared" ref="Q24:Q34" si="11">B24</f>
        <v>111</v>
      </c>
      <c r="R24" s="1572" t="s">
        <v>8</v>
      </c>
      <c r="S24" s="1573">
        <f>F24</f>
        <v>100</v>
      </c>
      <c r="T24" s="1572" t="s">
        <v>8</v>
      </c>
      <c r="U24" s="1573">
        <f>H24</f>
        <v>100</v>
      </c>
      <c r="V24" s="1572" t="s">
        <v>8</v>
      </c>
      <c r="W24" s="1573">
        <f>J24</f>
        <v>100</v>
      </c>
      <c r="X24" s="1566"/>
      <c r="Y24" s="3439"/>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9"/>
      <c r="Q25" s="1151">
        <f t="shared" si="11"/>
        <v>111</v>
      </c>
      <c r="R25" s="1567" t="s">
        <v>8</v>
      </c>
      <c r="S25" s="1568">
        <f>F25</f>
        <v>100</v>
      </c>
      <c r="T25" s="1567" t="s">
        <v>8</v>
      </c>
      <c r="U25" s="1568">
        <f>H25</f>
        <v>100</v>
      </c>
      <c r="V25" s="1567" t="s">
        <v>8</v>
      </c>
      <c r="W25" s="1568">
        <f>J25</f>
        <v>100</v>
      </c>
      <c r="X25" s="1569"/>
      <c r="Y25" s="3439"/>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1"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1"/>
      <c r="Q27" s="1604" t="str">
        <f t="shared" si="11"/>
        <v>成新率</v>
      </c>
      <c r="R27" s="1576" t="s">
        <v>8</v>
      </c>
      <c r="S27" s="1577" t="e">
        <f t="shared" si="12"/>
        <v>#N/A</v>
      </c>
      <c r="T27" s="1576" t="s">
        <v>8</v>
      </c>
      <c r="U27" s="1577" t="e">
        <f t="shared" si="13"/>
        <v>#N/A</v>
      </c>
      <c r="V27" s="1576" t="s">
        <v>8</v>
      </c>
      <c r="W27" s="1577" t="e">
        <f t="shared" si="14"/>
        <v>#N/A</v>
      </c>
      <c r="X27" s="1578"/>
      <c r="Y27" s="344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1"/>
      <c r="Q28" s="1571" t="str">
        <f t="shared" si="11"/>
        <v>物业等级</v>
      </c>
      <c r="R28" s="1572" t="s">
        <v>8</v>
      </c>
      <c r="S28" s="1573">
        <f t="shared" si="12"/>
        <v>100</v>
      </c>
      <c r="T28" s="1572" t="s">
        <v>8</v>
      </c>
      <c r="U28" s="1573">
        <f t="shared" si="13"/>
        <v>100</v>
      </c>
      <c r="V28" s="1572" t="s">
        <v>8</v>
      </c>
      <c r="W28" s="1573">
        <f t="shared" si="14"/>
        <v>100</v>
      </c>
      <c r="X28" s="1566"/>
      <c r="Y28" s="3441"/>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1"/>
      <c r="Q29" s="1571" t="str">
        <f t="shared" si="11"/>
        <v>有无电梯</v>
      </c>
      <c r="R29" s="1572" t="s">
        <v>8</v>
      </c>
      <c r="S29" s="1573">
        <f t="shared" si="12"/>
        <v>100</v>
      </c>
      <c r="T29" s="1572" t="s">
        <v>8</v>
      </c>
      <c r="U29" s="1573">
        <f t="shared" si="13"/>
        <v>100</v>
      </c>
      <c r="V29" s="1572" t="s">
        <v>8</v>
      </c>
      <c r="W29" s="1573">
        <f t="shared" si="14"/>
        <v>100</v>
      </c>
      <c r="X29" s="1566"/>
      <c r="Y29" s="3441"/>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1"/>
      <c r="Q30" s="1571" t="str">
        <f t="shared" si="11"/>
        <v>建筑面积</v>
      </c>
      <c r="R30" s="1572" t="s">
        <v>8</v>
      </c>
      <c r="S30" s="1573" t="e">
        <f t="shared" si="12"/>
        <v>#N/A</v>
      </c>
      <c r="T30" s="1572" t="s">
        <v>8</v>
      </c>
      <c r="U30" s="1573" t="e">
        <f t="shared" si="13"/>
        <v>#N/A</v>
      </c>
      <c r="V30" s="1572" t="s">
        <v>8</v>
      </c>
      <c r="W30" s="1573" t="e">
        <f t="shared" si="14"/>
        <v>#N/A</v>
      </c>
      <c r="X30" s="1566"/>
      <c r="Y30" s="3441"/>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1"/>
      <c r="Q31" s="1151" t="str">
        <f t="shared" si="11"/>
        <v>是否封闭</v>
      </c>
      <c r="R31" s="1567" t="s">
        <v>8</v>
      </c>
      <c r="S31" s="1568">
        <f t="shared" si="12"/>
        <v>100</v>
      </c>
      <c r="T31" s="1567" t="s">
        <v>8</v>
      </c>
      <c r="U31" s="1568">
        <f t="shared" si="13"/>
        <v>100</v>
      </c>
      <c r="V31" s="1567" t="s">
        <v>8</v>
      </c>
      <c r="W31" s="1568">
        <f t="shared" si="14"/>
        <v>100</v>
      </c>
      <c r="X31" s="1569"/>
      <c r="Y31" s="3441"/>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1" t="s">
        <v>549</v>
      </c>
      <c r="Q32" s="1571">
        <f t="shared" si="11"/>
        <v>111</v>
      </c>
      <c r="R32" s="1572" t="s">
        <v>8</v>
      </c>
      <c r="S32" s="1573">
        <f t="shared" si="12"/>
        <v>100</v>
      </c>
      <c r="T32" s="1572" t="s">
        <v>8</v>
      </c>
      <c r="U32" s="1573">
        <f t="shared" si="13"/>
        <v>100</v>
      </c>
      <c r="V32" s="1572" t="s">
        <v>8</v>
      </c>
      <c r="W32" s="1573">
        <f t="shared" si="14"/>
        <v>100</v>
      </c>
      <c r="X32" s="1566"/>
      <c r="Y32" s="3441"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1"/>
      <c r="Q33" s="1571">
        <f t="shared" si="11"/>
        <v>111</v>
      </c>
      <c r="R33" s="1572" t="s">
        <v>8</v>
      </c>
      <c r="S33" s="1573">
        <f t="shared" si="12"/>
        <v>100</v>
      </c>
      <c r="T33" s="1572" t="s">
        <v>8</v>
      </c>
      <c r="U33" s="1573">
        <f t="shared" si="13"/>
        <v>100</v>
      </c>
      <c r="V33" s="1572" t="s">
        <v>8</v>
      </c>
      <c r="W33" s="1573">
        <f t="shared" si="14"/>
        <v>100</v>
      </c>
      <c r="X33" s="1566"/>
      <c r="Y33" s="3441"/>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1"/>
      <c r="Q34" s="1571">
        <f t="shared" si="11"/>
        <v>111</v>
      </c>
      <c r="R34" s="1572" t="s">
        <v>8</v>
      </c>
      <c r="S34" s="1573">
        <f t="shared" si="12"/>
        <v>100</v>
      </c>
      <c r="T34" s="1572" t="s">
        <v>8</v>
      </c>
      <c r="U34" s="1573">
        <f t="shared" si="13"/>
        <v>100</v>
      </c>
      <c r="V34" s="1572" t="s">
        <v>8</v>
      </c>
      <c r="W34" s="1573">
        <f t="shared" si="14"/>
        <v>100</v>
      </c>
      <c r="X34" s="1566"/>
      <c r="Y34" s="3441"/>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02" t="str">
        <f>A35</f>
        <v>成交单价（元/平方米）</v>
      </c>
      <c r="Q35" s="3402"/>
      <c r="R35" s="3496">
        <f>E35</f>
        <v>0</v>
      </c>
      <c r="S35" s="3496"/>
      <c r="T35" s="3496">
        <f>G35</f>
        <v>0</v>
      </c>
      <c r="U35" s="3496"/>
      <c r="V35" s="3496">
        <f>I35</f>
        <v>0</v>
      </c>
      <c r="W35" s="3496"/>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02" t="str">
        <f>A36</f>
        <v>比较价格（元/平方米）</v>
      </c>
      <c r="Q36" s="340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399" t="str">
        <f>A37</f>
        <v>估价对象XX用房的比较价格（楼面单价，元/平方米）</v>
      </c>
      <c r="Q37" s="3400"/>
      <c r="R37" s="3497" t="e">
        <f>IF(F1="售价",ROUND(AVERAGE(R36:V36),0),ROUND(AVERAGE(R36:V36),1))</f>
        <v>#DIV/0!</v>
      </c>
      <c r="S37" s="3497"/>
      <c r="T37" s="3497"/>
      <c r="U37" s="3497"/>
      <c r="V37" s="3497"/>
      <c r="W37" s="349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2" t="s">
        <v>2304</v>
      </c>
      <c r="D1" s="3533"/>
      <c r="E1" s="3533"/>
      <c r="F1" s="3533"/>
      <c r="G1" s="3533"/>
      <c r="H1" s="3533"/>
      <c r="I1" s="3533"/>
      <c r="J1" s="3533"/>
      <c r="K1" s="3533"/>
      <c r="L1" s="3533"/>
      <c r="M1" s="3533"/>
      <c r="N1" s="3533"/>
      <c r="O1" s="3533"/>
      <c r="P1" s="3533"/>
      <c r="Q1" s="3533"/>
      <c r="R1" s="3533"/>
      <c r="S1" s="3534"/>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9" t="s">
        <v>2039</v>
      </c>
      <c r="B1" s="3239"/>
      <c r="C1" s="3239"/>
      <c r="D1" s="3239"/>
      <c r="E1" s="3239"/>
      <c r="F1" s="3239"/>
      <c r="G1" s="3239"/>
      <c r="H1" s="3239"/>
      <c r="I1" s="3239"/>
      <c r="J1" s="3239"/>
      <c r="K1" s="3239"/>
      <c r="L1" s="3239"/>
      <c r="M1" s="3239"/>
      <c r="N1" s="3239"/>
      <c r="O1" s="3239"/>
      <c r="P1" s="3239"/>
      <c r="Q1" s="3239"/>
      <c r="R1" s="3239"/>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0" t="s">
        <v>2030</v>
      </c>
      <c r="B3" s="3240" t="s">
        <v>2728</v>
      </c>
      <c r="C3" s="3241" t="s">
        <v>2031</v>
      </c>
      <c r="D3" s="3240" t="s">
        <v>2732</v>
      </c>
      <c r="E3" s="3235" t="s">
        <v>2032</v>
      </c>
      <c r="F3" s="3235"/>
      <c r="G3" s="3235"/>
      <c r="H3" s="3235" t="s">
        <v>2033</v>
      </c>
      <c r="I3" s="3235"/>
      <c r="J3" s="3235"/>
      <c r="K3" s="3241" t="s">
        <v>2034</v>
      </c>
      <c r="L3" s="3241" t="s">
        <v>2035</v>
      </c>
      <c r="M3" s="3240" t="s">
        <v>2729</v>
      </c>
      <c r="N3" s="3242" t="str">
        <f>"（分摊）"&amp;项目基本情况!B16&amp;"国有建设用地使用权面积/㎡"</f>
        <v>（分摊）出让国有建设用地使用权面积/㎡</v>
      </c>
      <c r="O3" s="3240" t="s">
        <v>2064</v>
      </c>
      <c r="P3" s="3241" t="s">
        <v>2044</v>
      </c>
      <c r="Q3" s="3241" t="s">
        <v>2065</v>
      </c>
      <c r="R3" s="3241" t="s">
        <v>2036</v>
      </c>
    </row>
    <row r="4" spans="1:18" ht="36.75" customHeight="1">
      <c r="A4" s="3240"/>
      <c r="B4" s="3240"/>
      <c r="C4" s="3241"/>
      <c r="D4" s="3240"/>
      <c r="E4" s="2649" t="s">
        <v>2043</v>
      </c>
      <c r="F4" s="2649" t="s">
        <v>2741</v>
      </c>
      <c r="G4" s="2649" t="s">
        <v>2037</v>
      </c>
      <c r="H4" s="2649" t="s">
        <v>2038</v>
      </c>
      <c r="I4" s="2649" t="s">
        <v>2742</v>
      </c>
      <c r="J4" s="2649" t="s">
        <v>2037</v>
      </c>
      <c r="K4" s="3241"/>
      <c r="L4" s="3241"/>
      <c r="M4" s="3240"/>
      <c r="N4" s="3242"/>
      <c r="O4" s="3240"/>
      <c r="P4" s="3241"/>
      <c r="Q4" s="3241"/>
      <c r="R4" s="3241"/>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5674</v>
      </c>
      <c r="Q5" s="1810">
        <f ca="1">结果表!D42</f>
        <v>3783</v>
      </c>
      <c r="R5" s="1811">
        <f ca="1">结果表!C42</f>
        <v>38602</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12">
        <f ca="1">结果表!O39</f>
        <v>38602</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2"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44" t="s">
        <v>2066</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2067</v>
      </c>
      <c r="B5" s="3243"/>
      <c r="C5" s="3243"/>
      <c r="D5" s="3243"/>
    </row>
    <row r="6" spans="1:4">
      <c r="A6" s="3244" t="s">
        <v>2045</v>
      </c>
      <c r="B6" s="3244"/>
      <c r="C6" s="3244"/>
      <c r="D6" s="3244"/>
    </row>
    <row r="7" spans="1:4" ht="33" customHeight="1">
      <c r="A7" s="3244" t="s">
        <v>2573</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3" t="s">
        <v>2069</v>
      </c>
      <c r="B12" s="3243"/>
      <c r="C12" s="3243"/>
      <c r="D12" s="3243"/>
    </row>
    <row r="13" spans="1:4">
      <c r="A13" s="3247" t="s">
        <v>2743</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2699</v>
      </c>
      <c r="B17" s="3244"/>
      <c r="C17" s="3244"/>
      <c r="D17" s="3244"/>
    </row>
    <row r="18" spans="1:4">
      <c r="A18" s="3244" t="s">
        <v>2691</v>
      </c>
      <c r="B18" s="3244"/>
      <c r="C18" s="3244"/>
      <c r="D18" s="3244"/>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44" t="s">
        <v>2696</v>
      </c>
      <c r="B23" s="3244"/>
      <c r="C23" s="3244"/>
      <c r="D23" s="3244"/>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55" t="s">
        <v>53</v>
      </c>
      <c r="B15" s="3256" t="s">
        <v>845</v>
      </c>
      <c r="C15" s="3252"/>
    </row>
    <row r="16" spans="1:7" ht="14.4">
      <c r="A16" s="3255"/>
      <c r="B16" s="3253" t="s">
        <v>54</v>
      </c>
      <c r="C16" s="1172" t="s">
        <v>53</v>
      </c>
    </row>
    <row r="17" spans="1:3" ht="14.4">
      <c r="A17" s="3255"/>
      <c r="B17" s="3253"/>
      <c r="C17" s="1172" t="s">
        <v>55</v>
      </c>
    </row>
    <row r="18" spans="1:3" ht="14.4">
      <c r="A18" s="3255"/>
      <c r="B18" s="3253"/>
      <c r="C18" s="1172" t="s">
        <v>56</v>
      </c>
    </row>
    <row r="19" spans="1:3" ht="14.4">
      <c r="A19" s="3255"/>
      <c r="B19" s="3251" t="s">
        <v>57</v>
      </c>
      <c r="C19" s="3252"/>
    </row>
    <row r="20" spans="1:3" ht="14.4">
      <c r="A20" s="1173" t="s">
        <v>58</v>
      </c>
      <c r="B20" s="1174"/>
      <c r="C20" s="1175"/>
    </row>
    <row r="21" spans="1:3" ht="14.4">
      <c r="A21" s="3254" t="s">
        <v>59</v>
      </c>
      <c r="B21" s="3251" t="s">
        <v>60</v>
      </c>
      <c r="C21" s="3252"/>
    </row>
    <row r="22" spans="1:3" ht="14.4">
      <c r="A22" s="3254"/>
      <c r="B22" s="3251" t="s">
        <v>61</v>
      </c>
      <c r="C22" s="3252"/>
    </row>
    <row r="23" spans="1:3" ht="14.4">
      <c r="A23" s="3254"/>
      <c r="B23" s="3251" t="s">
        <v>62</v>
      </c>
      <c r="C23" s="3252"/>
    </row>
    <row r="24" spans="1:3" ht="14.4">
      <c r="A24" s="3254"/>
      <c r="B24" s="3257" t="s">
        <v>63</v>
      </c>
      <c r="C24" s="1176" t="s">
        <v>836</v>
      </c>
    </row>
    <row r="25" spans="1:3" ht="14.4">
      <c r="A25" s="3254"/>
      <c r="B25" s="3258"/>
      <c r="C25" s="1176" t="s">
        <v>837</v>
      </c>
    </row>
    <row r="26" spans="1:3" ht="14.4">
      <c r="A26" s="3254"/>
      <c r="B26" s="3258"/>
      <c r="C26" s="1176" t="s">
        <v>838</v>
      </c>
    </row>
    <row r="27" spans="1:3" ht="14.4">
      <c r="A27" s="3254"/>
      <c r="B27" s="3258"/>
      <c r="C27" s="1176" t="s">
        <v>839</v>
      </c>
    </row>
    <row r="28" spans="1:3" ht="14.4">
      <c r="A28" s="3254"/>
      <c r="B28" s="3258"/>
      <c r="C28" s="1176" t="s">
        <v>840</v>
      </c>
    </row>
    <row r="29" spans="1:3" ht="14.4">
      <c r="A29" s="3254"/>
      <c r="B29" s="3258"/>
      <c r="C29" s="1176" t="s">
        <v>841</v>
      </c>
    </row>
    <row r="30" spans="1:3" ht="14.4">
      <c r="A30" s="3254"/>
      <c r="B30" s="3258"/>
      <c r="C30" s="1176" t="s">
        <v>842</v>
      </c>
    </row>
    <row r="31" spans="1:3" ht="14.4">
      <c r="A31" s="3254"/>
      <c r="B31" s="3258"/>
      <c r="C31" s="1176" t="s">
        <v>843</v>
      </c>
    </row>
    <row r="32" spans="1:3" ht="14.4">
      <c r="A32" s="3254"/>
      <c r="B32" s="3258"/>
      <c r="C32" s="1176" t="s">
        <v>1646</v>
      </c>
    </row>
    <row r="33" spans="1:3" ht="14.4">
      <c r="A33" s="3254"/>
      <c r="B33" s="3248" t="s">
        <v>1652</v>
      </c>
      <c r="C33" s="1176" t="s">
        <v>1647</v>
      </c>
    </row>
    <row r="34" spans="1:3" ht="14.4">
      <c r="A34" s="3254"/>
      <c r="B34" s="3249"/>
      <c r="C34" s="1181" t="s">
        <v>1648</v>
      </c>
    </row>
    <row r="35" spans="1:3" ht="14.4">
      <c r="A35" s="3254"/>
      <c r="B35" s="3249"/>
      <c r="C35" s="1182" t="s">
        <v>1649</v>
      </c>
    </row>
    <row r="36" spans="1:3" ht="14.4">
      <c r="A36" s="3254"/>
      <c r="B36" s="3249"/>
      <c r="C36" s="1182" t="s">
        <v>1650</v>
      </c>
    </row>
    <row r="37" spans="1:3" ht="14.4">
      <c r="A37" s="3254"/>
      <c r="B37" s="3250"/>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59" t="s">
        <v>1927</v>
      </c>
      <c r="B25" s="3259"/>
      <c r="C25" s="3259"/>
      <c r="D25" s="3259"/>
      <c r="E25" s="3259"/>
      <c r="F25" s="3259"/>
      <c r="G25" s="3259"/>
    </row>
    <row r="26" spans="1:7" ht="20.25" customHeight="1">
      <c r="A26" s="3260" t="s">
        <v>1928</v>
      </c>
      <c r="B26" s="3260"/>
      <c r="C26" s="3260"/>
      <c r="D26" s="3260" t="s">
        <v>1929</v>
      </c>
      <c r="E26" s="3260"/>
      <c r="F26" s="3260"/>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26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2019-06-26T07:58:35Z</dcterms:modified>
</cp:coreProperties>
</file>