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D15" i="66" l="1"/>
  <c r="L12" i="81" l="1"/>
  <c r="B12" i="81" s="1"/>
  <c r="J12" i="81"/>
  <c r="H12" i="81"/>
  <c r="E5" i="81"/>
  <c r="B15" i="81" l="1"/>
  <c r="D9" i="81"/>
  <c r="D10" i="81"/>
  <c r="E4" i="81"/>
  <c r="E3" i="81"/>
  <c r="B3" i="81"/>
  <c r="B4" i="81"/>
  <c r="C3" i="81"/>
  <c r="D3" i="81" s="1"/>
  <c r="C4" i="81"/>
  <c r="D4" i="81" s="1"/>
  <c r="C5" i="81"/>
  <c r="D5" i="81" s="1"/>
  <c r="F9" i="81"/>
  <c r="F10" i="81"/>
  <c r="C13" i="81" l="1"/>
  <c r="I48" i="39"/>
  <c r="C16" i="81"/>
  <c r="B13" i="81"/>
  <c r="B16" i="81"/>
  <c r="G48" i="39" l="1"/>
  <c r="E48" i="39"/>
  <c r="B15" i="66" l="1"/>
  <c r="D103" i="78" l="1"/>
  <c r="E103" i="78" s="1"/>
  <c r="F103" i="78" s="1"/>
  <c r="G103" i="78" s="1"/>
  <c r="H103" i="78" s="1"/>
  <c r="I103" i="78" s="1"/>
  <c r="D73" i="39"/>
  <c r="E73" i="39" s="1"/>
  <c r="F73" i="39" s="1"/>
  <c r="G73" i="39" s="1"/>
  <c r="H73" i="39" s="1"/>
  <c r="I73" i="39" s="1"/>
  <c r="J73" i="39" s="1"/>
  <c r="K73" i="39" s="1"/>
  <c r="L73" i="39" s="1"/>
  <c r="M73" i="39" s="1"/>
  <c r="N73" i="39" s="1"/>
  <c r="I7" i="78"/>
  <c r="G7" i="78"/>
  <c r="A3" i="3" l="1"/>
  <c r="F25" i="79"/>
  <c r="C40" i="3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5" i="79"/>
  <c r="J5" i="79" s="1"/>
  <c r="H4" i="79"/>
  <c r="I13" i="3" s="1"/>
  <c r="I4" i="79"/>
  <c r="K13" i="3" s="1"/>
  <c r="H13" i="3" s="1"/>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D3" i="4"/>
  <c r="F20" i="6"/>
  <c r="E20" i="6" s="1"/>
  <c r="BB13" i="3"/>
  <c r="BC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R47" i="78"/>
  <c r="T47" i="78"/>
  <c r="V47" i="78"/>
  <c r="C5" i="78"/>
  <c r="C145" i="78"/>
  <c r="K139" i="78"/>
  <c r="J142" i="78"/>
  <c r="J140" i="78"/>
  <c r="B130" i="78"/>
  <c r="B128" i="78"/>
  <c r="J45" i="78" s="1"/>
  <c r="B126" i="78"/>
  <c r="E125" i="78"/>
  <c r="F125" i="78" s="1"/>
  <c r="G125" i="78"/>
  <c r="D125" i="78"/>
  <c r="E123" i="78"/>
  <c r="F123" i="78" s="1"/>
  <c r="D123" i="78"/>
  <c r="E119" i="78"/>
  <c r="F119" i="78" s="1"/>
  <c r="G119" i="78" s="1"/>
  <c r="H119" i="78" s="1"/>
  <c r="I119" i="78" s="1"/>
  <c r="J119" i="78" s="1"/>
  <c r="K119" i="78" s="1"/>
  <c r="L119" i="78" s="1"/>
  <c r="M119" i="78"/>
  <c r="D119" i="78"/>
  <c r="G117" i="78"/>
  <c r="D117" i="78"/>
  <c r="E117" i="78" s="1"/>
  <c r="F117" i="78" s="1"/>
  <c r="I115" i="78"/>
  <c r="J115" i="78" s="1"/>
  <c r="K115" i="78" s="1"/>
  <c r="L115" i="78" s="1"/>
  <c r="M115" i="78" s="1"/>
  <c r="D115" i="78"/>
  <c r="E115" i="78" s="1"/>
  <c r="F115" i="78" s="1"/>
  <c r="G115" i="78" s="1"/>
  <c r="H115" i="78" s="1"/>
  <c r="D113" i="78"/>
  <c r="E113" i="78"/>
  <c r="F113" i="78" s="1"/>
  <c r="G113" i="78" s="1"/>
  <c r="H113" i="78" s="1"/>
  <c r="H111" i="78"/>
  <c r="G111" i="78"/>
  <c r="F111" i="78"/>
  <c r="E111" i="78"/>
  <c r="D111" i="78"/>
  <c r="C111" i="78"/>
  <c r="I110" i="78"/>
  <c r="J110" i="78" s="1"/>
  <c r="K110" i="78" s="1"/>
  <c r="L110" i="78" s="1"/>
  <c r="M110" i="78" s="1"/>
  <c r="D110" i="78"/>
  <c r="E110" i="78"/>
  <c r="F110" i="78" s="1"/>
  <c r="G110" i="78" s="1"/>
  <c r="H110" i="78" s="1"/>
  <c r="D108" i="78"/>
  <c r="E108" i="78"/>
  <c r="F108" i="78" s="1"/>
  <c r="G108" i="78" s="1"/>
  <c r="H108" i="78" s="1"/>
  <c r="I108" i="78"/>
  <c r="J108" i="78" s="1"/>
  <c r="K108" i="78" s="1"/>
  <c r="L108" i="78" s="1"/>
  <c r="M108" i="78" s="1"/>
  <c r="I106" i="78"/>
  <c r="J106" i="78" s="1"/>
  <c r="K106" i="78" s="1"/>
  <c r="L106" i="78" s="1"/>
  <c r="M106" i="78" s="1"/>
  <c r="D106" i="78"/>
  <c r="E106" i="78"/>
  <c r="F106" i="78" s="1"/>
  <c r="G106" i="78" s="1"/>
  <c r="H106" i="78" s="1"/>
  <c r="M102" i="78"/>
  <c r="L102" i="78"/>
  <c r="K102" i="78"/>
  <c r="J102" i="78"/>
  <c r="I102" i="78"/>
  <c r="H102" i="78"/>
  <c r="G102" i="78"/>
  <c r="F102" i="78"/>
  <c r="E102" i="78"/>
  <c r="D102" i="78"/>
  <c r="C102" i="78"/>
  <c r="E101" i="78"/>
  <c r="F101" i="78" s="1"/>
  <c r="G101" i="78" s="1"/>
  <c r="H101" i="78" s="1"/>
  <c r="I101" i="78"/>
  <c r="J101" i="78" s="1"/>
  <c r="K101" i="78" s="1"/>
  <c r="L101" i="78" s="1"/>
  <c r="M101" i="78" s="1"/>
  <c r="D101" i="78"/>
  <c r="B98" i="78"/>
  <c r="B96" i="78"/>
  <c r="B94" i="78"/>
  <c r="B92" i="78"/>
  <c r="B90" i="78"/>
  <c r="I89" i="78"/>
  <c r="J89" i="78" s="1"/>
  <c r="K89" i="78" s="1"/>
  <c r="L89" i="78" s="1"/>
  <c r="M89" i="78" s="1"/>
  <c r="D89" i="78"/>
  <c r="E89" i="78"/>
  <c r="F89" i="78" s="1"/>
  <c r="G89" i="78" s="1"/>
  <c r="H89" i="78" s="1"/>
  <c r="M87" i="78"/>
  <c r="L87" i="78"/>
  <c r="K87" i="78"/>
  <c r="J87" i="78"/>
  <c r="I87" i="78"/>
  <c r="H87" i="78"/>
  <c r="G87" i="78"/>
  <c r="F87" i="78"/>
  <c r="E87" i="78"/>
  <c r="D87" i="78"/>
  <c r="D85" i="78"/>
  <c r="E85" i="78" s="1"/>
  <c r="F85" i="78" s="1"/>
  <c r="G85" i="78" s="1"/>
  <c r="D83" i="78"/>
  <c r="D81" i="78"/>
  <c r="E81" i="78" s="1"/>
  <c r="D79" i="78"/>
  <c r="E79" i="78" s="1"/>
  <c r="D77" i="78"/>
  <c r="E77" i="78" s="1"/>
  <c r="F77" i="78" s="1"/>
  <c r="G77" i="78" s="1"/>
  <c r="B74" i="78"/>
  <c r="B72" i="78"/>
  <c r="B70" i="78"/>
  <c r="M67" i="78"/>
  <c r="L67" i="78"/>
  <c r="K67" i="78"/>
  <c r="J67" i="78"/>
  <c r="I67" i="78"/>
  <c r="H67" i="78"/>
  <c r="G67" i="78"/>
  <c r="F67" i="78"/>
  <c r="E67" i="78"/>
  <c r="D67" i="78"/>
  <c r="C67" i="78"/>
  <c r="D66" i="78"/>
  <c r="E66" i="78" s="1"/>
  <c r="C63" i="78"/>
  <c r="I54" i="78"/>
  <c r="J54" i="78" s="1"/>
  <c r="G54" i="78"/>
  <c r="H54" i="78" s="1"/>
  <c r="E54" i="78"/>
  <c r="F54" i="78" s="1"/>
  <c r="P49" i="78"/>
  <c r="P48" i="78"/>
  <c r="P47" i="78"/>
  <c r="Q46" i="78"/>
  <c r="Z46" i="78"/>
  <c r="J46" i="78"/>
  <c r="AC46" i="78"/>
  <c r="H46" i="78"/>
  <c r="AB46" i="78"/>
  <c r="F46" i="78"/>
  <c r="AA46" i="78"/>
  <c r="Q45" i="78"/>
  <c r="Z45" i="78" s="1"/>
  <c r="H45" i="78"/>
  <c r="AB45" i="78" s="1"/>
  <c r="F45" i="78"/>
  <c r="Q44" i="78"/>
  <c r="Z44" i="78" s="1"/>
  <c r="J44" i="78"/>
  <c r="H44" i="78"/>
  <c r="AB44" i="78" s="1"/>
  <c r="F44" i="78"/>
  <c r="AA44" i="78" s="1"/>
  <c r="Q43" i="78"/>
  <c r="Z43" i="78" s="1"/>
  <c r="J43" i="78"/>
  <c r="H43" i="78"/>
  <c r="AB43" i="78" s="1"/>
  <c r="F43" i="78"/>
  <c r="Q42" i="78"/>
  <c r="Z42" i="78" s="1"/>
  <c r="Q41" i="78"/>
  <c r="Z41" i="78" s="1"/>
  <c r="J41" i="78"/>
  <c r="AC41" i="78" s="1"/>
  <c r="H41" i="78"/>
  <c r="F41" i="78"/>
  <c r="Q40" i="78"/>
  <c r="Z40" i="78" s="1"/>
  <c r="J40" i="78"/>
  <c r="H40" i="78"/>
  <c r="F40" i="78"/>
  <c r="AA40" i="78" s="1"/>
  <c r="Q39" i="78"/>
  <c r="Z39" i="78" s="1"/>
  <c r="J39" i="78"/>
  <c r="H39" i="78"/>
  <c r="F39" i="78"/>
  <c r="AA39" i="78" s="1"/>
  <c r="Q38" i="78"/>
  <c r="Z38" i="78" s="1"/>
  <c r="J38" i="78"/>
  <c r="AC38" i="78" s="1"/>
  <c r="H38" i="78"/>
  <c r="F38" i="78"/>
  <c r="Q37" i="78"/>
  <c r="Z37" i="78" s="1"/>
  <c r="J37" i="78"/>
  <c r="AC37" i="78" s="1"/>
  <c r="H37" i="78"/>
  <c r="AB37" i="78" s="1"/>
  <c r="F37" i="78"/>
  <c r="Q36" i="78"/>
  <c r="Z36" i="78" s="1"/>
  <c r="J36" i="78"/>
  <c r="H36" i="78"/>
  <c r="AB36" i="78" s="1"/>
  <c r="F36" i="78"/>
  <c r="AA36" i="78" s="1"/>
  <c r="Q35" i="78"/>
  <c r="Z35" i="78" s="1"/>
  <c r="J35" i="78"/>
  <c r="H35" i="78"/>
  <c r="F35" i="78"/>
  <c r="AA35" i="78" s="1"/>
  <c r="Q34" i="78"/>
  <c r="Z34" i="78" s="1"/>
  <c r="J34" i="78"/>
  <c r="AC34" i="78" s="1"/>
  <c r="H34" i="78"/>
  <c r="F34" i="78"/>
  <c r="Q33" i="78"/>
  <c r="Z33" i="78" s="1"/>
  <c r="Q32" i="78"/>
  <c r="Z32" i="78" s="1"/>
  <c r="J32" i="78"/>
  <c r="AC32" i="78" s="1"/>
  <c r="H32" i="78"/>
  <c r="AB32" i="78" s="1"/>
  <c r="F32" i="78"/>
  <c r="Q31" i="78"/>
  <c r="Z31" i="78" s="1"/>
  <c r="J31" i="78"/>
  <c r="H31" i="78"/>
  <c r="AB31" i="78" s="1"/>
  <c r="F31" i="78"/>
  <c r="Q30" i="78"/>
  <c r="Z30" i="78" s="1"/>
  <c r="J30" i="78"/>
  <c r="AC30" i="78" s="1"/>
  <c r="H30" i="78"/>
  <c r="AB30" i="78" s="1"/>
  <c r="F30" i="78"/>
  <c r="Q29" i="78"/>
  <c r="Z29" i="78" s="1"/>
  <c r="J29" i="78"/>
  <c r="H29" i="78"/>
  <c r="AB29" i="78" s="1"/>
  <c r="F29" i="78"/>
  <c r="Q28" i="78"/>
  <c r="Z28" i="78" s="1"/>
  <c r="J28" i="78"/>
  <c r="H28" i="78"/>
  <c r="F28" i="78"/>
  <c r="AA28" i="78" s="1"/>
  <c r="Q27" i="78"/>
  <c r="Z27" i="78" s="1"/>
  <c r="J27" i="78"/>
  <c r="AC27" i="78" s="1"/>
  <c r="H27" i="78"/>
  <c r="F27" i="78"/>
  <c r="Q26" i="78"/>
  <c r="Z26" i="78" s="1"/>
  <c r="J26" i="78"/>
  <c r="H26" i="78"/>
  <c r="AB26" i="78" s="1"/>
  <c r="F26" i="78"/>
  <c r="Q25" i="78"/>
  <c r="Z25" i="78" s="1"/>
  <c r="J25" i="78"/>
  <c r="H25" i="78"/>
  <c r="AB25" i="78" s="1"/>
  <c r="F25" i="78"/>
  <c r="AA25" i="78" s="1"/>
  <c r="Q23" i="78"/>
  <c r="Z23" i="78" s="1"/>
  <c r="C23" i="78"/>
  <c r="Q21" i="78"/>
  <c r="Z21" i="78"/>
  <c r="H21" i="78"/>
  <c r="C21" i="78"/>
  <c r="Q19" i="78"/>
  <c r="Z19" i="78"/>
  <c r="C19" i="78"/>
  <c r="Q17" i="78"/>
  <c r="Z17" i="78" s="1"/>
  <c r="C17" i="78"/>
  <c r="Q15" i="78"/>
  <c r="Z15" i="78"/>
  <c r="J15" i="78"/>
  <c r="AC15" i="78" s="1"/>
  <c r="H15" i="78"/>
  <c r="AB15" i="78" s="1"/>
  <c r="F15" i="78"/>
  <c r="AA15" i="78" s="1"/>
  <c r="C15" i="78"/>
  <c r="Q14" i="78"/>
  <c r="Z14" i="78"/>
  <c r="Q13" i="78"/>
  <c r="Z13" i="78"/>
  <c r="J13" i="78"/>
  <c r="AC13" i="78"/>
  <c r="H13" i="78"/>
  <c r="AB13" i="78"/>
  <c r="F13" i="78"/>
  <c r="AA13" i="78"/>
  <c r="Q12" i="78"/>
  <c r="Z12" i="78"/>
  <c r="Q11" i="78"/>
  <c r="Z11" i="78"/>
  <c r="Q10" i="78"/>
  <c r="Z10" i="78"/>
  <c r="Q9" i="78"/>
  <c r="Z9" i="78"/>
  <c r="J9" i="78"/>
  <c r="AC9" i="78"/>
  <c r="H9" i="78"/>
  <c r="AB9" i="78"/>
  <c r="F9" i="78"/>
  <c r="AA9" i="78"/>
  <c r="S8" i="78"/>
  <c r="J8" i="78"/>
  <c r="W8" i="78" s="1"/>
  <c r="AC8" i="78"/>
  <c r="H8" i="78"/>
  <c r="U8" i="78"/>
  <c r="F8" i="78"/>
  <c r="AA8" i="78"/>
  <c r="Q73" i="77"/>
  <c r="Q60" i="77"/>
  <c r="D60" i="77"/>
  <c r="Q59" i="77"/>
  <c r="K59" i="77"/>
  <c r="P75" i="77"/>
  <c r="F58" i="77"/>
  <c r="Q52" i="77"/>
  <c r="J50" i="77"/>
  <c r="M47" i="77"/>
  <c r="L46" i="77" s="1"/>
  <c r="F33" i="77"/>
  <c r="F60" i="77" s="1"/>
  <c r="F31" i="77"/>
  <c r="F23" i="77"/>
  <c r="D24" i="77" s="1"/>
  <c r="D23" i="77"/>
  <c r="F21" i="77"/>
  <c r="F20" i="77"/>
  <c r="M19" i="77"/>
  <c r="F18" i="77"/>
  <c r="M17" i="77"/>
  <c r="F17" i="77"/>
  <c r="F15" i="77"/>
  <c r="U32" i="78"/>
  <c r="AB8" i="78"/>
  <c r="S9" i="78"/>
  <c r="W9" i="78"/>
  <c r="U13" i="78"/>
  <c r="S15" i="78"/>
  <c r="U25" i="78"/>
  <c r="S28" i="78"/>
  <c r="U29" i="78"/>
  <c r="W30" i="78"/>
  <c r="U9" i="78"/>
  <c r="S13" i="78"/>
  <c r="W13" i="78"/>
  <c r="U26" i="78"/>
  <c r="U30" i="78"/>
  <c r="K143" i="78"/>
  <c r="K141" i="78"/>
  <c r="U31" i="78"/>
  <c r="W32" i="78"/>
  <c r="S35" i="78"/>
  <c r="U36" i="78"/>
  <c r="W37" i="78"/>
  <c r="S39" i="78"/>
  <c r="W41" i="78"/>
  <c r="U44" i="78"/>
  <c r="AC45" i="78"/>
  <c r="W45" i="78"/>
  <c r="S46" i="78"/>
  <c r="W34" i="78"/>
  <c r="S36" i="78"/>
  <c r="U37" i="78"/>
  <c r="W38" i="78"/>
  <c r="S40" i="78"/>
  <c r="U43" i="78"/>
  <c r="U45" i="78"/>
  <c r="W46" i="78"/>
  <c r="K145" i="78"/>
  <c r="U46" i="78"/>
  <c r="K144" i="78"/>
  <c r="P62" i="77"/>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L30" i="3" s="1"/>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L33" i="3" s="1"/>
  <c r="BQ33" i="3"/>
  <c r="BR33" i="3"/>
  <c r="BS33" i="3"/>
  <c r="BT33" i="3"/>
  <c r="BB34" i="3"/>
  <c r="BC34" i="3"/>
  <c r="BD34" i="3"/>
  <c r="BA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L37" i="3" s="1"/>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L41" i="3" s="1"/>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L45" i="3" s="1"/>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L49" i="3" s="1"/>
  <c r="BQ49" i="3"/>
  <c r="BR49" i="3"/>
  <c r="BS49" i="3"/>
  <c r="BT49" i="3"/>
  <c r="BB50" i="3"/>
  <c r="BC50" i="3"/>
  <c r="BD50" i="3"/>
  <c r="BA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L53" i="3" s="1"/>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O61" i="3"/>
  <c r="BP61" i="3"/>
  <c r="BQ61" i="3"/>
  <c r="BL61" i="3" s="1"/>
  <c r="BR61" i="3"/>
  <c r="BS61" i="3"/>
  <c r="BT61" i="3"/>
  <c r="BB62" i="3"/>
  <c r="BC62" i="3"/>
  <c r="BD62" i="3"/>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s="1"/>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s="1"/>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s="1"/>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L79" i="3" s="1"/>
  <c r="BR79" i="3"/>
  <c r="BS79" i="3"/>
  <c r="BT79" i="3"/>
  <c r="BB80" i="3"/>
  <c r="BC80" i="3"/>
  <c r="BD80" i="3"/>
  <c r="BE80" i="3"/>
  <c r="BF80" i="3"/>
  <c r="BG80" i="3"/>
  <c r="BH80" i="3"/>
  <c r="BI80" i="3"/>
  <c r="BJ80" i="3"/>
  <c r="BK80" i="3"/>
  <c r="BM80" i="3"/>
  <c r="BN80" i="3"/>
  <c r="BO80" i="3"/>
  <c r="BP80" i="3"/>
  <c r="BQ80" i="3"/>
  <c r="BR80" i="3"/>
  <c r="BS80" i="3"/>
  <c r="BT80" i="3"/>
  <c r="BL80" i="3"/>
  <c r="BB81" i="3"/>
  <c r="BC81" i="3"/>
  <c r="BA81" i="3" s="1"/>
  <c r="BD81" i="3"/>
  <c r="BE81" i="3"/>
  <c r="BF81" i="3"/>
  <c r="BG81" i="3"/>
  <c r="BH81" i="3"/>
  <c r="BI81" i="3"/>
  <c r="BJ81" i="3"/>
  <c r="BK81" i="3"/>
  <c r="BM81" i="3"/>
  <c r="BN81" i="3"/>
  <c r="BO81" i="3"/>
  <c r="BP81" i="3"/>
  <c r="BQ81" i="3"/>
  <c r="BR81" i="3"/>
  <c r="BS81" i="3"/>
  <c r="BT81" i="3"/>
  <c r="BB82" i="3"/>
  <c r="BC82" i="3"/>
  <c r="BD82" i="3"/>
  <c r="BA82" i="3"/>
  <c r="BE82" i="3"/>
  <c r="BF82" i="3"/>
  <c r="BG82" i="3"/>
  <c r="BH82" i="3"/>
  <c r="BI82" i="3"/>
  <c r="BJ82" i="3"/>
  <c r="BK82" i="3"/>
  <c r="BM82" i="3"/>
  <c r="BN82" i="3"/>
  <c r="BO82" i="3"/>
  <c r="BP82" i="3"/>
  <c r="BQ82" i="3"/>
  <c r="BR82" i="3"/>
  <c r="BS82" i="3"/>
  <c r="BT82" i="3"/>
  <c r="BB83" i="3"/>
  <c r="BC83" i="3"/>
  <c r="BA83" i="3"/>
  <c r="BD83" i="3"/>
  <c r="BE83" i="3"/>
  <c r="BF83" i="3"/>
  <c r="BG83" i="3"/>
  <c r="BH83" i="3"/>
  <c r="BI83" i="3"/>
  <c r="BJ83" i="3"/>
  <c r="BK83" i="3"/>
  <c r="BM83" i="3"/>
  <c r="BN83" i="3"/>
  <c r="BO83" i="3"/>
  <c r="BP83" i="3"/>
  <c r="BQ83" i="3"/>
  <c r="BR83" i="3"/>
  <c r="BS83" i="3"/>
  <c r="BT83" i="3"/>
  <c r="BB84" i="3"/>
  <c r="BC84" i="3"/>
  <c r="BD84" i="3"/>
  <c r="BA84" i="3"/>
  <c r="BE84" i="3"/>
  <c r="BF84" i="3"/>
  <c r="BG84" i="3"/>
  <c r="BH84" i="3"/>
  <c r="BI84" i="3"/>
  <c r="BJ84" i="3"/>
  <c r="BK84" i="3"/>
  <c r="BM84" i="3"/>
  <c r="BN84" i="3"/>
  <c r="BO84" i="3"/>
  <c r="BP84" i="3"/>
  <c r="BQ84" i="3"/>
  <c r="BR84" i="3"/>
  <c r="BS84" i="3"/>
  <c r="BT84" i="3"/>
  <c r="BB85" i="3"/>
  <c r="BC85" i="3"/>
  <c r="BD85" i="3"/>
  <c r="BE85" i="3"/>
  <c r="BA85" i="3" s="1"/>
  <c r="BF85" i="3"/>
  <c r="BG85" i="3"/>
  <c r="BH85" i="3"/>
  <c r="BI85" i="3"/>
  <c r="BJ85" i="3"/>
  <c r="BK85" i="3"/>
  <c r="BM85" i="3"/>
  <c r="BN85" i="3"/>
  <c r="BO85" i="3"/>
  <c r="BP85" i="3"/>
  <c r="BQ85" i="3"/>
  <c r="BL85" i="3" s="1"/>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M87" i="3"/>
  <c r="BN87" i="3"/>
  <c r="BO87" i="3"/>
  <c r="BP87" i="3"/>
  <c r="BQ87" i="3"/>
  <c r="BL87" i="3" s="1"/>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M89" i="3"/>
  <c r="BN89" i="3"/>
  <c r="BO89" i="3"/>
  <c r="BP89" i="3"/>
  <c r="BQ89" i="3"/>
  <c r="BL89" i="3" s="1"/>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A97" i="3" s="1"/>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L98" i="3"/>
  <c r="BB99" i="3"/>
  <c r="BC99" i="3"/>
  <c r="BA99" i="3" s="1"/>
  <c r="BD99" i="3"/>
  <c r="BE99" i="3"/>
  <c r="BF99" i="3"/>
  <c r="BG99" i="3"/>
  <c r="BH99" i="3"/>
  <c r="BI99" i="3"/>
  <c r="BJ99" i="3"/>
  <c r="BK99" i="3"/>
  <c r="BM99" i="3"/>
  <c r="BN99" i="3"/>
  <c r="BO99" i="3"/>
  <c r="BP99" i="3"/>
  <c r="BQ99" i="3"/>
  <c r="BL99" i="3" s="1"/>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A101" i="3" s="1"/>
  <c r="BD101" i="3"/>
  <c r="BE101" i="3"/>
  <c r="BF101" i="3"/>
  <c r="BG101" i="3"/>
  <c r="BH101" i="3"/>
  <c r="BI101" i="3"/>
  <c r="BJ101" i="3"/>
  <c r="BK101" i="3"/>
  <c r="BM101" i="3"/>
  <c r="BN101" i="3"/>
  <c r="BO101" i="3"/>
  <c r="BP101" i="3"/>
  <c r="BQ101" i="3"/>
  <c r="BR101" i="3"/>
  <c r="BS101" i="3"/>
  <c r="BT101" i="3"/>
  <c r="BB102" i="3"/>
  <c r="BC102" i="3"/>
  <c r="BD102" i="3"/>
  <c r="BA102" i="3"/>
  <c r="BE102" i="3"/>
  <c r="BF102" i="3"/>
  <c r="BG102" i="3"/>
  <c r="BH102" i="3"/>
  <c r="BI102" i="3"/>
  <c r="BJ102" i="3"/>
  <c r="BK102" i="3"/>
  <c r="BM102" i="3"/>
  <c r="BN102" i="3"/>
  <c r="BO102" i="3"/>
  <c r="BP102" i="3"/>
  <c r="BQ102" i="3"/>
  <c r="BR102" i="3"/>
  <c r="BS102" i="3"/>
  <c r="BT102" i="3"/>
  <c r="BB103" i="3"/>
  <c r="BC103" i="3"/>
  <c r="BA103" i="3"/>
  <c r="BD103" i="3"/>
  <c r="BE103" i="3"/>
  <c r="BF103" i="3"/>
  <c r="BG103" i="3"/>
  <c r="BH103" i="3"/>
  <c r="BI103" i="3"/>
  <c r="BJ103" i="3"/>
  <c r="BK103" i="3"/>
  <c r="BM103" i="3"/>
  <c r="BN103" i="3"/>
  <c r="BO103" i="3"/>
  <c r="BP103" i="3"/>
  <c r="BQ103" i="3"/>
  <c r="BR103" i="3"/>
  <c r="BS103" i="3"/>
  <c r="BT103" i="3"/>
  <c r="BB104" i="3"/>
  <c r="BC104" i="3"/>
  <c r="BD104" i="3"/>
  <c r="BE104" i="3"/>
  <c r="BA104" i="3" s="1"/>
  <c r="BF104" i="3"/>
  <c r="BG104" i="3"/>
  <c r="BH104" i="3"/>
  <c r="BI104" i="3"/>
  <c r="BJ104" i="3"/>
  <c r="BK104" i="3"/>
  <c r="BM104" i="3"/>
  <c r="BN104" i="3"/>
  <c r="BO104" i="3"/>
  <c r="BP104" i="3"/>
  <c r="BQ104" i="3"/>
  <c r="BR104" i="3"/>
  <c r="BS104" i="3"/>
  <c r="BT104" i="3"/>
  <c r="BB105" i="3"/>
  <c r="BC105" i="3"/>
  <c r="BD105" i="3"/>
  <c r="BA105" i="3" s="1"/>
  <c r="BE105" i="3"/>
  <c r="BF105" i="3"/>
  <c r="BG105" i="3"/>
  <c r="BH105" i="3"/>
  <c r="BI105" i="3"/>
  <c r="BJ105" i="3"/>
  <c r="BK105" i="3"/>
  <c r="BM105" i="3"/>
  <c r="BN105" i="3"/>
  <c r="BO105" i="3"/>
  <c r="BP105" i="3"/>
  <c r="BQ105" i="3"/>
  <c r="BR105" i="3"/>
  <c r="BS105" i="3"/>
  <c r="BT105" i="3"/>
  <c r="BB106" i="3"/>
  <c r="BC106" i="3"/>
  <c r="BD106" i="3"/>
  <c r="BE106" i="3"/>
  <c r="BA106" i="3" s="1"/>
  <c r="BF106" i="3"/>
  <c r="BG106" i="3"/>
  <c r="BH106" i="3"/>
  <c r="BI106" i="3"/>
  <c r="BJ106" i="3"/>
  <c r="BK106" i="3"/>
  <c r="BM106" i="3"/>
  <c r="BN106" i="3"/>
  <c r="BO106" i="3"/>
  <c r="BP106" i="3"/>
  <c r="BQ106" i="3"/>
  <c r="BR106" i="3"/>
  <c r="BS106" i="3"/>
  <c r="BT106" i="3"/>
  <c r="BB107" i="3"/>
  <c r="BC107" i="3"/>
  <c r="BD107" i="3"/>
  <c r="BA107" i="3" s="1"/>
  <c r="BE107" i="3"/>
  <c r="BF107" i="3"/>
  <c r="BG107" i="3"/>
  <c r="BH107" i="3"/>
  <c r="BI107" i="3"/>
  <c r="BJ107" i="3"/>
  <c r="BK107" i="3"/>
  <c r="BM107" i="3"/>
  <c r="BN107" i="3"/>
  <c r="BO107" i="3"/>
  <c r="BP107" i="3"/>
  <c r="BQ107" i="3"/>
  <c r="BR107" i="3"/>
  <c r="BS107" i="3"/>
  <c r="BT107" i="3"/>
  <c r="BB108" i="3"/>
  <c r="BC108" i="3"/>
  <c r="BD108" i="3"/>
  <c r="BE108" i="3"/>
  <c r="BA108" i="3" s="1"/>
  <c r="BF108" i="3"/>
  <c r="BG108" i="3"/>
  <c r="BH108" i="3"/>
  <c r="BI108" i="3"/>
  <c r="BJ108" i="3"/>
  <c r="BK108" i="3"/>
  <c r="BM108" i="3"/>
  <c r="BN108" i="3"/>
  <c r="BO108" i="3"/>
  <c r="BP108" i="3"/>
  <c r="BQ108" i="3"/>
  <c r="BR108" i="3"/>
  <c r="BS108" i="3"/>
  <c r="BT108" i="3"/>
  <c r="BB109" i="3"/>
  <c r="BC109" i="3"/>
  <c r="BD109" i="3"/>
  <c r="BA109" i="3" s="1"/>
  <c r="BE109" i="3"/>
  <c r="BF109" i="3"/>
  <c r="BG109" i="3"/>
  <c r="BH109" i="3"/>
  <c r="BI109" i="3"/>
  <c r="BJ109" i="3"/>
  <c r="BK109" i="3"/>
  <c r="BM109" i="3"/>
  <c r="BN109" i="3"/>
  <c r="BO109" i="3"/>
  <c r="BP109" i="3"/>
  <c r="BQ109" i="3"/>
  <c r="BR109" i="3"/>
  <c r="BS109" i="3"/>
  <c r="BT109" i="3"/>
  <c r="BB110" i="3"/>
  <c r="BC110" i="3"/>
  <c r="BD110" i="3"/>
  <c r="BE110" i="3"/>
  <c r="BA110" i="3" s="1"/>
  <c r="BF110" i="3"/>
  <c r="BG110" i="3"/>
  <c r="BH110" i="3"/>
  <c r="BI110" i="3"/>
  <c r="BJ110" i="3"/>
  <c r="BK110" i="3"/>
  <c r="BM110" i="3"/>
  <c r="BN110" i="3"/>
  <c r="BO110" i="3"/>
  <c r="BP110" i="3"/>
  <c r="BQ110" i="3"/>
  <c r="BR110" i="3"/>
  <c r="BS110" i="3"/>
  <c r="BT110" i="3"/>
  <c r="BB111" i="3"/>
  <c r="BC111" i="3"/>
  <c r="BD111" i="3"/>
  <c r="BE111" i="3"/>
  <c r="BA111" i="3" s="1"/>
  <c r="BF111" i="3"/>
  <c r="BG111" i="3"/>
  <c r="BH111" i="3"/>
  <c r="BI111" i="3"/>
  <c r="BJ111" i="3"/>
  <c r="BK111" i="3"/>
  <c r="BM111" i="3"/>
  <c r="BN111" i="3"/>
  <c r="BO111" i="3"/>
  <c r="BP111" i="3"/>
  <c r="BQ111" i="3"/>
  <c r="BL111" i="3" s="1"/>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L113" i="3" s="1"/>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AZ115" i="3" s="1"/>
  <c r="BD115" i="3"/>
  <c r="BE115" i="3"/>
  <c r="BF115" i="3"/>
  <c r="BG115" i="3"/>
  <c r="BH115" i="3"/>
  <c r="BI115" i="3"/>
  <c r="BJ115" i="3"/>
  <c r="BK115" i="3"/>
  <c r="BM115" i="3"/>
  <c r="BN115" i="3"/>
  <c r="BO115" i="3"/>
  <c r="BP115" i="3"/>
  <c r="BQ115" i="3"/>
  <c r="BL115" i="3" s="1"/>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L117" i="3" s="1"/>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AZ119" i="3" s="1"/>
  <c r="BD119" i="3"/>
  <c r="BE119" i="3"/>
  <c r="BF119" i="3"/>
  <c r="BG119" i="3"/>
  <c r="BH119" i="3"/>
  <c r="BI119" i="3"/>
  <c r="BJ119" i="3"/>
  <c r="BK119" i="3"/>
  <c r="BM119" i="3"/>
  <c r="BN119" i="3"/>
  <c r="BO119" i="3"/>
  <c r="BP119" i="3"/>
  <c r="BQ119" i="3"/>
  <c r="BL119" i="3" s="1"/>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L121" i="3" s="1"/>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A124" i="3"/>
  <c r="BE124" i="3"/>
  <c r="BF124" i="3"/>
  <c r="BG124" i="3"/>
  <c r="BH124" i="3"/>
  <c r="BI124" i="3"/>
  <c r="BJ124" i="3"/>
  <c r="BK124" i="3"/>
  <c r="BM124" i="3"/>
  <c r="BN124" i="3"/>
  <c r="BO124" i="3"/>
  <c r="BP124" i="3"/>
  <c r="BQ124" i="3"/>
  <c r="BR124" i="3"/>
  <c r="BS124" i="3"/>
  <c r="BT124" i="3"/>
  <c r="BB125" i="3"/>
  <c r="BC125" i="3"/>
  <c r="BA125" i="3"/>
  <c r="BD125" i="3"/>
  <c r="BE125" i="3"/>
  <c r="BF125" i="3"/>
  <c r="BG125" i="3"/>
  <c r="BH125" i="3"/>
  <c r="BI125" i="3"/>
  <c r="BJ125" i="3"/>
  <c r="BK125" i="3"/>
  <c r="BM125" i="3"/>
  <c r="BN125" i="3"/>
  <c r="BO125" i="3"/>
  <c r="BP125" i="3"/>
  <c r="BQ125" i="3"/>
  <c r="BR125" i="3"/>
  <c r="BS125" i="3"/>
  <c r="BT125" i="3"/>
  <c r="BB126" i="3"/>
  <c r="BC126" i="3"/>
  <c r="BD126" i="3"/>
  <c r="BA126" i="3"/>
  <c r="BE126" i="3"/>
  <c r="BF126" i="3"/>
  <c r="BG126" i="3"/>
  <c r="BH126" i="3"/>
  <c r="BI126" i="3"/>
  <c r="BJ126" i="3"/>
  <c r="BK126" i="3"/>
  <c r="BM126" i="3"/>
  <c r="BN126" i="3"/>
  <c r="BO126" i="3"/>
  <c r="BP126" i="3"/>
  <c r="BQ126" i="3"/>
  <c r="BR126" i="3"/>
  <c r="BS126" i="3"/>
  <c r="BT126" i="3"/>
  <c r="BB127" i="3"/>
  <c r="BC127" i="3"/>
  <c r="BD127" i="3"/>
  <c r="BE127" i="3"/>
  <c r="BA127" i="3" s="1"/>
  <c r="BF127" i="3"/>
  <c r="BG127" i="3"/>
  <c r="BH127" i="3"/>
  <c r="BI127" i="3"/>
  <c r="BJ127" i="3"/>
  <c r="BK127" i="3"/>
  <c r="BM127" i="3"/>
  <c r="BN127" i="3"/>
  <c r="BO127" i="3"/>
  <c r="BP127" i="3"/>
  <c r="BQ127" i="3"/>
  <c r="BL127" i="3" s="1"/>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L129" i="3" s="1"/>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A132" i="3" s="1"/>
  <c r="BF132" i="3"/>
  <c r="BG132" i="3"/>
  <c r="BH132" i="3"/>
  <c r="BI132" i="3"/>
  <c r="BJ132" i="3"/>
  <c r="BK132" i="3"/>
  <c r="BM132" i="3"/>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A134" i="3" s="1"/>
  <c r="BF134" i="3"/>
  <c r="BG134" i="3"/>
  <c r="BH134" i="3"/>
  <c r="BI134" i="3"/>
  <c r="BJ134" i="3"/>
  <c r="BK134" i="3"/>
  <c r="BM134" i="3"/>
  <c r="BN134" i="3"/>
  <c r="BO134" i="3"/>
  <c r="BP134" i="3"/>
  <c r="BQ134" i="3"/>
  <c r="BR134" i="3"/>
  <c r="BS134" i="3"/>
  <c r="BT134" i="3"/>
  <c r="BB135" i="3"/>
  <c r="BC135" i="3"/>
  <c r="BD135" i="3"/>
  <c r="BE135" i="3"/>
  <c r="BA135" i="3" s="1"/>
  <c r="BF135" i="3"/>
  <c r="BG135" i="3"/>
  <c r="BH135" i="3"/>
  <c r="BI135" i="3"/>
  <c r="BJ135" i="3"/>
  <c r="BK135" i="3"/>
  <c r="BM135" i="3"/>
  <c r="BN135" i="3"/>
  <c r="BO135" i="3"/>
  <c r="BP135" i="3"/>
  <c r="BQ135" i="3"/>
  <c r="BL135" i="3" s="1"/>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AZ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A139" i="3" s="1"/>
  <c r="BD139" i="3"/>
  <c r="BE139" i="3"/>
  <c r="BF139" i="3"/>
  <c r="BG139" i="3"/>
  <c r="BH139" i="3"/>
  <c r="BI139" i="3"/>
  <c r="BJ139" i="3"/>
  <c r="BK139" i="3"/>
  <c r="BM139" i="3"/>
  <c r="BN139" i="3"/>
  <c r="BO139" i="3"/>
  <c r="BP139" i="3"/>
  <c r="BQ139" i="3"/>
  <c r="BR139" i="3"/>
  <c r="BS139" i="3"/>
  <c r="BT139" i="3"/>
  <c r="BB140" i="3"/>
  <c r="BC140" i="3"/>
  <c r="BD140" i="3"/>
  <c r="BA140" i="3"/>
  <c r="BE140" i="3"/>
  <c r="BF140" i="3"/>
  <c r="BG140" i="3"/>
  <c r="BH140" i="3"/>
  <c r="BI140" i="3"/>
  <c r="BJ140" i="3"/>
  <c r="BK140" i="3"/>
  <c r="BM140" i="3"/>
  <c r="BN140" i="3"/>
  <c r="BO140" i="3"/>
  <c r="BP140" i="3"/>
  <c r="BQ140" i="3"/>
  <c r="BR140" i="3"/>
  <c r="BS140" i="3"/>
  <c r="BT140" i="3"/>
  <c r="BB141" i="3"/>
  <c r="BC141" i="3"/>
  <c r="BA141" i="3"/>
  <c r="BD141" i="3"/>
  <c r="BE141" i="3"/>
  <c r="BF141" i="3"/>
  <c r="BG141" i="3"/>
  <c r="BH141" i="3"/>
  <c r="BI141" i="3"/>
  <c r="BJ141" i="3"/>
  <c r="BK141" i="3"/>
  <c r="BM141" i="3"/>
  <c r="BN141" i="3"/>
  <c r="BO141" i="3"/>
  <c r="BP141" i="3"/>
  <c r="BQ141" i="3"/>
  <c r="BR141" i="3"/>
  <c r="BS141" i="3"/>
  <c r="BT141" i="3"/>
  <c r="BB142" i="3"/>
  <c r="BC142" i="3"/>
  <c r="BD142" i="3"/>
  <c r="BA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L143" i="3" s="1"/>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L145" i="3" s="1"/>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A148" i="3" s="1"/>
  <c r="BF148" i="3"/>
  <c r="BG148" i="3"/>
  <c r="BH148" i="3"/>
  <c r="BI148" i="3"/>
  <c r="BJ148" i="3"/>
  <c r="BK148" i="3"/>
  <c r="BM148" i="3"/>
  <c r="BN148" i="3"/>
  <c r="BO148" i="3"/>
  <c r="BP148" i="3"/>
  <c r="BQ148" i="3"/>
  <c r="BR148" i="3"/>
  <c r="BS148" i="3"/>
  <c r="BT148" i="3"/>
  <c r="BB149" i="3"/>
  <c r="BC149" i="3"/>
  <c r="BD149" i="3"/>
  <c r="BA149" i="3" s="1"/>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A151" i="3" s="1"/>
  <c r="BF151" i="3"/>
  <c r="BG151" i="3"/>
  <c r="BH151" i="3"/>
  <c r="BI151" i="3"/>
  <c r="BJ151" i="3"/>
  <c r="BK151" i="3"/>
  <c r="BM151" i="3"/>
  <c r="BN151" i="3"/>
  <c r="BO151" i="3"/>
  <c r="BP151" i="3"/>
  <c r="BQ151" i="3"/>
  <c r="BL151" i="3" s="1"/>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L153" i="3" s="1"/>
  <c r="BR153" i="3"/>
  <c r="BS153" i="3"/>
  <c r="BT153" i="3"/>
  <c r="BB154" i="3"/>
  <c r="BC154" i="3"/>
  <c r="BD154" i="3"/>
  <c r="BA154" i="3" s="1"/>
  <c r="AZ154" i="3" s="1"/>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L157" i="3" s="1"/>
  <c r="BR157" i="3"/>
  <c r="BS157" i="3"/>
  <c r="BT157" i="3"/>
  <c r="BB158" i="3"/>
  <c r="BC158" i="3"/>
  <c r="BA158" i="3"/>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L161" i="3" s="1"/>
  <c r="BR161" i="3"/>
  <c r="BS161" i="3"/>
  <c r="BT161" i="3"/>
  <c r="BB162" i="3"/>
  <c r="BC162" i="3"/>
  <c r="BD162" i="3"/>
  <c r="BA162" i="3" s="1"/>
  <c r="AZ162" i="3" s="1"/>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A164" i="3" s="1"/>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AZ165" i="3" s="1"/>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A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L169" i="3"/>
  <c r="BP169" i="3"/>
  <c r="BQ169" i="3"/>
  <c r="BR169" i="3"/>
  <c r="BS169" i="3"/>
  <c r="BT169" i="3"/>
  <c r="BB170" i="3"/>
  <c r="BC170" i="3"/>
  <c r="BD170" i="3"/>
  <c r="BE170" i="3"/>
  <c r="BA170" i="3" s="1"/>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L171" i="3" s="1"/>
  <c r="BQ171" i="3"/>
  <c r="BR171" i="3"/>
  <c r="BS171" i="3"/>
  <c r="BT171" i="3"/>
  <c r="BB172" i="3"/>
  <c r="BC172" i="3"/>
  <c r="BD172" i="3"/>
  <c r="BA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AZ173" i="3" s="1"/>
  <c r="BM173" i="3"/>
  <c r="BN173" i="3"/>
  <c r="BL173" i="3" s="1"/>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L175" i="3" s="1"/>
  <c r="BQ175" i="3"/>
  <c r="BR175" i="3"/>
  <c r="BS175" i="3"/>
  <c r="BT175" i="3"/>
  <c r="BB176" i="3"/>
  <c r="BC176" i="3"/>
  <c r="BD176" i="3"/>
  <c r="BA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s="1"/>
  <c r="BM177" i="3"/>
  <c r="BN177" i="3"/>
  <c r="BO177" i="3"/>
  <c r="BP177" i="3"/>
  <c r="BQ177" i="3"/>
  <c r="BL177" i="3" s="1"/>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L179" i="3" s="1"/>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B182" i="3"/>
  <c r="BC182" i="3"/>
  <c r="BD182" i="3"/>
  <c r="BE182" i="3"/>
  <c r="BA182" i="3" s="1"/>
  <c r="BF182" i="3"/>
  <c r="BG182" i="3"/>
  <c r="BH182" i="3"/>
  <c r="BI182" i="3"/>
  <c r="BJ182" i="3"/>
  <c r="BK182" i="3"/>
  <c r="BM182" i="3"/>
  <c r="BN182" i="3"/>
  <c r="BO182" i="3"/>
  <c r="BP182" i="3"/>
  <c r="BQ182" i="3"/>
  <c r="BR182" i="3"/>
  <c r="BS182" i="3"/>
  <c r="BT182" i="3"/>
  <c r="BB183" i="3"/>
  <c r="BC183" i="3"/>
  <c r="BD183" i="3"/>
  <c r="BA183" i="3" s="1"/>
  <c r="BE183" i="3"/>
  <c r="BF183" i="3"/>
  <c r="BG183" i="3"/>
  <c r="BH183" i="3"/>
  <c r="BI183" i="3"/>
  <c r="BJ183" i="3"/>
  <c r="BK183" i="3"/>
  <c r="BM183" i="3"/>
  <c r="BN183" i="3"/>
  <c r="BO183" i="3"/>
  <c r="BP183" i="3"/>
  <c r="BQ183" i="3"/>
  <c r="BR183" i="3"/>
  <c r="BS183" i="3"/>
  <c r="BT183" i="3"/>
  <c r="BB184" i="3"/>
  <c r="BC184" i="3"/>
  <c r="BD184" i="3"/>
  <c r="BE184" i="3"/>
  <c r="BA184" i="3" s="1"/>
  <c r="BF184" i="3"/>
  <c r="BG184" i="3"/>
  <c r="BH184" i="3"/>
  <c r="BI184" i="3"/>
  <c r="BJ184" i="3"/>
  <c r="BK184" i="3"/>
  <c r="BM184" i="3"/>
  <c r="BN184" i="3"/>
  <c r="BO184" i="3"/>
  <c r="BP184" i="3"/>
  <c r="BQ184" i="3"/>
  <c r="BR184" i="3"/>
  <c r="BS184" i="3"/>
  <c r="BT184" i="3"/>
  <c r="BB185" i="3"/>
  <c r="BC185" i="3"/>
  <c r="BD185" i="3"/>
  <c r="BE185" i="3"/>
  <c r="BA185" i="3" s="1"/>
  <c r="BF185" i="3"/>
  <c r="BG185" i="3"/>
  <c r="BH185" i="3"/>
  <c r="BI185" i="3"/>
  <c r="BJ185" i="3"/>
  <c r="BK185" i="3"/>
  <c r="BM185" i="3"/>
  <c r="BN185" i="3"/>
  <c r="BO185" i="3"/>
  <c r="BP185" i="3"/>
  <c r="BQ185" i="3"/>
  <c r="BL185" i="3" s="1"/>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AZ187" i="3" s="1"/>
  <c r="BD187" i="3"/>
  <c r="BE187" i="3"/>
  <c r="BF187" i="3"/>
  <c r="BG187" i="3"/>
  <c r="BH187" i="3"/>
  <c r="BI187" i="3"/>
  <c r="BJ187" i="3"/>
  <c r="BK187" i="3"/>
  <c r="BM187" i="3"/>
  <c r="BN187" i="3"/>
  <c r="BO187" i="3"/>
  <c r="BP187" i="3"/>
  <c r="BQ187" i="3"/>
  <c r="BL187" i="3" s="1"/>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A190" i="3"/>
  <c r="BE190" i="3"/>
  <c r="BF190" i="3"/>
  <c r="BG190" i="3"/>
  <c r="BH190" i="3"/>
  <c r="BI190" i="3"/>
  <c r="BJ190" i="3"/>
  <c r="BK190" i="3"/>
  <c r="BM190" i="3"/>
  <c r="BN190" i="3"/>
  <c r="BO190" i="3"/>
  <c r="BP190" i="3"/>
  <c r="BQ190" i="3"/>
  <c r="BR190" i="3"/>
  <c r="BS190" i="3"/>
  <c r="BT190" i="3"/>
  <c r="BB191" i="3"/>
  <c r="BC191" i="3"/>
  <c r="BA191" i="3"/>
  <c r="BD191" i="3"/>
  <c r="BE191" i="3"/>
  <c r="BF191" i="3"/>
  <c r="BG191" i="3"/>
  <c r="BH191" i="3"/>
  <c r="BI191" i="3"/>
  <c r="BJ191" i="3"/>
  <c r="BK191" i="3"/>
  <c r="BM191" i="3"/>
  <c r="BN191" i="3"/>
  <c r="BO191" i="3"/>
  <c r="BP191" i="3"/>
  <c r="BQ191" i="3"/>
  <c r="BR191" i="3"/>
  <c r="BS191" i="3"/>
  <c r="BT191" i="3"/>
  <c r="BB192" i="3"/>
  <c r="BC192" i="3"/>
  <c r="BD192" i="3"/>
  <c r="BA192" i="3"/>
  <c r="BE192" i="3"/>
  <c r="BF192" i="3"/>
  <c r="BG192" i="3"/>
  <c r="BH192" i="3"/>
  <c r="BI192" i="3"/>
  <c r="BJ192" i="3"/>
  <c r="BK192" i="3"/>
  <c r="BM192" i="3"/>
  <c r="BN192" i="3"/>
  <c r="BO192" i="3"/>
  <c r="BP192" i="3"/>
  <c r="BQ192" i="3"/>
  <c r="BR192" i="3"/>
  <c r="BS192" i="3"/>
  <c r="BT192" i="3"/>
  <c r="BB193" i="3"/>
  <c r="BC193" i="3"/>
  <c r="BD193" i="3"/>
  <c r="BE193" i="3"/>
  <c r="BA193" i="3" s="1"/>
  <c r="BF193" i="3"/>
  <c r="BG193" i="3"/>
  <c r="BH193" i="3"/>
  <c r="BI193" i="3"/>
  <c r="BJ193" i="3"/>
  <c r="BK193" i="3"/>
  <c r="BM193" i="3"/>
  <c r="BN193" i="3"/>
  <c r="BO193" i="3"/>
  <c r="BP193" i="3"/>
  <c r="BQ193" i="3"/>
  <c r="BL193" i="3" s="1"/>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L195" i="3" s="1"/>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A201" i="3" s="1"/>
  <c r="BF201" i="3"/>
  <c r="BG201" i="3"/>
  <c r="BH201" i="3"/>
  <c r="BI201" i="3"/>
  <c r="BJ201" i="3"/>
  <c r="BK201" i="3"/>
  <c r="BM201" i="3"/>
  <c r="BN201" i="3"/>
  <c r="BO201" i="3"/>
  <c r="BP201" i="3"/>
  <c r="BQ201" i="3"/>
  <c r="BL201" i="3" s="1"/>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AZ203" i="3" s="1"/>
  <c r="BD203" i="3"/>
  <c r="BE203" i="3"/>
  <c r="BF203" i="3"/>
  <c r="BG203" i="3"/>
  <c r="BH203" i="3"/>
  <c r="BI203" i="3"/>
  <c r="BJ203" i="3"/>
  <c r="BK203" i="3"/>
  <c r="BM203" i="3"/>
  <c r="BN203" i="3"/>
  <c r="BO203" i="3"/>
  <c r="BP203" i="3"/>
  <c r="BQ203" i="3"/>
  <c r="BL203" i="3" s="1"/>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A206" i="3"/>
  <c r="BE206" i="3"/>
  <c r="BF206" i="3"/>
  <c r="BG206" i="3"/>
  <c r="BH206" i="3"/>
  <c r="BI206" i="3"/>
  <c r="BJ206" i="3"/>
  <c r="BK206" i="3"/>
  <c r="BM206" i="3"/>
  <c r="BN206" i="3"/>
  <c r="BO206" i="3"/>
  <c r="BP206" i="3"/>
  <c r="BQ206" i="3"/>
  <c r="BR206" i="3"/>
  <c r="BS206" i="3"/>
  <c r="BT206" i="3"/>
  <c r="BB207" i="3"/>
  <c r="BC207" i="3"/>
  <c r="BA207" i="3"/>
  <c r="BD207" i="3"/>
  <c r="BE207" i="3"/>
  <c r="BF207" i="3"/>
  <c r="BG207" i="3"/>
  <c r="BH207" i="3"/>
  <c r="BI207" i="3"/>
  <c r="BJ207" i="3"/>
  <c r="BK207" i="3"/>
  <c r="BM207" i="3"/>
  <c r="BN207" i="3"/>
  <c r="BO207" i="3"/>
  <c r="BP207" i="3"/>
  <c r="BQ207" i="3"/>
  <c r="BR207" i="3"/>
  <c r="BS207" i="3"/>
  <c r="BT207" i="3"/>
  <c r="BB208" i="3"/>
  <c r="BC208" i="3"/>
  <c r="BD208" i="3"/>
  <c r="BA208" i="3"/>
  <c r="BE208" i="3"/>
  <c r="BF208" i="3"/>
  <c r="BG208" i="3"/>
  <c r="BH208" i="3"/>
  <c r="BI208" i="3"/>
  <c r="BJ208" i="3"/>
  <c r="BK208" i="3"/>
  <c r="BM208" i="3"/>
  <c r="BN208" i="3"/>
  <c r="BO208" i="3"/>
  <c r="BP208" i="3"/>
  <c r="BQ208" i="3"/>
  <c r="BR208" i="3"/>
  <c r="BS208" i="3"/>
  <c r="BT208" i="3"/>
  <c r="BB209" i="3"/>
  <c r="BC209" i="3"/>
  <c r="BD209" i="3"/>
  <c r="BE209" i="3"/>
  <c r="BA209" i="3" s="1"/>
  <c r="BF209" i="3"/>
  <c r="BG209" i="3"/>
  <c r="BH209" i="3"/>
  <c r="BI209" i="3"/>
  <c r="BJ209" i="3"/>
  <c r="BK209" i="3"/>
  <c r="BM209" i="3"/>
  <c r="BN209" i="3"/>
  <c r="BO209" i="3"/>
  <c r="BP209" i="3"/>
  <c r="BQ209" i="3"/>
  <c r="BL209" i="3" s="1"/>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L211" i="3" s="1"/>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M213" i="3"/>
  <c r="BN213" i="3"/>
  <c r="BO213" i="3"/>
  <c r="BP213" i="3"/>
  <c r="BQ213" i="3"/>
  <c r="BR213" i="3"/>
  <c r="BS213" i="3"/>
  <c r="BT213" i="3"/>
  <c r="BB214" i="3"/>
  <c r="BC214" i="3"/>
  <c r="BD214" i="3"/>
  <c r="BE214" i="3"/>
  <c r="BA214" i="3" s="1"/>
  <c r="BF214" i="3"/>
  <c r="BG214" i="3"/>
  <c r="BH214" i="3"/>
  <c r="BI214" i="3"/>
  <c r="BJ214" i="3"/>
  <c r="BK214" i="3"/>
  <c r="BM214" i="3"/>
  <c r="BN214" i="3"/>
  <c r="BO214" i="3"/>
  <c r="BP214" i="3"/>
  <c r="BQ214" i="3"/>
  <c r="BR214" i="3"/>
  <c r="BS214" i="3"/>
  <c r="BT214" i="3"/>
  <c r="BB215" i="3"/>
  <c r="BC215" i="3"/>
  <c r="BD215" i="3"/>
  <c r="BA215" i="3" s="1"/>
  <c r="BE215" i="3"/>
  <c r="BF215" i="3"/>
  <c r="BG215" i="3"/>
  <c r="BH215" i="3"/>
  <c r="BI215" i="3"/>
  <c r="BJ215" i="3"/>
  <c r="BK215" i="3"/>
  <c r="BM215" i="3"/>
  <c r="BN215" i="3"/>
  <c r="BO215" i="3"/>
  <c r="BP215" i="3"/>
  <c r="BQ215" i="3"/>
  <c r="BR215" i="3"/>
  <c r="BS215" i="3"/>
  <c r="BT215" i="3"/>
  <c r="BB216" i="3"/>
  <c r="BC216" i="3"/>
  <c r="BD216" i="3"/>
  <c r="BE216" i="3"/>
  <c r="BA216" i="3" s="1"/>
  <c r="BF216" i="3"/>
  <c r="BG216" i="3"/>
  <c r="BH216" i="3"/>
  <c r="BI216" i="3"/>
  <c r="BJ216" i="3"/>
  <c r="BK216" i="3"/>
  <c r="BM216" i="3"/>
  <c r="BN216" i="3"/>
  <c r="BO216" i="3"/>
  <c r="BP216" i="3"/>
  <c r="BQ216" i="3"/>
  <c r="BR216" i="3"/>
  <c r="BS216" i="3"/>
  <c r="BT216" i="3"/>
  <c r="BB217" i="3"/>
  <c r="BC217" i="3"/>
  <c r="BD217" i="3"/>
  <c r="BE217" i="3"/>
  <c r="BA217" i="3" s="1"/>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L219" i="3" s="1"/>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A222" i="3"/>
  <c r="BE222" i="3"/>
  <c r="BF222" i="3"/>
  <c r="BG222" i="3"/>
  <c r="BH222" i="3"/>
  <c r="BI222" i="3"/>
  <c r="BJ222" i="3"/>
  <c r="BK222" i="3"/>
  <c r="BM222" i="3"/>
  <c r="BN222" i="3"/>
  <c r="BO222" i="3"/>
  <c r="BP222" i="3"/>
  <c r="BQ222" i="3"/>
  <c r="BR222" i="3"/>
  <c r="BS222" i="3"/>
  <c r="BT222" i="3"/>
  <c r="BB223" i="3"/>
  <c r="BC223" i="3"/>
  <c r="BA223" i="3"/>
  <c r="BD223" i="3"/>
  <c r="BE223" i="3"/>
  <c r="BF223" i="3"/>
  <c r="BG223" i="3"/>
  <c r="BH223" i="3"/>
  <c r="BI223" i="3"/>
  <c r="BJ223" i="3"/>
  <c r="BK223" i="3"/>
  <c r="BM223" i="3"/>
  <c r="BN223" i="3"/>
  <c r="BO223" i="3"/>
  <c r="BP223" i="3"/>
  <c r="BQ223" i="3"/>
  <c r="BR223" i="3"/>
  <c r="BS223" i="3"/>
  <c r="BT223" i="3"/>
  <c r="BB224" i="3"/>
  <c r="BC224" i="3"/>
  <c r="BD224" i="3"/>
  <c r="BA224" i="3"/>
  <c r="BE224" i="3"/>
  <c r="BF224" i="3"/>
  <c r="BG224" i="3"/>
  <c r="BH224" i="3"/>
  <c r="BI224" i="3"/>
  <c r="BJ224" i="3"/>
  <c r="BK224" i="3"/>
  <c r="BM224" i="3"/>
  <c r="BN224" i="3"/>
  <c r="BO224" i="3"/>
  <c r="BP224" i="3"/>
  <c r="BQ224" i="3"/>
  <c r="BR224" i="3"/>
  <c r="BS224" i="3"/>
  <c r="BT224" i="3"/>
  <c r="BB225" i="3"/>
  <c r="BC225" i="3"/>
  <c r="BD225" i="3"/>
  <c r="BE225" i="3"/>
  <c r="BA225" i="3" s="1"/>
  <c r="BF225" i="3"/>
  <c r="BG225" i="3"/>
  <c r="BH225" i="3"/>
  <c r="BI225" i="3"/>
  <c r="BJ225" i="3"/>
  <c r="BK225" i="3"/>
  <c r="BM225" i="3"/>
  <c r="BN225" i="3"/>
  <c r="BO225" i="3"/>
  <c r="BP225" i="3"/>
  <c r="BQ225" i="3"/>
  <c r="BL225" i="3" s="1"/>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L227" i="3" s="1"/>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M229" i="3"/>
  <c r="BN229" i="3"/>
  <c r="BO229" i="3"/>
  <c r="BP229" i="3"/>
  <c r="BQ229" i="3"/>
  <c r="BR229" i="3"/>
  <c r="BS229" i="3"/>
  <c r="BT229" i="3"/>
  <c r="BB230" i="3"/>
  <c r="BC230" i="3"/>
  <c r="BD230" i="3"/>
  <c r="BE230" i="3"/>
  <c r="BA230" i="3" s="1"/>
  <c r="BF230" i="3"/>
  <c r="BG230" i="3"/>
  <c r="BH230" i="3"/>
  <c r="BI230" i="3"/>
  <c r="BJ230" i="3"/>
  <c r="BK230" i="3"/>
  <c r="BM230" i="3"/>
  <c r="BN230" i="3"/>
  <c r="BO230" i="3"/>
  <c r="BP230" i="3"/>
  <c r="BQ230" i="3"/>
  <c r="BR230" i="3"/>
  <c r="BS230" i="3"/>
  <c r="BT230" i="3"/>
  <c r="BB231" i="3"/>
  <c r="BC231" i="3"/>
  <c r="BD231" i="3"/>
  <c r="BA231" i="3" s="1"/>
  <c r="BE231" i="3"/>
  <c r="BF231" i="3"/>
  <c r="BG231" i="3"/>
  <c r="BH231" i="3"/>
  <c r="BI231" i="3"/>
  <c r="BJ231" i="3"/>
  <c r="BK231" i="3"/>
  <c r="BM231" i="3"/>
  <c r="BN231" i="3"/>
  <c r="BO231" i="3"/>
  <c r="BP231" i="3"/>
  <c r="BQ231" i="3"/>
  <c r="BR231" i="3"/>
  <c r="BS231" i="3"/>
  <c r="BT231" i="3"/>
  <c r="BB232" i="3"/>
  <c r="BC232" i="3"/>
  <c r="BD232" i="3"/>
  <c r="BE232" i="3"/>
  <c r="BA232" i="3" s="1"/>
  <c r="BF232" i="3"/>
  <c r="BG232" i="3"/>
  <c r="BH232" i="3"/>
  <c r="BI232" i="3"/>
  <c r="BJ232" i="3"/>
  <c r="BK232" i="3"/>
  <c r="BM232" i="3"/>
  <c r="BN232" i="3"/>
  <c r="BO232" i="3"/>
  <c r="BP232" i="3"/>
  <c r="BQ232" i="3"/>
  <c r="BR232" i="3"/>
  <c r="BS232" i="3"/>
  <c r="BT232" i="3"/>
  <c r="BB233" i="3"/>
  <c r="BC233" i="3"/>
  <c r="BD233" i="3"/>
  <c r="BE233" i="3"/>
  <c r="BA233" i="3" s="1"/>
  <c r="BF233" i="3"/>
  <c r="BG233" i="3"/>
  <c r="BH233" i="3"/>
  <c r="BI233" i="3"/>
  <c r="BJ233" i="3"/>
  <c r="BK233" i="3"/>
  <c r="BM233" i="3"/>
  <c r="BN233" i="3"/>
  <c r="BO233" i="3"/>
  <c r="BP233" i="3"/>
  <c r="BQ233" i="3"/>
  <c r="BL233" i="3" s="1"/>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A235" i="3" s="1"/>
  <c r="BD235" i="3"/>
  <c r="BE235" i="3"/>
  <c r="BF235" i="3"/>
  <c r="BG235" i="3"/>
  <c r="BH235" i="3"/>
  <c r="BI235" i="3"/>
  <c r="BJ235" i="3"/>
  <c r="BK235" i="3"/>
  <c r="BM235" i="3"/>
  <c r="BN235" i="3"/>
  <c r="BO235" i="3"/>
  <c r="BP235" i="3"/>
  <c r="BQ235" i="3"/>
  <c r="BL235" i="3" s="1"/>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A238" i="3"/>
  <c r="BE238" i="3"/>
  <c r="BF238" i="3"/>
  <c r="BG238" i="3"/>
  <c r="BH238" i="3"/>
  <c r="BI238" i="3"/>
  <c r="BJ238" i="3"/>
  <c r="BK238" i="3"/>
  <c r="BM238" i="3"/>
  <c r="BN238" i="3"/>
  <c r="BO238" i="3"/>
  <c r="BP238" i="3"/>
  <c r="BQ238" i="3"/>
  <c r="BR238" i="3"/>
  <c r="BS238" i="3"/>
  <c r="BT238" i="3"/>
  <c r="BB239" i="3"/>
  <c r="BC239" i="3"/>
  <c r="BA239" i="3"/>
  <c r="BD239" i="3"/>
  <c r="BE239" i="3"/>
  <c r="BF239" i="3"/>
  <c r="BG239" i="3"/>
  <c r="BH239" i="3"/>
  <c r="BI239" i="3"/>
  <c r="BJ239" i="3"/>
  <c r="BK239" i="3"/>
  <c r="BM239" i="3"/>
  <c r="BN239" i="3"/>
  <c r="BO239" i="3"/>
  <c r="BP239" i="3"/>
  <c r="BQ239" i="3"/>
  <c r="BR239" i="3"/>
  <c r="BS239" i="3"/>
  <c r="BT239" i="3"/>
  <c r="BB240" i="3"/>
  <c r="BC240" i="3"/>
  <c r="BD240" i="3"/>
  <c r="BA240" i="3"/>
  <c r="BE240" i="3"/>
  <c r="BF240" i="3"/>
  <c r="BG240" i="3"/>
  <c r="BH240" i="3"/>
  <c r="BI240" i="3"/>
  <c r="BJ240" i="3"/>
  <c r="BK240" i="3"/>
  <c r="BM240" i="3"/>
  <c r="BN240" i="3"/>
  <c r="BO240" i="3"/>
  <c r="BP240" i="3"/>
  <c r="BQ240" i="3"/>
  <c r="BR240" i="3"/>
  <c r="BS240" i="3"/>
  <c r="BT240" i="3"/>
  <c r="BB241" i="3"/>
  <c r="BC241" i="3"/>
  <c r="BD241" i="3"/>
  <c r="BE241" i="3"/>
  <c r="BA241" i="3" s="1"/>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M243" i="3"/>
  <c r="BN243" i="3"/>
  <c r="BO243" i="3"/>
  <c r="BP243" i="3"/>
  <c r="BQ243" i="3"/>
  <c r="BL243" i="3" s="1"/>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A246" i="3" s="1"/>
  <c r="BF246" i="3"/>
  <c r="BG246" i="3"/>
  <c r="BH246" i="3"/>
  <c r="BI246" i="3"/>
  <c r="BJ246" i="3"/>
  <c r="BK246" i="3"/>
  <c r="BM246" i="3"/>
  <c r="BN246" i="3"/>
  <c r="BO246" i="3"/>
  <c r="BP246" i="3"/>
  <c r="BQ246" i="3"/>
  <c r="BR246" i="3"/>
  <c r="BS246" i="3"/>
  <c r="BT246" i="3"/>
  <c r="BB247" i="3"/>
  <c r="BC247" i="3"/>
  <c r="BD247" i="3"/>
  <c r="BA247" i="3" s="1"/>
  <c r="BE247" i="3"/>
  <c r="BF247" i="3"/>
  <c r="BG247" i="3"/>
  <c r="BH247" i="3"/>
  <c r="BI247" i="3"/>
  <c r="BJ247" i="3"/>
  <c r="BK247" i="3"/>
  <c r="BM247" i="3"/>
  <c r="BN247" i="3"/>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A249" i="3" s="1"/>
  <c r="BF249" i="3"/>
  <c r="BG249" i="3"/>
  <c r="BH249" i="3"/>
  <c r="BI249" i="3"/>
  <c r="BJ249" i="3"/>
  <c r="BK249" i="3"/>
  <c r="BM249" i="3"/>
  <c r="BN249" i="3"/>
  <c r="BO249" i="3"/>
  <c r="BP249" i="3"/>
  <c r="BQ249" i="3"/>
  <c r="BL249" i="3" s="1"/>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L251" i="3" s="1"/>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A254" i="3"/>
  <c r="BE254" i="3"/>
  <c r="BF254" i="3"/>
  <c r="BG254" i="3"/>
  <c r="BH254" i="3"/>
  <c r="BI254" i="3"/>
  <c r="BJ254" i="3"/>
  <c r="BK254" i="3"/>
  <c r="BM254" i="3"/>
  <c r="BN254" i="3"/>
  <c r="BO254" i="3"/>
  <c r="BP254" i="3"/>
  <c r="BQ254" i="3"/>
  <c r="BR254" i="3"/>
  <c r="BS254" i="3"/>
  <c r="BT254" i="3"/>
  <c r="BB255" i="3"/>
  <c r="BC255" i="3"/>
  <c r="BA255" i="3"/>
  <c r="BD255" i="3"/>
  <c r="BE255" i="3"/>
  <c r="BF255" i="3"/>
  <c r="BG255" i="3"/>
  <c r="BH255" i="3"/>
  <c r="BI255" i="3"/>
  <c r="BJ255" i="3"/>
  <c r="BK255" i="3"/>
  <c r="BM255" i="3"/>
  <c r="BN255" i="3"/>
  <c r="BO255" i="3"/>
  <c r="BP255" i="3"/>
  <c r="BQ255" i="3"/>
  <c r="BR255" i="3"/>
  <c r="BS255" i="3"/>
  <c r="BT255" i="3"/>
  <c r="BB256" i="3"/>
  <c r="BC256" i="3"/>
  <c r="BD256" i="3"/>
  <c r="BA256" i="3"/>
  <c r="BE256" i="3"/>
  <c r="BF256" i="3"/>
  <c r="BG256" i="3"/>
  <c r="BH256" i="3"/>
  <c r="BI256" i="3"/>
  <c r="BJ256" i="3"/>
  <c r="BK256" i="3"/>
  <c r="BM256" i="3"/>
  <c r="BN256" i="3"/>
  <c r="BO256" i="3"/>
  <c r="BP256" i="3"/>
  <c r="BQ256" i="3"/>
  <c r="BR256" i="3"/>
  <c r="BS256" i="3"/>
  <c r="BT256" i="3"/>
  <c r="BB257" i="3"/>
  <c r="BC257" i="3"/>
  <c r="BD257" i="3"/>
  <c r="BE257" i="3"/>
  <c r="BA257" i="3" s="1"/>
  <c r="BF257" i="3"/>
  <c r="BG257" i="3"/>
  <c r="BH257" i="3"/>
  <c r="BI257" i="3"/>
  <c r="BJ257" i="3"/>
  <c r="BK257" i="3"/>
  <c r="BM257" i="3"/>
  <c r="BN257" i="3"/>
  <c r="BO257" i="3"/>
  <c r="BP257" i="3"/>
  <c r="BQ257" i="3"/>
  <c r="BL257" i="3" s="1"/>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L259" i="3" s="1"/>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M261" i="3"/>
  <c r="BN261" i="3"/>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A263" i="3" s="1"/>
  <c r="BE263" i="3"/>
  <c r="BF263" i="3"/>
  <c r="BG263" i="3"/>
  <c r="BH263" i="3"/>
  <c r="BI263" i="3"/>
  <c r="BJ263" i="3"/>
  <c r="BK263" i="3"/>
  <c r="BM263" i="3"/>
  <c r="BN263" i="3"/>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A265" i="3" s="1"/>
  <c r="BF265" i="3"/>
  <c r="BG265" i="3"/>
  <c r="BH265" i="3"/>
  <c r="BI265" i="3"/>
  <c r="BJ265" i="3"/>
  <c r="BK265" i="3"/>
  <c r="BM265" i="3"/>
  <c r="BN265" i="3"/>
  <c r="BO265" i="3"/>
  <c r="BP265" i="3"/>
  <c r="BQ265" i="3"/>
  <c r="BL265" i="3" s="1"/>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L267" i="3" s="1"/>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A270" i="3"/>
  <c r="BE270" i="3"/>
  <c r="BF270" i="3"/>
  <c r="BG270" i="3"/>
  <c r="BH270" i="3"/>
  <c r="BI270" i="3"/>
  <c r="BJ270" i="3"/>
  <c r="BK270" i="3"/>
  <c r="BM270" i="3"/>
  <c r="BN270" i="3"/>
  <c r="BO270" i="3"/>
  <c r="BP270" i="3"/>
  <c r="BQ270" i="3"/>
  <c r="BR270" i="3"/>
  <c r="BS270" i="3"/>
  <c r="BT270" i="3"/>
  <c r="BB271" i="3"/>
  <c r="BC271" i="3"/>
  <c r="BA271" i="3"/>
  <c r="BD271" i="3"/>
  <c r="BE271" i="3"/>
  <c r="BF271" i="3"/>
  <c r="BG271" i="3"/>
  <c r="BH271" i="3"/>
  <c r="BI271" i="3"/>
  <c r="BJ271" i="3"/>
  <c r="BK271" i="3"/>
  <c r="BM271" i="3"/>
  <c r="BN271" i="3"/>
  <c r="BO271" i="3"/>
  <c r="BP271" i="3"/>
  <c r="BQ271" i="3"/>
  <c r="BR271" i="3"/>
  <c r="BS271" i="3"/>
  <c r="BT271" i="3"/>
  <c r="BB272" i="3"/>
  <c r="BC272" i="3"/>
  <c r="BD272" i="3"/>
  <c r="BA272" i="3"/>
  <c r="BE272" i="3"/>
  <c r="BF272" i="3"/>
  <c r="BG272" i="3"/>
  <c r="BH272" i="3"/>
  <c r="BI272" i="3"/>
  <c r="BJ272" i="3"/>
  <c r="BK272" i="3"/>
  <c r="BM272" i="3"/>
  <c r="BN272" i="3"/>
  <c r="BO272" i="3"/>
  <c r="BP272" i="3"/>
  <c r="BQ272" i="3"/>
  <c r="BR272" i="3"/>
  <c r="BS272" i="3"/>
  <c r="BT272" i="3"/>
  <c r="BB273" i="3"/>
  <c r="BC273" i="3"/>
  <c r="BD273" i="3"/>
  <c r="BE273" i="3"/>
  <c r="BA273" i="3" s="1"/>
  <c r="BF273" i="3"/>
  <c r="BG273" i="3"/>
  <c r="BH273" i="3"/>
  <c r="BI273" i="3"/>
  <c r="BJ273" i="3"/>
  <c r="BK273" i="3"/>
  <c r="BM273" i="3"/>
  <c r="BN273" i="3"/>
  <c r="BO273" i="3"/>
  <c r="BP273" i="3"/>
  <c r="BQ273" i="3"/>
  <c r="BL273" i="3" s="1"/>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L275" i="3" s="1"/>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M277" i="3"/>
  <c r="BN277" i="3"/>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A279" i="3" s="1"/>
  <c r="BE279" i="3"/>
  <c r="BF279" i="3"/>
  <c r="BG279" i="3"/>
  <c r="BH279" i="3"/>
  <c r="BI279" i="3"/>
  <c r="BJ279" i="3"/>
  <c r="BK279" i="3"/>
  <c r="BM279" i="3"/>
  <c r="BN279" i="3"/>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A281" i="3" s="1"/>
  <c r="BF281" i="3"/>
  <c r="BG281" i="3"/>
  <c r="BH281" i="3"/>
  <c r="BI281" i="3"/>
  <c r="BJ281" i="3"/>
  <c r="BK281" i="3"/>
  <c r="BM281" i="3"/>
  <c r="BN281" i="3"/>
  <c r="BO281" i="3"/>
  <c r="BP281" i="3"/>
  <c r="BQ281" i="3"/>
  <c r="BL281" i="3" s="1"/>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L283" i="3" s="1"/>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A286" i="3"/>
  <c r="BE286" i="3"/>
  <c r="BF286" i="3"/>
  <c r="BG286" i="3"/>
  <c r="BH286" i="3"/>
  <c r="BI286" i="3"/>
  <c r="BJ286" i="3"/>
  <c r="BK286" i="3"/>
  <c r="BM286" i="3"/>
  <c r="BN286" i="3"/>
  <c r="BO286" i="3"/>
  <c r="BP286" i="3"/>
  <c r="BQ286" i="3"/>
  <c r="BR286" i="3"/>
  <c r="BS286" i="3"/>
  <c r="BT286" i="3"/>
  <c r="BB287" i="3"/>
  <c r="BC287" i="3"/>
  <c r="BA287" i="3"/>
  <c r="BD287" i="3"/>
  <c r="BE287" i="3"/>
  <c r="BF287" i="3"/>
  <c r="BG287" i="3"/>
  <c r="BH287" i="3"/>
  <c r="BI287" i="3"/>
  <c r="BJ287" i="3"/>
  <c r="BK287" i="3"/>
  <c r="BM287" i="3"/>
  <c r="BN287" i="3"/>
  <c r="BO287" i="3"/>
  <c r="BP287" i="3"/>
  <c r="BQ287" i="3"/>
  <c r="BR287" i="3"/>
  <c r="BS287" i="3"/>
  <c r="BT287" i="3"/>
  <c r="BB288" i="3"/>
  <c r="BC288" i="3"/>
  <c r="BD288" i="3"/>
  <c r="BA288" i="3"/>
  <c r="BE288" i="3"/>
  <c r="BF288" i="3"/>
  <c r="BG288" i="3"/>
  <c r="BH288" i="3"/>
  <c r="BI288" i="3"/>
  <c r="BJ288" i="3"/>
  <c r="BK288" i="3"/>
  <c r="BM288" i="3"/>
  <c r="BN288" i="3"/>
  <c r="BO288" i="3"/>
  <c r="BP288" i="3"/>
  <c r="BQ288" i="3"/>
  <c r="BR288" i="3"/>
  <c r="BS288" i="3"/>
  <c r="BT288" i="3"/>
  <c r="BB289" i="3"/>
  <c r="BC289" i="3"/>
  <c r="BD289" i="3"/>
  <c r="BE289" i="3"/>
  <c r="BA289" i="3" s="1"/>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L291" i="3" s="1"/>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M299" i="3"/>
  <c r="BN299" i="3"/>
  <c r="BO299" i="3"/>
  <c r="BP299" i="3"/>
  <c r="BL299" i="3" s="1"/>
  <c r="BQ299" i="3"/>
  <c r="BR299" i="3"/>
  <c r="BS299" i="3"/>
  <c r="BT299" i="3"/>
  <c r="BB300" i="3"/>
  <c r="BC300" i="3"/>
  <c r="BD300" i="3"/>
  <c r="BE300" i="3"/>
  <c r="BF300" i="3"/>
  <c r="BG300" i="3"/>
  <c r="BH300" i="3"/>
  <c r="BI300" i="3"/>
  <c r="BJ300" i="3"/>
  <c r="BK300" i="3"/>
  <c r="BM300" i="3"/>
  <c r="BN300" i="3"/>
  <c r="BO300" i="3"/>
  <c r="BL300" i="3" s="1"/>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L303" i="3" s="1"/>
  <c r="BQ303" i="3"/>
  <c r="BR303" i="3"/>
  <c r="BS303" i="3"/>
  <c r="BT303" i="3"/>
  <c r="BB304" i="3"/>
  <c r="BC304" i="3"/>
  <c r="BD304" i="3"/>
  <c r="BE304" i="3"/>
  <c r="BF304" i="3"/>
  <c r="BG304" i="3"/>
  <c r="BH304" i="3"/>
  <c r="BI304" i="3"/>
  <c r="BJ304" i="3"/>
  <c r="BK304" i="3"/>
  <c r="BM304" i="3"/>
  <c r="BN304" i="3"/>
  <c r="BL304" i="3"/>
  <c r="BO304" i="3"/>
  <c r="BP304" i="3"/>
  <c r="BQ304" i="3"/>
  <c r="BR304" i="3"/>
  <c r="BS304" i="3"/>
  <c r="BT304" i="3"/>
  <c r="BB305" i="3"/>
  <c r="BC305" i="3"/>
  <c r="BD305" i="3"/>
  <c r="BE305" i="3"/>
  <c r="BA305" i="3" s="1"/>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AZ306" i="3" s="1"/>
  <c r="BM306" i="3"/>
  <c r="BN306" i="3"/>
  <c r="BL306" i="3" s="1"/>
  <c r="BO306" i="3"/>
  <c r="BP306" i="3"/>
  <c r="BQ306" i="3"/>
  <c r="BR306" i="3"/>
  <c r="BS306" i="3"/>
  <c r="BT306" i="3"/>
  <c r="BB307" i="3"/>
  <c r="BC307" i="3"/>
  <c r="BD307" i="3"/>
  <c r="BE307" i="3"/>
  <c r="BF307" i="3"/>
  <c r="BG307" i="3"/>
  <c r="BH307" i="3"/>
  <c r="BI307" i="3"/>
  <c r="BJ307" i="3"/>
  <c r="BK307" i="3"/>
  <c r="BM307" i="3"/>
  <c r="BN307" i="3"/>
  <c r="BO307" i="3"/>
  <c r="BP307" i="3"/>
  <c r="BL307" i="3" s="1"/>
  <c r="BQ307" i="3"/>
  <c r="BR307" i="3"/>
  <c r="BS307" i="3"/>
  <c r="BT307" i="3"/>
  <c r="BB308" i="3"/>
  <c r="BC308" i="3"/>
  <c r="BD308" i="3"/>
  <c r="BE308" i="3"/>
  <c r="BF308" i="3"/>
  <c r="BG308" i="3"/>
  <c r="BH308" i="3"/>
  <c r="BI308" i="3"/>
  <c r="BJ308" i="3"/>
  <c r="BK308" i="3"/>
  <c r="BM308" i="3"/>
  <c r="BN308" i="3"/>
  <c r="BO308" i="3"/>
  <c r="BL308" i="3" s="1"/>
  <c r="BP308" i="3"/>
  <c r="BQ308" i="3"/>
  <c r="BR308" i="3"/>
  <c r="BS308" i="3"/>
  <c r="BT308" i="3"/>
  <c r="BB309" i="3"/>
  <c r="BC309" i="3"/>
  <c r="BD309" i="3"/>
  <c r="BE309" i="3"/>
  <c r="BA309" i="3" s="1"/>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L311" i="3" s="1"/>
  <c r="BQ311" i="3"/>
  <c r="BR311" i="3"/>
  <c r="BS311" i="3"/>
  <c r="BT311" i="3"/>
  <c r="BB312" i="3"/>
  <c r="BC312" i="3"/>
  <c r="BD312" i="3"/>
  <c r="BE312" i="3"/>
  <c r="BF312" i="3"/>
  <c r="BG312" i="3"/>
  <c r="BH312" i="3"/>
  <c r="BI312" i="3"/>
  <c r="BJ312" i="3"/>
  <c r="BK312" i="3"/>
  <c r="BM312" i="3"/>
  <c r="BN312" i="3"/>
  <c r="BL312" i="3"/>
  <c r="BO312" i="3"/>
  <c r="BP312" i="3"/>
  <c r="BQ312" i="3"/>
  <c r="BR312" i="3"/>
  <c r="BS312" i="3"/>
  <c r="BT312" i="3"/>
  <c r="BB313" i="3"/>
  <c r="BC313" i="3"/>
  <c r="BD313" i="3"/>
  <c r="BE313" i="3"/>
  <c r="BA313" i="3" s="1"/>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AZ314" i="3" s="1"/>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L315" i="3" s="1"/>
  <c r="BQ315" i="3"/>
  <c r="BR315" i="3"/>
  <c r="BS315" i="3"/>
  <c r="BT315" i="3"/>
  <c r="BB316" i="3"/>
  <c r="BC316" i="3"/>
  <c r="BD316" i="3"/>
  <c r="BE316" i="3"/>
  <c r="BF316" i="3"/>
  <c r="BG316" i="3"/>
  <c r="BH316" i="3"/>
  <c r="BI316" i="3"/>
  <c r="BJ316" i="3"/>
  <c r="BK316" i="3"/>
  <c r="BM316" i="3"/>
  <c r="BN316" i="3"/>
  <c r="BO316" i="3"/>
  <c r="BL316" i="3" s="1"/>
  <c r="BP316" i="3"/>
  <c r="BQ316" i="3"/>
  <c r="BR316" i="3"/>
  <c r="BS316" i="3"/>
  <c r="BT316" i="3"/>
  <c r="BB317" i="3"/>
  <c r="BC317" i="3"/>
  <c r="BD317" i="3"/>
  <c r="BE317" i="3"/>
  <c r="BA317" i="3" s="1"/>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L322" i="3" s="1"/>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L324" i="3" s="1"/>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L326" i="3" s="1"/>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L328" i="3" s="1"/>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L330" i="3" s="1"/>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M332" i="3"/>
  <c r="BN332" i="3"/>
  <c r="BO332" i="3"/>
  <c r="BP332" i="3"/>
  <c r="BQ332" i="3"/>
  <c r="BL332" i="3" s="1"/>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O334" i="3"/>
  <c r="BP334" i="3"/>
  <c r="BQ334" i="3"/>
  <c r="BL334" i="3" s="1"/>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M336" i="3"/>
  <c r="BN336" i="3"/>
  <c r="BO336" i="3"/>
  <c r="BP336" i="3"/>
  <c r="BQ336" i="3"/>
  <c r="BL336" i="3" s="1"/>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M338" i="3"/>
  <c r="BN338" i="3"/>
  <c r="BO338" i="3"/>
  <c r="BP338" i="3"/>
  <c r="BQ338" i="3"/>
  <c r="BL338" i="3" s="1"/>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M340" i="3"/>
  <c r="BN340" i="3"/>
  <c r="BO340" i="3"/>
  <c r="BP340" i="3"/>
  <c r="BQ340" i="3"/>
  <c r="BL340" i="3" s="1"/>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M342" i="3"/>
  <c r="BN342" i="3"/>
  <c r="BO342" i="3"/>
  <c r="BP342" i="3"/>
  <c r="BQ342" i="3"/>
  <c r="BL342" i="3" s="1"/>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M344" i="3"/>
  <c r="BN344" i="3"/>
  <c r="BO344" i="3"/>
  <c r="BP344" i="3"/>
  <c r="BQ344" i="3"/>
  <c r="BR344" i="3"/>
  <c r="BS344" i="3"/>
  <c r="BT344" i="3"/>
  <c r="BB345" i="3"/>
  <c r="BC345" i="3"/>
  <c r="BD345" i="3"/>
  <c r="BE345" i="3"/>
  <c r="BA345" i="3" s="1"/>
  <c r="BF345" i="3"/>
  <c r="BG345" i="3"/>
  <c r="BH345" i="3"/>
  <c r="BI345" i="3"/>
  <c r="BJ345" i="3"/>
  <c r="BK345" i="3"/>
  <c r="BM345" i="3"/>
  <c r="BN345" i="3"/>
  <c r="BO345" i="3"/>
  <c r="BP345" i="3"/>
  <c r="BQ345" i="3"/>
  <c r="BR345" i="3"/>
  <c r="BS345" i="3"/>
  <c r="BT345" i="3"/>
  <c r="BB346" i="3"/>
  <c r="BC346" i="3"/>
  <c r="BD346" i="3"/>
  <c r="BA346" i="3" s="1"/>
  <c r="BE346" i="3"/>
  <c r="BF346" i="3"/>
  <c r="BG346" i="3"/>
  <c r="BH346" i="3"/>
  <c r="BI346" i="3"/>
  <c r="BJ346" i="3"/>
  <c r="BK346" i="3"/>
  <c r="BM346" i="3"/>
  <c r="BN346" i="3"/>
  <c r="BO346" i="3"/>
  <c r="BP346" i="3"/>
  <c r="BQ346" i="3"/>
  <c r="BR346" i="3"/>
  <c r="BS346" i="3"/>
  <c r="BT346" i="3"/>
  <c r="BB347" i="3"/>
  <c r="BC347" i="3"/>
  <c r="BD347" i="3"/>
  <c r="BE347" i="3"/>
  <c r="BA347" i="3" s="1"/>
  <c r="BF347" i="3"/>
  <c r="BG347" i="3"/>
  <c r="BH347" i="3"/>
  <c r="BI347" i="3"/>
  <c r="BJ347" i="3"/>
  <c r="BK347" i="3"/>
  <c r="BM347" i="3"/>
  <c r="BN347" i="3"/>
  <c r="BO347" i="3"/>
  <c r="BP347" i="3"/>
  <c r="BQ347" i="3"/>
  <c r="BR347" i="3"/>
  <c r="BS347" i="3"/>
  <c r="BT347" i="3"/>
  <c r="BB348" i="3"/>
  <c r="BC348" i="3"/>
  <c r="BD348" i="3"/>
  <c r="BA348" i="3" s="1"/>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L350" i="3" s="1"/>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L352" i="3" s="1"/>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A355" i="3" s="1"/>
  <c r="AZ355" i="3" s="1"/>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L377" i="3" s="1"/>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A379" i="3" s="1"/>
  <c r="AZ379" i="3" s="1"/>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A381" i="3" s="1"/>
  <c r="AZ381" i="3" s="1"/>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L382" i="3" s="1"/>
  <c r="BN382" i="3"/>
  <c r="BO382" i="3"/>
  <c r="BP382" i="3"/>
  <c r="BQ382" i="3"/>
  <c r="BR382" i="3"/>
  <c r="BS382" i="3"/>
  <c r="BT382" i="3"/>
  <c r="BB383" i="3"/>
  <c r="BC383" i="3"/>
  <c r="BD383" i="3"/>
  <c r="BE383" i="3"/>
  <c r="BA383" i="3" s="1"/>
  <c r="BF383" i="3"/>
  <c r="BG383" i="3"/>
  <c r="BH383" i="3"/>
  <c r="BI383" i="3"/>
  <c r="BJ383" i="3"/>
  <c r="BK383" i="3"/>
  <c r="BM383" i="3"/>
  <c r="BN383" i="3"/>
  <c r="BL383" i="3" s="1"/>
  <c r="BO383" i="3"/>
  <c r="BP383" i="3"/>
  <c r="BQ383" i="3"/>
  <c r="BR383" i="3"/>
  <c r="BS383" i="3"/>
  <c r="BT383" i="3"/>
  <c r="BB384" i="3"/>
  <c r="BC384" i="3"/>
  <c r="BD384" i="3"/>
  <c r="BA384" i="3" s="1"/>
  <c r="BE384" i="3"/>
  <c r="BF384" i="3"/>
  <c r="BG384" i="3"/>
  <c r="BH384" i="3"/>
  <c r="BI384" i="3"/>
  <c r="BJ384" i="3"/>
  <c r="BK384" i="3"/>
  <c r="BM384" i="3"/>
  <c r="BL384" i="3" s="1"/>
  <c r="BN384" i="3"/>
  <c r="BO384" i="3"/>
  <c r="BP384" i="3"/>
  <c r="BQ384" i="3"/>
  <c r="BR384" i="3"/>
  <c r="BS384" i="3"/>
  <c r="BT384" i="3"/>
  <c r="BB385" i="3"/>
  <c r="BC385" i="3"/>
  <c r="BD385" i="3"/>
  <c r="BE385" i="3"/>
  <c r="BA385" i="3" s="1"/>
  <c r="BF385" i="3"/>
  <c r="BG385" i="3"/>
  <c r="BH385" i="3"/>
  <c r="BI385" i="3"/>
  <c r="BJ385" i="3"/>
  <c r="BK385" i="3"/>
  <c r="BM385" i="3"/>
  <c r="BN385" i="3"/>
  <c r="BL385" i="3" s="1"/>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A387" i="3" s="1"/>
  <c r="AZ387" i="3" s="1"/>
  <c r="BC387" i="3"/>
  <c r="BD387" i="3"/>
  <c r="BE387" i="3"/>
  <c r="BF387" i="3"/>
  <c r="BG387" i="3"/>
  <c r="BH387" i="3"/>
  <c r="BI387" i="3"/>
  <c r="BJ387" i="3"/>
  <c r="BK387" i="3"/>
  <c r="BM387" i="3"/>
  <c r="BN387" i="3"/>
  <c r="BO387" i="3"/>
  <c r="BP387" i="3"/>
  <c r="BQ387" i="3"/>
  <c r="BR387" i="3"/>
  <c r="BS387" i="3"/>
  <c r="BT387" i="3"/>
  <c r="BL387" i="3"/>
  <c r="BB388" i="3"/>
  <c r="BC388" i="3"/>
  <c r="BA388" i="3" s="1"/>
  <c r="BD388" i="3"/>
  <c r="BE388" i="3"/>
  <c r="BF388" i="3"/>
  <c r="BG388" i="3"/>
  <c r="BH388" i="3"/>
  <c r="BI388" i="3"/>
  <c r="BJ388" i="3"/>
  <c r="BK388" i="3"/>
  <c r="BM388" i="3"/>
  <c r="BN388" i="3"/>
  <c r="BO388" i="3"/>
  <c r="BP388" i="3"/>
  <c r="BQ388" i="3"/>
  <c r="BL388" i="3" s="1"/>
  <c r="BR388" i="3"/>
  <c r="BS388" i="3"/>
  <c r="BT388" i="3"/>
  <c r="BB389" i="3"/>
  <c r="BA389" i="3" s="1"/>
  <c r="AZ389" i="3" s="1"/>
  <c r="BC389" i="3"/>
  <c r="BD389" i="3"/>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L390" i="3" s="1"/>
  <c r="BN390" i="3"/>
  <c r="BO390" i="3"/>
  <c r="BP390" i="3"/>
  <c r="BQ390" i="3"/>
  <c r="BR390" i="3"/>
  <c r="BS390" i="3"/>
  <c r="BT390" i="3"/>
  <c r="BB391" i="3"/>
  <c r="BC391" i="3"/>
  <c r="BD391" i="3"/>
  <c r="BE391" i="3"/>
  <c r="BA391" i="3" s="1"/>
  <c r="BF391" i="3"/>
  <c r="BG391" i="3"/>
  <c r="BH391" i="3"/>
  <c r="BI391" i="3"/>
  <c r="BJ391" i="3"/>
  <c r="BK391" i="3"/>
  <c r="BM391" i="3"/>
  <c r="BN391" i="3"/>
  <c r="BL391" i="3" s="1"/>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L508" i="3" s="1"/>
  <c r="BN508" i="3"/>
  <c r="BO508" i="3"/>
  <c r="BP508" i="3"/>
  <c r="BQ508" i="3"/>
  <c r="BR508" i="3"/>
  <c r="BS508" i="3"/>
  <c r="BT508" i="3"/>
  <c r="BB509" i="3"/>
  <c r="BC509" i="3"/>
  <c r="BA509" i="3" s="1"/>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L513" i="3" s="1"/>
  <c r="BS513" i="3"/>
  <c r="BT513" i="3"/>
  <c r="BB514" i="3"/>
  <c r="BC514" i="3"/>
  <c r="BD514" i="3"/>
  <c r="BE514" i="3"/>
  <c r="BF514" i="3"/>
  <c r="BG514" i="3"/>
  <c r="BH514" i="3"/>
  <c r="BI514" i="3"/>
  <c r="BJ514" i="3"/>
  <c r="BK514" i="3"/>
  <c r="BM514" i="3"/>
  <c r="BN514" i="3"/>
  <c r="BO514" i="3"/>
  <c r="BP514" i="3"/>
  <c r="BL514" i="3" s="1"/>
  <c r="BQ514" i="3"/>
  <c r="BR514" i="3"/>
  <c r="BS514" i="3"/>
  <c r="BT514" i="3"/>
  <c r="BB515" i="3"/>
  <c r="BC515" i="3"/>
  <c r="BD515" i="3"/>
  <c r="BE515" i="3"/>
  <c r="BA515" i="3" s="1"/>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L516" i="3" s="1"/>
  <c r="BQ516" i="3"/>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L520" i="3" s="1"/>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s="1"/>
  <c r="BO522" i="3"/>
  <c r="BP522" i="3"/>
  <c r="BQ522" i="3"/>
  <c r="BR522" i="3"/>
  <c r="BS522" i="3"/>
  <c r="BT522" i="3"/>
  <c r="BB523" i="3"/>
  <c r="BA523" i="3" s="1"/>
  <c r="AZ523" i="3" s="1"/>
  <c r="BC523" i="3"/>
  <c r="BD523" i="3"/>
  <c r="BE523" i="3"/>
  <c r="BF523" i="3"/>
  <c r="BG523" i="3"/>
  <c r="BH523" i="3"/>
  <c r="BI523" i="3"/>
  <c r="BJ523" i="3"/>
  <c r="BK523" i="3"/>
  <c r="BM523" i="3"/>
  <c r="BN523" i="3"/>
  <c r="BO523" i="3"/>
  <c r="BP523" i="3"/>
  <c r="BQ523" i="3"/>
  <c r="BR523" i="3"/>
  <c r="BS523" i="3"/>
  <c r="BT523" i="3"/>
  <c r="BL523" i="3"/>
  <c r="BB524" i="3"/>
  <c r="BC524" i="3"/>
  <c r="BA524" i="3" s="1"/>
  <c r="AZ524" i="3" s="1"/>
  <c r="BD524" i="3"/>
  <c r="BE524" i="3"/>
  <c r="BF524" i="3"/>
  <c r="BG524" i="3"/>
  <c r="BH524" i="3"/>
  <c r="BI524" i="3"/>
  <c r="BJ524" i="3"/>
  <c r="BK524" i="3"/>
  <c r="BM524" i="3"/>
  <c r="BN524" i="3"/>
  <c r="BO524" i="3"/>
  <c r="BP524" i="3"/>
  <c r="BQ524" i="3"/>
  <c r="BL524" i="3" s="1"/>
  <c r="BR524" i="3"/>
  <c r="BS524" i="3"/>
  <c r="BT524" i="3"/>
  <c r="BB525" i="3"/>
  <c r="BA525" i="3" s="1"/>
  <c r="AZ525" i="3" s="1"/>
  <c r="BC525" i="3"/>
  <c r="BD525" i="3"/>
  <c r="BE525" i="3"/>
  <c r="BF525" i="3"/>
  <c r="BG525" i="3"/>
  <c r="BH525" i="3"/>
  <c r="BI525" i="3"/>
  <c r="BJ525" i="3"/>
  <c r="BK525" i="3"/>
  <c r="BM525" i="3"/>
  <c r="BN525" i="3"/>
  <c r="BO525" i="3"/>
  <c r="BP525" i="3"/>
  <c r="BQ525" i="3"/>
  <c r="BR525" i="3"/>
  <c r="BS525" i="3"/>
  <c r="BT525" i="3"/>
  <c r="BL525" i="3"/>
  <c r="BB526" i="3"/>
  <c r="BC526" i="3"/>
  <c r="BA526" i="3" s="1"/>
  <c r="BD526" i="3"/>
  <c r="BE526" i="3"/>
  <c r="BF526" i="3"/>
  <c r="BG526" i="3"/>
  <c r="BH526" i="3"/>
  <c r="BI526" i="3"/>
  <c r="BJ526" i="3"/>
  <c r="BK526" i="3"/>
  <c r="BM526" i="3"/>
  <c r="BN526" i="3"/>
  <c r="BO526" i="3"/>
  <c r="BP526" i="3"/>
  <c r="BQ526" i="3"/>
  <c r="BL526" i="3" s="1"/>
  <c r="BR526" i="3"/>
  <c r="BS526" i="3"/>
  <c r="BT526" i="3"/>
  <c r="BB527" i="3"/>
  <c r="BA527" i="3" s="1"/>
  <c r="AZ527" i="3" s="1"/>
  <c r="BC527" i="3"/>
  <c r="BD527" i="3"/>
  <c r="BE527" i="3"/>
  <c r="BF527" i="3"/>
  <c r="BG527" i="3"/>
  <c r="BH527" i="3"/>
  <c r="BI527" i="3"/>
  <c r="BJ527" i="3"/>
  <c r="BK527" i="3"/>
  <c r="BM527" i="3"/>
  <c r="BN527" i="3"/>
  <c r="BO527" i="3"/>
  <c r="BP527" i="3"/>
  <c r="BQ527" i="3"/>
  <c r="BR527" i="3"/>
  <c r="BS527" i="3"/>
  <c r="BT527" i="3"/>
  <c r="BL527" i="3"/>
  <c r="BB528" i="3"/>
  <c r="BC528" i="3"/>
  <c r="BA528" i="3" s="1"/>
  <c r="BD528" i="3"/>
  <c r="BE528" i="3"/>
  <c r="BF528" i="3"/>
  <c r="BG528" i="3"/>
  <c r="BH528" i="3"/>
  <c r="BI528" i="3"/>
  <c r="BJ528" i="3"/>
  <c r="BK528" i="3"/>
  <c r="BM528" i="3"/>
  <c r="BN528" i="3"/>
  <c r="BO528" i="3"/>
  <c r="BP528" i="3"/>
  <c r="BL528" i="3" s="1"/>
  <c r="BQ528" i="3"/>
  <c r="BR528" i="3"/>
  <c r="BS528" i="3"/>
  <c r="BT528" i="3"/>
  <c r="BB529" i="3"/>
  <c r="BC529" i="3"/>
  <c r="BD529" i="3"/>
  <c r="BA529" i="3" s="1"/>
  <c r="AZ529" i="3" s="1"/>
  <c r="BE529" i="3"/>
  <c r="BF529" i="3"/>
  <c r="BG529" i="3"/>
  <c r="BH529" i="3"/>
  <c r="BI529" i="3"/>
  <c r="BJ529" i="3"/>
  <c r="BK529" i="3"/>
  <c r="BM529" i="3"/>
  <c r="BN529" i="3"/>
  <c r="BO529" i="3"/>
  <c r="BP529" i="3"/>
  <c r="BQ529" i="3"/>
  <c r="BR529" i="3"/>
  <c r="BS529" i="3"/>
  <c r="BT529" i="3"/>
  <c r="BL529" i="3"/>
  <c r="BB530" i="3"/>
  <c r="BC530" i="3"/>
  <c r="BA530" i="3" s="1"/>
  <c r="BD530" i="3"/>
  <c r="BE530" i="3"/>
  <c r="BF530" i="3"/>
  <c r="BG530" i="3"/>
  <c r="BH530" i="3"/>
  <c r="BI530" i="3"/>
  <c r="BJ530" i="3"/>
  <c r="BK530" i="3"/>
  <c r="BM530" i="3"/>
  <c r="BN530" i="3"/>
  <c r="BO530" i="3"/>
  <c r="BL530" i="3" s="1"/>
  <c r="BP530" i="3"/>
  <c r="BQ530" i="3"/>
  <c r="BR530" i="3"/>
  <c r="BS530" i="3"/>
  <c r="BT530" i="3"/>
  <c r="BB531" i="3"/>
  <c r="BC531" i="3"/>
  <c r="BD531" i="3"/>
  <c r="BE531" i="3"/>
  <c r="BA531" i="3" s="1"/>
  <c r="BF531" i="3"/>
  <c r="BG531" i="3"/>
  <c r="BH531" i="3"/>
  <c r="BI531" i="3"/>
  <c r="BJ531" i="3"/>
  <c r="BK531" i="3"/>
  <c r="BM531" i="3"/>
  <c r="BN531" i="3"/>
  <c r="BO531" i="3"/>
  <c r="BP531" i="3"/>
  <c r="BQ531" i="3"/>
  <c r="BR531" i="3"/>
  <c r="BL531" i="3" s="1"/>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P538" i="3"/>
  <c r="BQ538" i="3"/>
  <c r="BL538" i="3" s="1"/>
  <c r="BR538" i="3"/>
  <c r="BS538" i="3"/>
  <c r="BT538" i="3"/>
  <c r="BB539" i="3"/>
  <c r="BA539" i="3" s="1"/>
  <c r="AZ539" i="3" s="1"/>
  <c r="BC539" i="3"/>
  <c r="BD539" i="3"/>
  <c r="BE539" i="3"/>
  <c r="BF539" i="3"/>
  <c r="BG539" i="3"/>
  <c r="BH539" i="3"/>
  <c r="BI539" i="3"/>
  <c r="BJ539" i="3"/>
  <c r="BK539" i="3"/>
  <c r="BM539" i="3"/>
  <c r="BN539" i="3"/>
  <c r="BO539" i="3"/>
  <c r="BP539" i="3"/>
  <c r="BQ539" i="3"/>
  <c r="BR539" i="3"/>
  <c r="BS539" i="3"/>
  <c r="BT539" i="3"/>
  <c r="BL539" i="3"/>
  <c r="BB540" i="3"/>
  <c r="BC540" i="3"/>
  <c r="BA540" i="3" s="1"/>
  <c r="BD540" i="3"/>
  <c r="BE540" i="3"/>
  <c r="BF540" i="3"/>
  <c r="BG540" i="3"/>
  <c r="BH540" i="3"/>
  <c r="BI540" i="3"/>
  <c r="BJ540" i="3"/>
  <c r="BK540" i="3"/>
  <c r="BM540" i="3"/>
  <c r="BN540" i="3"/>
  <c r="BO540" i="3"/>
  <c r="BP540" i="3"/>
  <c r="BQ540" i="3"/>
  <c r="BL540" i="3" s="1"/>
  <c r="BR540" i="3"/>
  <c r="BS540" i="3"/>
  <c r="BT540" i="3"/>
  <c r="BB541" i="3"/>
  <c r="BA541" i="3" s="1"/>
  <c r="AZ541" i="3" s="1"/>
  <c r="BC541" i="3"/>
  <c r="BD541" i="3"/>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P542" i="3"/>
  <c r="BQ542" i="3"/>
  <c r="BL542" i="3" s="1"/>
  <c r="BR542" i="3"/>
  <c r="BS542" i="3"/>
  <c r="BT542" i="3"/>
  <c r="BB543" i="3"/>
  <c r="BA543" i="3" s="1"/>
  <c r="AZ543" i="3" s="1"/>
  <c r="BC543" i="3"/>
  <c r="BD543" i="3"/>
  <c r="BE543" i="3"/>
  <c r="BF543" i="3"/>
  <c r="BG543" i="3"/>
  <c r="BH543" i="3"/>
  <c r="BI543" i="3"/>
  <c r="BJ543" i="3"/>
  <c r="BK543" i="3"/>
  <c r="BM543" i="3"/>
  <c r="BN543" i="3"/>
  <c r="BO543" i="3"/>
  <c r="BP543" i="3"/>
  <c r="BQ543" i="3"/>
  <c r="BR543" i="3"/>
  <c r="BS543" i="3"/>
  <c r="BT543" i="3"/>
  <c r="BL543" i="3"/>
  <c r="BB544" i="3"/>
  <c r="BC544" i="3"/>
  <c r="BA544" i="3" s="1"/>
  <c r="BD544" i="3"/>
  <c r="BE544" i="3"/>
  <c r="BF544" i="3"/>
  <c r="BG544" i="3"/>
  <c r="BH544" i="3"/>
  <c r="BI544" i="3"/>
  <c r="BJ544" i="3"/>
  <c r="BK544" i="3"/>
  <c r="BM544" i="3"/>
  <c r="BN544" i="3"/>
  <c r="BO544" i="3"/>
  <c r="BP544" i="3"/>
  <c r="BQ544" i="3"/>
  <c r="BL544" i="3" s="1"/>
  <c r="BR544" i="3"/>
  <c r="BS544" i="3"/>
  <c r="BT544" i="3"/>
  <c r="BB545" i="3"/>
  <c r="BA545" i="3" s="1"/>
  <c r="AZ545" i="3" s="1"/>
  <c r="BC545" i="3"/>
  <c r="BD545" i="3"/>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s="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F34" i="72" s="1"/>
  <c r="F61" i="72" s="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K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B53" i="63" s="1"/>
  <c r="A7" i="54"/>
  <c r="C57" i="10"/>
  <c r="A28" i="51" s="1"/>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s="1"/>
  <c r="I19" i="46"/>
  <c r="D73" i="59"/>
  <c r="F72" i="59"/>
  <c r="F71" i="59"/>
  <c r="F70" i="59" s="1"/>
  <c r="E72" i="59"/>
  <c r="E71" i="59" s="1"/>
  <c r="E70" i="59" s="1"/>
  <c r="C72" i="59"/>
  <c r="D72" i="59"/>
  <c r="B72" i="59"/>
  <c r="B71" i="59"/>
  <c r="B70" i="59" s="1"/>
  <c r="D69" i="59"/>
  <c r="F68" i="59"/>
  <c r="F67" i="59"/>
  <c r="F66" i="59" s="1"/>
  <c r="E68" i="59"/>
  <c r="E67" i="59" s="1"/>
  <c r="E66" i="59" s="1"/>
  <c r="C68" i="59"/>
  <c r="D68" i="59"/>
  <c r="B68" i="59"/>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O52" i="59" s="1"/>
  <c r="B52" i="59"/>
  <c r="N52" i="59"/>
  <c r="D49" i="59"/>
  <c r="Q48" i="59"/>
  <c r="P48" i="59"/>
  <c r="O48" i="59"/>
  <c r="N48" i="59"/>
  <c r="Q47" i="59"/>
  <c r="P47" i="59"/>
  <c r="O47" i="59"/>
  <c r="N47" i="59"/>
  <c r="Q46" i="59"/>
  <c r="P46" i="59"/>
  <c r="O46" i="59"/>
  <c r="N46" i="59"/>
  <c r="Q45" i="59"/>
  <c r="F46" i="59" s="1"/>
  <c r="F47" i="59" s="1"/>
  <c r="F48" i="59" s="1"/>
  <c r="V48" i="59" s="1"/>
  <c r="P45" i="59"/>
  <c r="E46" i="59"/>
  <c r="E47" i="59" s="1"/>
  <c r="E48" i="59" s="1"/>
  <c r="U48" i="59" s="1"/>
  <c r="O45" i="59"/>
  <c r="C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F27" i="59" s="1"/>
  <c r="F28" i="59" s="1"/>
  <c r="V28" i="59" s="1"/>
  <c r="P25" i="59"/>
  <c r="E26" i="59" s="1"/>
  <c r="E27" i="59" s="1"/>
  <c r="E28" i="59" s="1"/>
  <c r="U28" i="59" s="1"/>
  <c r="O25" i="59"/>
  <c r="C26" i="59"/>
  <c r="C27" i="59" s="1"/>
  <c r="N25" i="59"/>
  <c r="B26" i="59" s="1"/>
  <c r="B27" i="59" s="1"/>
  <c r="B28" i="59" s="1"/>
  <c r="S28" i="59" s="1"/>
  <c r="D25" i="59"/>
  <c r="Q24" i="59"/>
  <c r="P24" i="59"/>
  <c r="O24" i="59"/>
  <c r="N24" i="59"/>
  <c r="AB23" i="59"/>
  <c r="Y23" i="59"/>
  <c r="Z23" i="59"/>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AA23" i="59"/>
  <c r="T52" i="59"/>
  <c r="D52" i="59"/>
  <c r="P52" i="59"/>
  <c r="C55" i="59"/>
  <c r="C54" i="59" s="1"/>
  <c r="D54" i="59" s="1"/>
  <c r="E63" i="59"/>
  <c r="E62" i="59" s="1"/>
  <c r="D64" i="59"/>
  <c r="C71" i="59"/>
  <c r="D71" i="59"/>
  <c r="U16" i="4"/>
  <c r="T16" i="4"/>
  <c r="S16" i="4"/>
  <c r="Q16" i="4"/>
  <c r="P16" i="4" s="1"/>
  <c r="O16" i="4"/>
  <c r="M16" i="4"/>
  <c r="L16" i="4" s="1"/>
  <c r="K16" i="4"/>
  <c r="D55" i="59"/>
  <c r="O27" i="6"/>
  <c r="N27" i="6"/>
  <c r="P26" i="6"/>
  <c r="L26" i="6"/>
  <c r="P25" i="6"/>
  <c r="L25" i="6"/>
  <c r="P24" i="6"/>
  <c r="L24" i="6"/>
  <c r="P23" i="6"/>
  <c r="L23" i="6"/>
  <c r="P22" i="6"/>
  <c r="L22" i="6"/>
  <c r="P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s="1"/>
  <c r="Q31" i="39"/>
  <c r="Z31" i="39" s="1"/>
  <c r="D105" i="39"/>
  <c r="E105" i="39" s="1"/>
  <c r="F105" i="39" s="1"/>
  <c r="G105" i="39" s="1"/>
  <c r="G20" i="20"/>
  <c r="B85" i="46"/>
  <c r="C22" i="20"/>
  <c r="B65" i="46"/>
  <c r="S18" i="35"/>
  <c r="C27" i="40"/>
  <c r="C31" i="39"/>
  <c r="B54" i="46"/>
  <c r="B74" i="46"/>
  <c r="E66" i="36"/>
  <c r="H18" i="35"/>
  <c r="J18" i="35"/>
  <c r="H21" i="37"/>
  <c r="J21" i="37"/>
  <c r="J21" i="34"/>
  <c r="H21" i="34"/>
  <c r="F21" i="33"/>
  <c r="H21" i="33"/>
  <c r="J21" i="33"/>
  <c r="H27" i="40"/>
  <c r="H31" i="39"/>
  <c r="D22" i="15"/>
  <c r="G17" i="11"/>
  <c r="D23"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C112" i="9"/>
  <c r="C7" i="11"/>
  <c r="H81" i="46"/>
  <c r="G99" i="46"/>
  <c r="G108" i="46" s="1"/>
  <c r="H99" i="46"/>
  <c r="H108" i="46" s="1"/>
  <c r="I99" i="46"/>
  <c r="I108" i="46" s="1"/>
  <c r="J99" i="46"/>
  <c r="J108" i="46" s="1"/>
  <c r="K99" i="46"/>
  <c r="K108" i="46" s="1"/>
  <c r="L99" i="46"/>
  <c r="L108" i="46" s="1"/>
  <c r="M99" i="46"/>
  <c r="M108" i="46" s="1"/>
  <c r="N99" i="46"/>
  <c r="N108" i="46" s="1"/>
  <c r="K100" i="46"/>
  <c r="K58" i="46"/>
  <c r="J58" i="46"/>
  <c r="K50" i="46"/>
  <c r="J50" i="46"/>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J54" i="46" s="1"/>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Q73" i="15"/>
  <c r="Q60" i="15"/>
  <c r="Q59" i="15"/>
  <c r="Q52" i="15"/>
  <c r="AE12" i="1"/>
  <c r="AE13" i="1"/>
  <c r="AG7"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F19" i="4"/>
  <c r="F10" i="1"/>
  <c r="G10" i="1" s="1"/>
  <c r="B2" i="52"/>
  <c r="I2" i="46"/>
  <c r="N12" i="46" s="1"/>
  <c r="A7" i="46"/>
  <c r="F41" i="4"/>
  <c r="J52" i="40"/>
  <c r="H61" i="49"/>
  <c r="H39" i="46"/>
  <c r="H38" i="46"/>
  <c r="H37" i="46"/>
  <c r="H36" i="46"/>
  <c r="H35" i="46"/>
  <c r="H34" i="46"/>
  <c r="C35" i="4"/>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s="1"/>
  <c r="B23" i="1"/>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F37" i="39" s="1"/>
  <c r="B114" i="39"/>
  <c r="J30" i="36"/>
  <c r="W30" i="36" s="1"/>
  <c r="H30" i="36"/>
  <c r="U30" i="36"/>
  <c r="F30" i="36"/>
  <c r="C26" i="35"/>
  <c r="C79" i="35" s="1"/>
  <c r="J26" i="35" s="1"/>
  <c r="J31" i="35"/>
  <c r="AC31" i="35" s="1"/>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AC42" i="34" s="1"/>
  <c r="F42" i="34"/>
  <c r="S42" i="34"/>
  <c r="J38" i="34"/>
  <c r="AC38" i="34"/>
  <c r="D114" i="34"/>
  <c r="E114" i="34"/>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83" i="39"/>
  <c r="E83" i="39" s="1"/>
  <c r="F83" i="39" s="1"/>
  <c r="D78" i="40"/>
  <c r="E78" i="40"/>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E90" i="40" s="1"/>
  <c r="F90" i="40" s="1"/>
  <c r="G90" i="40" s="1"/>
  <c r="H21" i="40"/>
  <c r="AB21" i="40"/>
  <c r="D88" i="40"/>
  <c r="E88" i="40"/>
  <c r="D86" i="40"/>
  <c r="E86" i="40"/>
  <c r="F86" i="40" s="1"/>
  <c r="G86" i="40" s="1"/>
  <c r="J17" i="40"/>
  <c r="W17"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F39" i="39" s="1"/>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J45" i="39" s="1"/>
  <c r="AC45" i="39" s="1"/>
  <c r="D128" i="39"/>
  <c r="D124" i="39"/>
  <c r="E124" i="39" s="1"/>
  <c r="F124" i="39" s="1"/>
  <c r="G124" i="39" s="1"/>
  <c r="H124" i="39" s="1"/>
  <c r="I124" i="39" s="1"/>
  <c r="J124" i="39" s="1"/>
  <c r="K124" i="39" s="1"/>
  <c r="L124" i="39" s="1"/>
  <c r="M124" i="39" s="1"/>
  <c r="B106" i="39"/>
  <c r="H33" i="39" s="1"/>
  <c r="D99" i="39"/>
  <c r="E99" i="39" s="1"/>
  <c r="F99" i="39" s="1"/>
  <c r="G99" i="39" s="1"/>
  <c r="D97" i="39"/>
  <c r="E97" i="39" s="1"/>
  <c r="D95" i="39"/>
  <c r="E95" i="39"/>
  <c r="F95" i="39" s="1"/>
  <c r="G95" i="39" s="1"/>
  <c r="D93" i="39"/>
  <c r="E93" i="39" s="1"/>
  <c r="D91" i="39"/>
  <c r="E91" i="39" s="1"/>
  <c r="B88" i="39"/>
  <c r="F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F96" i="37" s="1"/>
  <c r="G96" i="37" s="1"/>
  <c r="H96" i="37" s="1"/>
  <c r="I96" i="37" s="1"/>
  <c r="J96" i="37" s="1"/>
  <c r="K96" i="37" s="1"/>
  <c r="L96" i="37" s="1"/>
  <c r="M96" i="37" s="1"/>
  <c r="D94" i="37"/>
  <c r="E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c r="U27" i="37" s="1"/>
  <c r="B82" i="37"/>
  <c r="J26" i="37" s="1"/>
  <c r="D79" i="37"/>
  <c r="E79" i="37" s="1"/>
  <c r="F79" i="37" s="1"/>
  <c r="G79" i="37" s="1"/>
  <c r="D75" i="37"/>
  <c r="E75" i="37"/>
  <c r="F75" i="37" s="1"/>
  <c r="G75" i="37" s="1"/>
  <c r="D73" i="37"/>
  <c r="E73" i="37"/>
  <c r="F73" i="37" s="1"/>
  <c r="G73" i="37" s="1"/>
  <c r="D71" i="37"/>
  <c r="E71" i="37"/>
  <c r="F71" i="37" s="1"/>
  <c r="G71" i="37" s="1"/>
  <c r="F15" i="37"/>
  <c r="AA15" i="37"/>
  <c r="B68" i="37"/>
  <c r="H14" i="37"/>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U29" i="37" s="1"/>
  <c r="Q28" i="37"/>
  <c r="Z28" i="37"/>
  <c r="Q27" i="37"/>
  <c r="Z27" i="37"/>
  <c r="Q26" i="37"/>
  <c r="Z26" i="37"/>
  <c r="F26" i="37"/>
  <c r="AA26" i="37" s="1"/>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AB33" i="36" s="1"/>
  <c r="B91" i="36"/>
  <c r="F32" i="36"/>
  <c r="S32" i="36" s="1"/>
  <c r="B95" i="36"/>
  <c r="D83" i="36"/>
  <c r="E83" i="36" s="1"/>
  <c r="F83" i="36" s="1"/>
  <c r="G83" i="36" s="1"/>
  <c r="H83" i="36" s="1"/>
  <c r="I83" i="36" s="1"/>
  <c r="J83" i="36" s="1"/>
  <c r="K83" i="36" s="1"/>
  <c r="L83" i="36" s="1"/>
  <c r="M83" i="36" s="1"/>
  <c r="D78" i="36"/>
  <c r="J26" i="36"/>
  <c r="W26" i="36"/>
  <c r="B75" i="36"/>
  <c r="B73" i="36"/>
  <c r="F24" i="36" s="1"/>
  <c r="AA24" i="36" s="1"/>
  <c r="B71" i="36"/>
  <c r="H23" i="36" s="1"/>
  <c r="D70" i="36"/>
  <c r="H22" i="36"/>
  <c r="AB22" i="36" s="1"/>
  <c r="D68" i="36"/>
  <c r="E68" i="36" s="1"/>
  <c r="F68" i="36" s="1"/>
  <c r="G68" i="36" s="1"/>
  <c r="D64" i="36"/>
  <c r="E64" i="36" s="1"/>
  <c r="F64" i="36" s="1"/>
  <c r="G64" i="36" s="1"/>
  <c r="J16" i="36"/>
  <c r="AC16" i="36" s="1"/>
  <c r="D62" i="36"/>
  <c r="E62" i="36"/>
  <c r="F62" i="36" s="1"/>
  <c r="G62" i="36" s="1"/>
  <c r="B59" i="36"/>
  <c r="B57" i="36"/>
  <c r="J12" i="36" s="1"/>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c r="W35" i="35" s="1"/>
  <c r="B97" i="35"/>
  <c r="B77" i="35"/>
  <c r="B75" i="35"/>
  <c r="J24" i="35" s="1"/>
  <c r="AC24" i="35" s="1"/>
  <c r="B73" i="35"/>
  <c r="J23" i="35"/>
  <c r="W23" i="35" s="1"/>
  <c r="B57" i="35"/>
  <c r="H11" i="35" s="1"/>
  <c r="B61" i="35"/>
  <c r="B59" i="35"/>
  <c r="J12" i="35" s="1"/>
  <c r="W12" i="35" s="1"/>
  <c r="B131" i="34"/>
  <c r="F47" i="34"/>
  <c r="AA47" i="34" s="1"/>
  <c r="B129" i="34"/>
  <c r="B127" i="34"/>
  <c r="H45" i="34" s="1"/>
  <c r="U45" i="34" s="1"/>
  <c r="B99" i="34"/>
  <c r="H32" i="34" s="1"/>
  <c r="U32" i="34" s="1"/>
  <c r="B97" i="34"/>
  <c r="H31" i="34"/>
  <c r="AB31" i="34" s="1"/>
  <c r="B95" i="34"/>
  <c r="B93" i="34"/>
  <c r="J29" i="34" s="1"/>
  <c r="AC29" i="34" s="1"/>
  <c r="B75" i="34"/>
  <c r="F14" i="34" s="1"/>
  <c r="B73" i="34"/>
  <c r="J13" i="34"/>
  <c r="W13" i="34" s="1"/>
  <c r="B71" i="34"/>
  <c r="B130" i="33"/>
  <c r="J46" i="33" s="1"/>
  <c r="AC46" i="33" s="1"/>
  <c r="B128" i="33"/>
  <c r="H45" i="33" s="1"/>
  <c r="AB45" i="33" s="1"/>
  <c r="B126" i="33"/>
  <c r="B98" i="33"/>
  <c r="F31" i="33" s="1"/>
  <c r="AA31" i="33" s="1"/>
  <c r="B96" i="33"/>
  <c r="F30" i="33"/>
  <c r="S30" i="33" s="1"/>
  <c r="B94" i="33"/>
  <c r="J29" i="33" s="1"/>
  <c r="B74" i="33"/>
  <c r="F14" i="33" s="1"/>
  <c r="S14" i="33" s="1"/>
  <c r="B72" i="33"/>
  <c r="F13" i="33"/>
  <c r="S13" i="33" s="1"/>
  <c r="B70" i="33"/>
  <c r="H12" i="33" s="1"/>
  <c r="AB12" i="33" s="1"/>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F56" i="35"/>
  <c r="G56" i="35"/>
  <c r="H56" i="35" s="1"/>
  <c r="I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H67" i="34" s="1"/>
  <c r="I67" i="34" s="1"/>
  <c r="H10" i="34"/>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Q42" i="34"/>
  <c r="Z42" i="34" s="1"/>
  <c r="Q41" i="34"/>
  <c r="Z41" i="34" s="1"/>
  <c r="Q40" i="34"/>
  <c r="Z40" i="34" s="1"/>
  <c r="F40" i="34"/>
  <c r="S40" i="34" s="1"/>
  <c r="Q39" i="34"/>
  <c r="Z39" i="34" s="1"/>
  <c r="J39" i="34"/>
  <c r="AC39" i="34" s="1"/>
  <c r="H39" i="34"/>
  <c r="AB39" i="34" s="1"/>
  <c r="F39" i="34"/>
  <c r="AA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s="1"/>
  <c r="J8" i="34"/>
  <c r="H8" i="34"/>
  <c r="U8" i="34" s="1"/>
  <c r="F8" i="34"/>
  <c r="AA8" i="34"/>
  <c r="D121" i="33"/>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c r="AB28" i="33" s="1"/>
  <c r="B90" i="33"/>
  <c r="H27" i="33" s="1"/>
  <c r="AB27" i="33" s="1"/>
  <c r="D87" i="33"/>
  <c r="E87" i="33" s="1"/>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S9" i="21"/>
  <c r="G18" i="20"/>
  <c r="B87" i="46" s="1"/>
  <c r="C25" i="40"/>
  <c r="G16" i="20"/>
  <c r="B81" i="46"/>
  <c r="G15" i="20"/>
  <c r="C24" i="20"/>
  <c r="B51" i="46" s="1"/>
  <c r="C21" i="20"/>
  <c r="C20" i="20"/>
  <c r="B66" i="46" s="1"/>
  <c r="C18" i="20"/>
  <c r="C17" i="20"/>
  <c r="B58" i="46" s="1"/>
  <c r="C16" i="20"/>
  <c r="B47" i="46" s="1"/>
  <c r="C15" i="20"/>
  <c r="B69" i="46" s="1"/>
  <c r="E54" i="21"/>
  <c r="F54" i="21" s="1"/>
  <c r="I54" i="21"/>
  <c r="J54" i="21" s="1"/>
  <c r="G54" i="21"/>
  <c r="H54" i="21" s="1"/>
  <c r="D125" i="21"/>
  <c r="E125" i="21" s="1"/>
  <c r="F125" i="21" s="1"/>
  <c r="G125" i="21" s="1"/>
  <c r="D119" i="21"/>
  <c r="E119" i="21" s="1"/>
  <c r="F119" i="21" s="1"/>
  <c r="G119" i="21" s="1"/>
  <c r="H119" i="21" s="1"/>
  <c r="I119" i="21" s="1"/>
  <c r="J119" i="21" s="1"/>
  <c r="K119" i="21" s="1"/>
  <c r="L119" i="21" s="1"/>
  <c r="M119" i="21" s="1"/>
  <c r="E117" i="21"/>
  <c r="F117" i="21" s="1"/>
  <c r="G117" i="21" s="1"/>
  <c r="D115" i="21"/>
  <c r="H113" i="21"/>
  <c r="D110" i="21"/>
  <c r="E110" i="2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H69" i="21"/>
  <c r="I69" i="21"/>
  <c r="J69" i="21" s="1"/>
  <c r="K69" i="21" s="1"/>
  <c r="L69" i="21" s="1"/>
  <c r="M69" i="21" s="1"/>
  <c r="F66" i="21"/>
  <c r="G66" i="21"/>
  <c r="H66" i="21" s="1"/>
  <c r="I66" i="21" s="1"/>
  <c r="D111" i="21"/>
  <c r="E111" i="21"/>
  <c r="F111" i="21"/>
  <c r="C111" i="21"/>
  <c r="E79" i="21"/>
  <c r="F79" i="21"/>
  <c r="G79" i="21" s="1"/>
  <c r="E81" i="21"/>
  <c r="F81" i="21" s="1"/>
  <c r="E77" i="21"/>
  <c r="F77" i="21"/>
  <c r="F15" i="21"/>
  <c r="AA15"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G103" i="37" s="1"/>
  <c r="H103" i="37" s="1"/>
  <c r="I103" i="37" s="1"/>
  <c r="J103" i="37" s="1"/>
  <c r="K103" i="37" s="1"/>
  <c r="L103" i="37" s="1"/>
  <c r="M103" i="37" s="1"/>
  <c r="F29" i="36"/>
  <c r="F16" i="36"/>
  <c r="AA16" i="36" s="1"/>
  <c r="U22" i="36"/>
  <c r="J33" i="36"/>
  <c r="AC33" i="36" s="1"/>
  <c r="AC27" i="35"/>
  <c r="S31" i="35"/>
  <c r="F36" i="34"/>
  <c r="H39" i="33"/>
  <c r="AB39" i="33" s="1"/>
  <c r="U33" i="33"/>
  <c r="W38" i="33"/>
  <c r="S40" i="33"/>
  <c r="S33" i="33"/>
  <c r="W33" i="33"/>
  <c r="U38" i="33"/>
  <c r="S8" i="21"/>
  <c r="W8" i="21"/>
  <c r="AB27" i="35"/>
  <c r="S10" i="40"/>
  <c r="W10" i="40"/>
  <c r="S11" i="40"/>
  <c r="U11" i="40"/>
  <c r="S36" i="40"/>
  <c r="U36" i="40"/>
  <c r="S36" i="39"/>
  <c r="U36" i="39"/>
  <c r="S42" i="39"/>
  <c r="H32" i="33"/>
  <c r="U32" i="33" s="1"/>
  <c r="U9" i="21"/>
  <c r="J27" i="36"/>
  <c r="W27" i="36" s="1"/>
  <c r="J30" i="35"/>
  <c r="W30" i="35" s="1"/>
  <c r="F22" i="35"/>
  <c r="S22" i="35" s="1"/>
  <c r="H10" i="35"/>
  <c r="E85" i="36"/>
  <c r="F85" i="36" s="1"/>
  <c r="G85" i="36" s="1"/>
  <c r="H85" i="36" s="1"/>
  <c r="I85" i="36" s="1"/>
  <c r="J85" i="36" s="1"/>
  <c r="K85" i="36" s="1"/>
  <c r="L85" i="36" s="1"/>
  <c r="M85" i="36" s="1"/>
  <c r="J29" i="36"/>
  <c r="F12" i="36"/>
  <c r="AA12" i="36" s="1"/>
  <c r="F34" i="36"/>
  <c r="H16" i="35"/>
  <c r="AB16" i="35" s="1"/>
  <c r="H33" i="35"/>
  <c r="W8" i="35"/>
  <c r="F35" i="37"/>
  <c r="S35" i="37" s="1"/>
  <c r="J34" i="37"/>
  <c r="W34" i="37"/>
  <c r="H43" i="34"/>
  <c r="U42" i="34"/>
  <c r="H36" i="34"/>
  <c r="U36" i="34"/>
  <c r="F37" i="34"/>
  <c r="F33" i="34"/>
  <c r="AA33" i="34" s="1"/>
  <c r="F19" i="34"/>
  <c r="AA19" i="34" s="1"/>
  <c r="J10" i="34"/>
  <c r="AC10" i="34" s="1"/>
  <c r="S38" i="33"/>
  <c r="E113" i="33"/>
  <c r="F36" i="33"/>
  <c r="AA36" i="33" s="1"/>
  <c r="F19" i="33"/>
  <c r="J19" i="33"/>
  <c r="W19" i="33" s="1"/>
  <c r="W40" i="33"/>
  <c r="AB30" i="36"/>
  <c r="H29" i="35"/>
  <c r="S34" i="37"/>
  <c r="AA34" i="37"/>
  <c r="AC43" i="34"/>
  <c r="W36" i="34"/>
  <c r="J19" i="34"/>
  <c r="AC19" i="34" s="1"/>
  <c r="F113" i="33"/>
  <c r="G113" i="33" s="1"/>
  <c r="H113" i="33" s="1"/>
  <c r="I113" i="33" s="1"/>
  <c r="J113" i="33" s="1"/>
  <c r="K113" i="33" s="1"/>
  <c r="L113" i="33" s="1"/>
  <c r="M113" i="33" s="1"/>
  <c r="H37" i="33"/>
  <c r="AB37" i="33" s="1"/>
  <c r="S37" i="33"/>
  <c r="W42" i="34"/>
  <c r="AA42" i="34"/>
  <c r="W38" i="34"/>
  <c r="AA38" i="34"/>
  <c r="S38" i="34"/>
  <c r="J37" i="33"/>
  <c r="J44" i="34"/>
  <c r="AC44" i="34" s="1"/>
  <c r="F44" i="34"/>
  <c r="S44" i="34" s="1"/>
  <c r="J10" i="35"/>
  <c r="U14" i="21"/>
  <c r="U30" i="21"/>
  <c r="S30" i="21"/>
  <c r="W46" i="21"/>
  <c r="F28" i="33"/>
  <c r="AA28" i="33" s="1"/>
  <c r="J28" i="33"/>
  <c r="F33" i="35"/>
  <c r="S33" i="35" s="1"/>
  <c r="J33" i="35"/>
  <c r="W33" i="35" s="1"/>
  <c r="F30" i="35"/>
  <c r="AA30" i="35" s="1"/>
  <c r="H10" i="36"/>
  <c r="AB10" i="36" s="1"/>
  <c r="F28" i="36"/>
  <c r="S28" i="36" s="1"/>
  <c r="F27" i="36"/>
  <c r="S27" i="36" s="1"/>
  <c r="U13" i="21"/>
  <c r="W27" i="21"/>
  <c r="U29" i="21"/>
  <c r="S29" i="21"/>
  <c r="U31" i="21"/>
  <c r="S31" i="21"/>
  <c r="W45" i="21"/>
  <c r="U45" i="21"/>
  <c r="J27" i="33"/>
  <c r="AC27" i="33" s="1"/>
  <c r="F27" i="33"/>
  <c r="S27" i="33" s="1"/>
  <c r="F45" i="33"/>
  <c r="S45" i="33" s="1"/>
  <c r="F11" i="35"/>
  <c r="S11" i="35" s="1"/>
  <c r="H28" i="36"/>
  <c r="U28" i="36" s="1"/>
  <c r="H32" i="36"/>
  <c r="AB32" i="36" s="1"/>
  <c r="J32" i="36"/>
  <c r="W32" i="36" s="1"/>
  <c r="J11" i="36"/>
  <c r="J29" i="37"/>
  <c r="AC29" i="37" s="1"/>
  <c r="F29" i="37"/>
  <c r="AA29" i="37" s="1"/>
  <c r="J37" i="37"/>
  <c r="AC37" i="37" s="1"/>
  <c r="H37" i="37"/>
  <c r="U37" i="37" s="1"/>
  <c r="H14" i="33"/>
  <c r="U14" i="33" s="1"/>
  <c r="J14" i="33"/>
  <c r="AC14" i="33" s="1"/>
  <c r="H30" i="33"/>
  <c r="U30" i="33"/>
  <c r="J30" i="33"/>
  <c r="H44" i="33"/>
  <c r="AB44" i="33" s="1"/>
  <c r="J44" i="33"/>
  <c r="AC44" i="33"/>
  <c r="F44" i="33"/>
  <c r="S44" i="33"/>
  <c r="H13" i="34"/>
  <c r="F13" i="34"/>
  <c r="S13" i="34" s="1"/>
  <c r="J31" i="34"/>
  <c r="F31" i="34"/>
  <c r="S31" i="34" s="1"/>
  <c r="J45" i="34"/>
  <c r="AC45" i="34" s="1"/>
  <c r="H47" i="34"/>
  <c r="U47" i="34"/>
  <c r="J47" i="34"/>
  <c r="AC47" i="34"/>
  <c r="J25" i="36"/>
  <c r="W25" i="36" s="1"/>
  <c r="F25" i="36"/>
  <c r="AA25" i="36" s="1"/>
  <c r="H25" i="36"/>
  <c r="AB25" i="36" s="1"/>
  <c r="H13" i="37"/>
  <c r="AB13" i="37" s="1"/>
  <c r="F13" i="37"/>
  <c r="S13" i="37" s="1"/>
  <c r="J13" i="37"/>
  <c r="AC13" i="37" s="1"/>
  <c r="H38" i="37"/>
  <c r="AB38" i="37" s="1"/>
  <c r="J38" i="37"/>
  <c r="W38" i="37" s="1"/>
  <c r="F38" i="37"/>
  <c r="S38" i="37"/>
  <c r="F27" i="37"/>
  <c r="J27" i="37"/>
  <c r="AC27" i="37" s="1"/>
  <c r="AA38" i="37"/>
  <c r="J36" i="37"/>
  <c r="AC36" i="37"/>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H42" i="33"/>
  <c r="U42" i="33" s="1"/>
  <c r="J43" i="33"/>
  <c r="AC43" i="33" s="1"/>
  <c r="J23" i="37"/>
  <c r="W23" i="37"/>
  <c r="F17" i="37"/>
  <c r="AB43" i="33"/>
  <c r="AC23" i="37"/>
  <c r="AC36" i="34"/>
  <c r="S39" i="33"/>
  <c r="F43" i="33"/>
  <c r="S10" i="35"/>
  <c r="H19" i="34"/>
  <c r="AB19" i="34"/>
  <c r="J10" i="37"/>
  <c r="W10" i="37"/>
  <c r="F11" i="37"/>
  <c r="S11" i="37"/>
  <c r="H15" i="37"/>
  <c r="U15" i="37"/>
  <c r="F31" i="37"/>
  <c r="F94" i="37"/>
  <c r="G94" i="37" s="1"/>
  <c r="H94" i="37" s="1"/>
  <c r="I94" i="37" s="1"/>
  <c r="J94" i="37" s="1"/>
  <c r="K94" i="37" s="1"/>
  <c r="L94" i="37" s="1"/>
  <c r="M94" i="37" s="1"/>
  <c r="H31" i="37"/>
  <c r="AB31" i="37" s="1"/>
  <c r="J15" i="37"/>
  <c r="W15" i="37" s="1"/>
  <c r="J11" i="37"/>
  <c r="W11" i="37" s="1"/>
  <c r="U31" i="37"/>
  <c r="F21" i="40"/>
  <c r="S21" i="40" s="1"/>
  <c r="W36" i="40"/>
  <c r="J21" i="40"/>
  <c r="S27" i="31"/>
  <c r="J57" i="39"/>
  <c r="H13" i="40"/>
  <c r="U13" i="40" s="1"/>
  <c r="H12" i="48"/>
  <c r="I4" i="4"/>
  <c r="I59" i="40"/>
  <c r="C59" i="40" s="1"/>
  <c r="I60" i="40"/>
  <c r="C60" i="40" s="1"/>
  <c r="H7" i="48"/>
  <c r="H16" i="48"/>
  <c r="H9" i="48"/>
  <c r="H8" i="48"/>
  <c r="AB15" i="37"/>
  <c r="U43" i="21"/>
  <c r="AA13" i="40"/>
  <c r="D3" i="35"/>
  <c r="G4" i="4"/>
  <c r="J16" i="35"/>
  <c r="AC26" i="36"/>
  <c r="H11" i="37"/>
  <c r="AB11" i="37"/>
  <c r="AA36" i="37"/>
  <c r="W44" i="33"/>
  <c r="AC32" i="36"/>
  <c r="J33" i="34"/>
  <c r="AC33" i="34" s="1"/>
  <c r="AB36" i="34"/>
  <c r="J40" i="34"/>
  <c r="W40" i="34" s="1"/>
  <c r="F16" i="35"/>
  <c r="AA16" i="35" s="1"/>
  <c r="W42" i="33"/>
  <c r="J35" i="34"/>
  <c r="W35" i="34"/>
  <c r="H16" i="36"/>
  <c r="AB16" i="36" s="1"/>
  <c r="H35" i="37"/>
  <c r="AB35" i="37" s="1"/>
  <c r="S26" i="21"/>
  <c r="U32" i="21"/>
  <c r="U26" i="21"/>
  <c r="U39" i="21"/>
  <c r="W9" i="21"/>
  <c r="S40" i="21"/>
  <c r="S8" i="33"/>
  <c r="AC8" i="33"/>
  <c r="H66" i="33"/>
  <c r="I66" i="33" s="1"/>
  <c r="F10" i="33"/>
  <c r="AA10" i="33" s="1"/>
  <c r="F11" i="33"/>
  <c r="S11" i="33" s="1"/>
  <c r="J15" i="33"/>
  <c r="W15" i="33" s="1"/>
  <c r="H19" i="33"/>
  <c r="AB19" i="33" s="1"/>
  <c r="F32" i="33"/>
  <c r="AA32" i="33" s="1"/>
  <c r="J32" i="33"/>
  <c r="AC32" i="33" s="1"/>
  <c r="F35" i="33"/>
  <c r="AA35" i="33" s="1"/>
  <c r="F11" i="34"/>
  <c r="S11" i="34" s="1"/>
  <c r="E80" i="34"/>
  <c r="F80" i="34"/>
  <c r="G80" i="34" s="1"/>
  <c r="H17" i="34"/>
  <c r="AB17" i="34" s="1"/>
  <c r="J13" i="33"/>
  <c r="AC13" i="33" s="1"/>
  <c r="H13" i="33"/>
  <c r="H29" i="33"/>
  <c r="AB29" i="33" s="1"/>
  <c r="F29" i="33"/>
  <c r="AA29" i="33" s="1"/>
  <c r="J12" i="34"/>
  <c r="W12" i="34" s="1"/>
  <c r="H12" i="34"/>
  <c r="AB12" i="34"/>
  <c r="F12" i="34"/>
  <c r="J14" i="34"/>
  <c r="AC14" i="34" s="1"/>
  <c r="H30" i="34"/>
  <c r="AB30" i="34"/>
  <c r="F30" i="34"/>
  <c r="J30" i="34"/>
  <c r="W30" i="34" s="1"/>
  <c r="F32" i="34"/>
  <c r="S32" i="34" s="1"/>
  <c r="H46" i="34"/>
  <c r="AB46" i="34"/>
  <c r="F46" i="34"/>
  <c r="AA46" i="34"/>
  <c r="J46" i="34"/>
  <c r="AC46" i="34"/>
  <c r="H32" i="37"/>
  <c r="AB32" i="37" s="1"/>
  <c r="W27" i="33"/>
  <c r="S14" i="21"/>
  <c r="AB29" i="35"/>
  <c r="U29" i="35"/>
  <c r="AC19" i="33"/>
  <c r="U43" i="34"/>
  <c r="AB43" i="34"/>
  <c r="AC34" i="37"/>
  <c r="AA35" i="37"/>
  <c r="S32" i="21"/>
  <c r="AB40" i="33"/>
  <c r="U40" i="33"/>
  <c r="AA35" i="34"/>
  <c r="S35" i="34"/>
  <c r="H27" i="34"/>
  <c r="AB27" i="34" s="1"/>
  <c r="J14" i="35"/>
  <c r="AC14" i="35" s="1"/>
  <c r="F14" i="35"/>
  <c r="S14" i="35" s="1"/>
  <c r="H14" i="35"/>
  <c r="U14" i="35"/>
  <c r="E94" i="35"/>
  <c r="F94" i="35"/>
  <c r="G94" i="35" s="1"/>
  <c r="H94" i="35" s="1"/>
  <c r="I94" i="35" s="1"/>
  <c r="J94" i="35" s="1"/>
  <c r="K94" i="35" s="1"/>
  <c r="L94" i="35" s="1"/>
  <c r="M94" i="35" s="1"/>
  <c r="J32" i="35"/>
  <c r="AC32" i="35" s="1"/>
  <c r="H11" i="36"/>
  <c r="U11" i="36" s="1"/>
  <c r="F11" i="36"/>
  <c r="W16" i="36"/>
  <c r="E78" i="36"/>
  <c r="F78" i="36" s="1"/>
  <c r="G78" i="36" s="1"/>
  <c r="H78" i="36" s="1"/>
  <c r="I78" i="36" s="1"/>
  <c r="J78" i="36" s="1"/>
  <c r="K78" i="36" s="1"/>
  <c r="L78" i="36" s="1"/>
  <c r="M78" i="36" s="1"/>
  <c r="F26" i="36"/>
  <c r="S26" i="36"/>
  <c r="H27" i="36"/>
  <c r="AB27" i="36"/>
  <c r="AC25" i="37"/>
  <c r="AA30" i="37"/>
  <c r="S30" i="37"/>
  <c r="AC30" i="37"/>
  <c r="W31" i="37"/>
  <c r="F21" i="39"/>
  <c r="S21" i="39" s="1"/>
  <c r="H21" i="39"/>
  <c r="U21" i="39"/>
  <c r="J21" i="39"/>
  <c r="W21" i="39"/>
  <c r="J33" i="39"/>
  <c r="AC33" i="39" s="1"/>
  <c r="F44" i="39"/>
  <c r="S44" i="39"/>
  <c r="H44" i="39"/>
  <c r="U44" i="39"/>
  <c r="J44" i="39"/>
  <c r="W44" i="39"/>
  <c r="E128" i="39"/>
  <c r="F128" i="39"/>
  <c r="G128" i="39" s="1"/>
  <c r="H128" i="39" s="1"/>
  <c r="I128" i="39" s="1"/>
  <c r="J128" i="39" s="1"/>
  <c r="K128" i="39" s="1"/>
  <c r="L128" i="39" s="1"/>
  <c r="M128" i="39" s="1"/>
  <c r="F46" i="39"/>
  <c r="S46" i="39" s="1"/>
  <c r="H46" i="39"/>
  <c r="J46" i="39"/>
  <c r="W46" i="39" s="1"/>
  <c r="E103" i="39"/>
  <c r="F29" i="39" s="1"/>
  <c r="AA29" i="39" s="1"/>
  <c r="H39" i="39"/>
  <c r="AB39" i="39" s="1"/>
  <c r="J29" i="35"/>
  <c r="AC29" i="35"/>
  <c r="F29" i="35"/>
  <c r="S29" i="35"/>
  <c r="AC30" i="36"/>
  <c r="H38" i="34"/>
  <c r="U38" i="34"/>
  <c r="H30" i="40"/>
  <c r="AB30" i="40"/>
  <c r="J30" i="40"/>
  <c r="AC30" i="40"/>
  <c r="F38" i="40"/>
  <c r="AA38" i="40"/>
  <c r="W12" i="21"/>
  <c r="U8" i="21"/>
  <c r="S34" i="21"/>
  <c r="AB8" i="33"/>
  <c r="U8" i="33"/>
  <c r="E106" i="33"/>
  <c r="F106" i="33" s="1"/>
  <c r="G106" i="33" s="1"/>
  <c r="H106" i="33" s="1"/>
  <c r="I106" i="33" s="1"/>
  <c r="J106" i="33" s="1"/>
  <c r="K106" i="33" s="1"/>
  <c r="L106" i="33" s="1"/>
  <c r="M106" i="33" s="1"/>
  <c r="H34" i="33"/>
  <c r="F34" i="33"/>
  <c r="S34" i="33" s="1"/>
  <c r="E121" i="33"/>
  <c r="F121" i="33"/>
  <c r="G121" i="33" s="1"/>
  <c r="H121" i="33" s="1"/>
  <c r="I121" i="33" s="1"/>
  <c r="J121" i="33" s="1"/>
  <c r="K121" i="33" s="1"/>
  <c r="L121" i="33" s="1"/>
  <c r="M121" i="33" s="1"/>
  <c r="F41" i="33"/>
  <c r="S41" i="33" s="1"/>
  <c r="AC34" i="34"/>
  <c r="W34" i="34"/>
  <c r="E78" i="34"/>
  <c r="F78" i="34" s="1"/>
  <c r="G78" i="34" s="1"/>
  <c r="F15" i="34"/>
  <c r="AC28" i="35"/>
  <c r="W28" i="35"/>
  <c r="J20" i="35"/>
  <c r="AC20" i="35" s="1"/>
  <c r="H22" i="35"/>
  <c r="AB22" i="35" s="1"/>
  <c r="H23" i="35"/>
  <c r="U23" i="35" s="1"/>
  <c r="F23" i="35"/>
  <c r="AA23" i="35"/>
  <c r="U31" i="36"/>
  <c r="AA8" i="37"/>
  <c r="F15" i="40"/>
  <c r="AA15" i="40" s="1"/>
  <c r="J15" i="40"/>
  <c r="AC15" i="40" s="1"/>
  <c r="H15" i="40"/>
  <c r="AB15" i="40" s="1"/>
  <c r="E92" i="40"/>
  <c r="F92" i="40" s="1"/>
  <c r="G92" i="40" s="1"/>
  <c r="H23" i="40"/>
  <c r="U23" i="40" s="1"/>
  <c r="H41" i="40"/>
  <c r="AB41" i="40" s="1"/>
  <c r="F41" i="40"/>
  <c r="AA41" i="40" s="1"/>
  <c r="J41" i="40"/>
  <c r="W41" i="40" s="1"/>
  <c r="H36" i="33"/>
  <c r="AB36" i="33"/>
  <c r="H37" i="34"/>
  <c r="U37" i="34"/>
  <c r="H15" i="39"/>
  <c r="U15" i="39" s="1"/>
  <c r="H25" i="39"/>
  <c r="U25" i="39" s="1"/>
  <c r="J25" i="39"/>
  <c r="AC25" i="39"/>
  <c r="F25" i="39"/>
  <c r="F45" i="39"/>
  <c r="AA45" i="39" s="1"/>
  <c r="H45" i="39"/>
  <c r="U45" i="39" s="1"/>
  <c r="F47" i="39"/>
  <c r="AA47" i="39" s="1"/>
  <c r="H47" i="39"/>
  <c r="AB47" i="39" s="1"/>
  <c r="F41" i="39"/>
  <c r="AA41" i="39" s="1"/>
  <c r="H41" i="39"/>
  <c r="AB41" i="39" s="1"/>
  <c r="J41" i="39"/>
  <c r="E94" i="40"/>
  <c r="F94" i="40" s="1"/>
  <c r="G94" i="40" s="1"/>
  <c r="J25" i="40"/>
  <c r="AC25" i="40" s="1"/>
  <c r="J32" i="40"/>
  <c r="AC32" i="40" s="1"/>
  <c r="H32" i="40"/>
  <c r="U32" i="40" s="1"/>
  <c r="H33" i="40"/>
  <c r="AB33" i="40" s="1"/>
  <c r="F33" i="40"/>
  <c r="AA33" i="40" s="1"/>
  <c r="J33" i="40"/>
  <c r="AC33" i="40" s="1"/>
  <c r="J16" i="40"/>
  <c r="W16" i="40" s="1"/>
  <c r="J14" i="40"/>
  <c r="W14" i="40" s="1"/>
  <c r="H42" i="40"/>
  <c r="AB42" i="40" s="1"/>
  <c r="H40" i="40"/>
  <c r="U40" i="40"/>
  <c r="H34" i="40"/>
  <c r="U34" i="40"/>
  <c r="J42" i="40"/>
  <c r="AC42" i="40"/>
  <c r="J40" i="40"/>
  <c r="AC40" i="40"/>
  <c r="J34" i="40"/>
  <c r="H16" i="40"/>
  <c r="AB16" i="40" s="1"/>
  <c r="H14" i="40"/>
  <c r="U14" i="40" s="1"/>
  <c r="F32" i="40"/>
  <c r="M1" i="46"/>
  <c r="M6" i="46"/>
  <c r="M10" i="46"/>
  <c r="N2" i="46"/>
  <c r="N5" i="46"/>
  <c r="H49" i="46"/>
  <c r="N7" i="46"/>
  <c r="M7" i="46"/>
  <c r="M11" i="46"/>
  <c r="N3" i="46"/>
  <c r="N6" i="46"/>
  <c r="N10" i="46"/>
  <c r="H47" i="46"/>
  <c r="J13" i="40"/>
  <c r="W13" i="40"/>
  <c r="W40" i="40"/>
  <c r="AC14" i="40"/>
  <c r="S47" i="39"/>
  <c r="AB37" i="34"/>
  <c r="AC41" i="40"/>
  <c r="U41" i="40"/>
  <c r="J23" i="40"/>
  <c r="F23" i="40"/>
  <c r="S23" i="40"/>
  <c r="AB23" i="35"/>
  <c r="H20" i="35"/>
  <c r="F20" i="35"/>
  <c r="S20" i="35" s="1"/>
  <c r="H15" i="34"/>
  <c r="U15" i="34" s="1"/>
  <c r="J15" i="34"/>
  <c r="W15" i="34"/>
  <c r="H41" i="33"/>
  <c r="F30" i="40"/>
  <c r="S30" i="40" s="1"/>
  <c r="AB38" i="34"/>
  <c r="AA29" i="35"/>
  <c r="AA14" i="35"/>
  <c r="F33" i="37"/>
  <c r="AA33" i="37" s="1"/>
  <c r="U17" i="34"/>
  <c r="H15" i="33"/>
  <c r="U15" i="33" s="1"/>
  <c r="AA11" i="33"/>
  <c r="AB34" i="40"/>
  <c r="U42" i="40"/>
  <c r="W32" i="40"/>
  <c r="H25" i="40"/>
  <c r="AB25" i="40"/>
  <c r="J37" i="34"/>
  <c r="AC37" i="34" s="1"/>
  <c r="J36" i="33"/>
  <c r="W36" i="33" s="1"/>
  <c r="S41" i="40"/>
  <c r="S15" i="34"/>
  <c r="AA15" i="34"/>
  <c r="AA41" i="33"/>
  <c r="J34" i="33"/>
  <c r="AC34" i="33"/>
  <c r="W29" i="35"/>
  <c r="AB44" i="39"/>
  <c r="F32" i="37"/>
  <c r="S32" i="37" s="1"/>
  <c r="S46" i="34"/>
  <c r="U12" i="34"/>
  <c r="F17" i="34"/>
  <c r="AA17" i="34"/>
  <c r="J17" i="34"/>
  <c r="H11" i="34"/>
  <c r="AB11" i="34" s="1"/>
  <c r="J35" i="33"/>
  <c r="S32" i="33"/>
  <c r="H11" i="33"/>
  <c r="U11" i="33" s="1"/>
  <c r="H10" i="33"/>
  <c r="U10" i="33" s="1"/>
  <c r="J10" i="33"/>
  <c r="AC10" i="33" s="1"/>
  <c r="U40" i="21"/>
  <c r="AC13" i="40"/>
  <c r="J11" i="34"/>
  <c r="W11" i="34" s="1"/>
  <c r="AC36" i="33"/>
  <c r="F25" i="40"/>
  <c r="AA25" i="40"/>
  <c r="J11" i="33"/>
  <c r="H33" i="37"/>
  <c r="AB33" i="37" s="1"/>
  <c r="AC15" i="34"/>
  <c r="U20" i="35"/>
  <c r="AB20" i="35"/>
  <c r="AA44" i="39"/>
  <c r="AB31" i="39"/>
  <c r="AC21" i="39"/>
  <c r="J31" i="39"/>
  <c r="AC31" i="39" s="1"/>
  <c r="AC44" i="39"/>
  <c r="AA26" i="36"/>
  <c r="U25" i="36"/>
  <c r="H20" i="36"/>
  <c r="J20" i="36"/>
  <c r="AC20" i="36" s="1"/>
  <c r="F20" i="36"/>
  <c r="S20" i="36" s="1"/>
  <c r="J14" i="36"/>
  <c r="AC14" i="36" s="1"/>
  <c r="H14" i="36"/>
  <c r="AB14" i="36" s="1"/>
  <c r="F14" i="36"/>
  <c r="AA14" i="36"/>
  <c r="U27" i="36"/>
  <c r="AA27" i="36"/>
  <c r="U22" i="35"/>
  <c r="S8" i="35"/>
  <c r="S23" i="35"/>
  <c r="AB14" i="35"/>
  <c r="AC18" i="35"/>
  <c r="W18" i="35"/>
  <c r="U18" i="35"/>
  <c r="AB18" i="35"/>
  <c r="AB30" i="35"/>
  <c r="S27" i="35"/>
  <c r="S33" i="37"/>
  <c r="U32" i="37"/>
  <c r="J33" i="37"/>
  <c r="W33" i="37"/>
  <c r="J19" i="37"/>
  <c r="AC19" i="37" s="1"/>
  <c r="F19" i="37"/>
  <c r="AA19" i="37" s="1"/>
  <c r="H19" i="37"/>
  <c r="U19" i="37" s="1"/>
  <c r="J17" i="37"/>
  <c r="W17" i="37" s="1"/>
  <c r="S15" i="37"/>
  <c r="AC10" i="37"/>
  <c r="AC21" i="37"/>
  <c r="W21" i="37"/>
  <c r="U35" i="37"/>
  <c r="U8" i="37"/>
  <c r="AB25" i="37"/>
  <c r="AB21" i="37"/>
  <c r="U21" i="37"/>
  <c r="AA11" i="37"/>
  <c r="AB33" i="34"/>
  <c r="AC35" i="34"/>
  <c r="J25" i="34"/>
  <c r="H25" i="34"/>
  <c r="AB25" i="34" s="1"/>
  <c r="F25" i="34"/>
  <c r="S25" i="34" s="1"/>
  <c r="J23" i="34"/>
  <c r="W23" i="34"/>
  <c r="F23" i="34"/>
  <c r="H23" i="34"/>
  <c r="AB23" i="34" s="1"/>
  <c r="AC11" i="34"/>
  <c r="W37" i="34"/>
  <c r="W44" i="34"/>
  <c r="AC21" i="34"/>
  <c r="W21" i="34"/>
  <c r="AB21" i="34"/>
  <c r="U21" i="34"/>
  <c r="U19" i="34"/>
  <c r="AA41" i="34"/>
  <c r="S10" i="34"/>
  <c r="U39" i="33"/>
  <c r="S35" i="33"/>
  <c r="S29" i="33"/>
  <c r="W39" i="33"/>
  <c r="U35" i="33"/>
  <c r="H25" i="33"/>
  <c r="J25" i="33"/>
  <c r="W25" i="33" s="1"/>
  <c r="F25" i="33"/>
  <c r="S25" i="33" s="1"/>
  <c r="J23" i="33"/>
  <c r="F23" i="33"/>
  <c r="AA23" i="33" s="1"/>
  <c r="H23" i="33"/>
  <c r="AB23" i="33" s="1"/>
  <c r="F17" i="33"/>
  <c r="H17" i="33"/>
  <c r="AB17" i="33" s="1"/>
  <c r="J17" i="33"/>
  <c r="W17" i="33" s="1"/>
  <c r="S10" i="33"/>
  <c r="AC21" i="33"/>
  <c r="W21" i="33"/>
  <c r="AB21" i="33"/>
  <c r="U21" i="33"/>
  <c r="AA21" i="33"/>
  <c r="S21" i="33"/>
  <c r="AA44" i="33"/>
  <c r="S44" i="21"/>
  <c r="W39" i="21"/>
  <c r="W32" i="21"/>
  <c r="W43" i="21"/>
  <c r="W28" i="21"/>
  <c r="G77" i="21"/>
  <c r="W13" i="21"/>
  <c r="W44" i="21"/>
  <c r="U33" i="40"/>
  <c r="W11" i="40"/>
  <c r="AA21" i="40"/>
  <c r="U21" i="40"/>
  <c r="W25" i="40"/>
  <c r="U25" i="40"/>
  <c r="W42" i="40"/>
  <c r="F37" i="40"/>
  <c r="AA37" i="40"/>
  <c r="J37" i="40"/>
  <c r="AC37" i="40"/>
  <c r="H37" i="40"/>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W32" i="35"/>
  <c r="U32" i="35"/>
  <c r="W34" i="35"/>
  <c r="AC33" i="37"/>
  <c r="AA13" i="37"/>
  <c r="W36" i="37"/>
  <c r="W13" i="37"/>
  <c r="AB35" i="34"/>
  <c r="AB47" i="34"/>
  <c r="S8" i="34"/>
  <c r="AB42" i="33"/>
  <c r="S15" i="33"/>
  <c r="S39" i="21"/>
  <c r="W25" i="21"/>
  <c r="U27" i="21"/>
  <c r="W31" i="21"/>
  <c r="S27" i="21"/>
  <c r="W29" i="21"/>
  <c r="G96" i="40"/>
  <c r="J27" i="40"/>
  <c r="AC27" i="40"/>
  <c r="W37" i="40"/>
  <c r="S17" i="40"/>
  <c r="W30" i="40"/>
  <c r="S34" i="40"/>
  <c r="U38" i="40"/>
  <c r="S42" i="40"/>
  <c r="W42" i="39"/>
  <c r="W36" i="39"/>
  <c r="W25" i="39"/>
  <c r="W10" i="39"/>
  <c r="U42" i="39"/>
  <c r="C27" i="39"/>
  <c r="C19" i="39"/>
  <c r="C23" i="40"/>
  <c r="B59" i="46"/>
  <c r="B64" i="46"/>
  <c r="D24" i="15"/>
  <c r="AG6" i="1"/>
  <c r="U14" i="36"/>
  <c r="W19" i="37"/>
  <c r="AC17" i="37"/>
  <c r="AA25" i="34"/>
  <c r="W25" i="34"/>
  <c r="AC25" i="34"/>
  <c r="U23" i="34"/>
  <c r="AA23" i="34"/>
  <c r="S23" i="34"/>
  <c r="U23" i="33"/>
  <c r="W23" i="33"/>
  <c r="AC23" i="33"/>
  <c r="S23" i="33"/>
  <c r="AC17" i="33"/>
  <c r="AA17" i="33"/>
  <c r="S17" i="33"/>
  <c r="AB39" i="40"/>
  <c r="U39" i="40"/>
  <c r="AA39" i="40"/>
  <c r="S39" i="40"/>
  <c r="U37" i="40"/>
  <c r="AB37" i="40"/>
  <c r="S37" i="40"/>
  <c r="U29" i="40"/>
  <c r="AB29" i="40"/>
  <c r="S29" i="40"/>
  <c r="AC19" i="40"/>
  <c r="AB19" i="40"/>
  <c r="W27" i="40"/>
  <c r="W31" i="39"/>
  <c r="AT6" i="3"/>
  <c r="H70" i="46"/>
  <c r="H72" i="46"/>
  <c r="A9" i="51"/>
  <c r="B9" i="63" s="1"/>
  <c r="E4" i="4"/>
  <c r="B21" i="55" s="1"/>
  <c r="B72" i="63" s="1"/>
  <c r="C4" i="4"/>
  <c r="B20" i="55"/>
  <c r="B70" i="63" s="1"/>
  <c r="G66" i="36"/>
  <c r="J18" i="36"/>
  <c r="W18" i="36"/>
  <c r="AE6" i="1"/>
  <c r="F33" i="44"/>
  <c r="F31" i="15"/>
  <c r="F58" i="15"/>
  <c r="M17" i="15"/>
  <c r="M19" i="44"/>
  <c r="AC18" i="36"/>
  <c r="C45" i="9"/>
  <c r="H14" i="66" s="1"/>
  <c r="D77" i="9"/>
  <c r="N75" i="9"/>
  <c r="K31" i="9"/>
  <c r="K32" i="9"/>
  <c r="C46" i="9"/>
  <c r="K33" i="9"/>
  <c r="K34" i="9" s="1"/>
  <c r="O41" i="9"/>
  <c r="R8" i="54" s="1"/>
  <c r="B54" i="63" s="1"/>
  <c r="I14" i="66"/>
  <c r="B8" i="66" s="1"/>
  <c r="S17" i="34"/>
  <c r="AB32" i="40"/>
  <c r="AA23" i="37"/>
  <c r="AA30" i="33"/>
  <c r="W37" i="33"/>
  <c r="AC37" i="33"/>
  <c r="AA37" i="34"/>
  <c r="S37" i="34"/>
  <c r="C29" i="39"/>
  <c r="AB17" i="37"/>
  <c r="AA22" i="35"/>
  <c r="B70" i="46"/>
  <c r="F9" i="33"/>
  <c r="U45" i="33"/>
  <c r="D27" i="59"/>
  <c r="C28" i="59"/>
  <c r="C31" i="59"/>
  <c r="D31" i="59" s="1"/>
  <c r="D30" i="59"/>
  <c r="C43" i="59"/>
  <c r="D42" i="59"/>
  <c r="P51" i="59"/>
  <c r="E50" i="59"/>
  <c r="P50" i="59" s="1"/>
  <c r="AC8" i="37"/>
  <c r="H28" i="34"/>
  <c r="AB27" i="37"/>
  <c r="J14" i="37"/>
  <c r="F14" i="37"/>
  <c r="S14" i="37" s="1"/>
  <c r="J28" i="37"/>
  <c r="W28" i="37" s="1"/>
  <c r="H35" i="35"/>
  <c r="F35" i="35"/>
  <c r="S35" i="35" s="1"/>
  <c r="F25" i="35"/>
  <c r="S25" i="35"/>
  <c r="J13" i="35"/>
  <c r="J40" i="37"/>
  <c r="AC40" i="37" s="1"/>
  <c r="F13" i="36"/>
  <c r="H31" i="33"/>
  <c r="U34" i="37"/>
  <c r="J28" i="34"/>
  <c r="U29" i="36"/>
  <c r="W36" i="35"/>
  <c r="U31" i="35"/>
  <c r="AC31" i="36"/>
  <c r="U30" i="37"/>
  <c r="J15" i="21"/>
  <c r="AC15" i="21" s="1"/>
  <c r="J17" i="21"/>
  <c r="AC17" i="21" s="1"/>
  <c r="H17" i="21"/>
  <c r="AB17" i="21"/>
  <c r="H35" i="21"/>
  <c r="AB35" i="21"/>
  <c r="F38" i="21"/>
  <c r="S38" i="21"/>
  <c r="H38" i="21"/>
  <c r="AB38" i="21"/>
  <c r="H9" i="36"/>
  <c r="E26" i="57"/>
  <c r="C35" i="59"/>
  <c r="D34" i="59"/>
  <c r="E8" i="46"/>
  <c r="E10" i="46"/>
  <c r="C7" i="46" s="1"/>
  <c r="E9" i="46"/>
  <c r="E11" i="46"/>
  <c r="C11" i="59"/>
  <c r="D12" i="59"/>
  <c r="T12" i="59"/>
  <c r="U12" i="59"/>
  <c r="E11" i="59"/>
  <c r="E10" i="59"/>
  <c r="S21" i="37"/>
  <c r="C59" i="59"/>
  <c r="D59" i="59" s="1"/>
  <c r="U52" i="59"/>
  <c r="B51" i="59"/>
  <c r="AD12" i="46"/>
  <c r="AH12" i="46"/>
  <c r="F108" i="46"/>
  <c r="E108" i="46"/>
  <c r="F17" i="21"/>
  <c r="J21" i="21"/>
  <c r="W21" i="21" s="1"/>
  <c r="F21" i="21"/>
  <c r="AA21" i="21" s="1"/>
  <c r="F35" i="46"/>
  <c r="F38" i="46"/>
  <c r="J17" i="46"/>
  <c r="H17" i="46"/>
  <c r="C16" i="46" s="1"/>
  <c r="H46" i="21"/>
  <c r="H44" i="21"/>
  <c r="AB44" i="21" s="1"/>
  <c r="H21" i="21"/>
  <c r="U21" i="21" s="1"/>
  <c r="J10" i="21"/>
  <c r="AC10" i="21"/>
  <c r="F10" i="21"/>
  <c r="BA298" i="3"/>
  <c r="AZ298" i="3" s="1"/>
  <c r="BL295" i="3"/>
  <c r="BA294" i="3"/>
  <c r="AZ294" i="3" s="1"/>
  <c r="BL297" i="3"/>
  <c r="AZ297" i="3" s="1"/>
  <c r="BA296" i="3"/>
  <c r="AZ296" i="3" s="1"/>
  <c r="BL293" i="3"/>
  <c r="AZ293" i="3" s="1"/>
  <c r="BA292" i="3"/>
  <c r="AZ292" i="3" s="1"/>
  <c r="BA78" i="3"/>
  <c r="AZ78" i="3" s="1"/>
  <c r="BL75" i="3"/>
  <c r="AZ75" i="3" s="1"/>
  <c r="BA74" i="3"/>
  <c r="AZ74" i="3" s="1"/>
  <c r="BL71" i="3"/>
  <c r="AZ71" i="3" s="1"/>
  <c r="BA70" i="3"/>
  <c r="AZ70" i="3" s="1"/>
  <c r="BL67" i="3"/>
  <c r="AZ67" i="3" s="1"/>
  <c r="BA66" i="3"/>
  <c r="AZ66" i="3" s="1"/>
  <c r="BL63" i="3"/>
  <c r="AZ63" i="3" s="1"/>
  <c r="BL77" i="3"/>
  <c r="BA76" i="3"/>
  <c r="AZ76" i="3" s="1"/>
  <c r="BL73" i="3"/>
  <c r="BA72" i="3"/>
  <c r="AZ72" i="3" s="1"/>
  <c r="BL69" i="3"/>
  <c r="BA68" i="3"/>
  <c r="AZ68" i="3" s="1"/>
  <c r="BL65" i="3"/>
  <c r="BA64" i="3"/>
  <c r="AZ64" i="3" s="1"/>
  <c r="BL29" i="3"/>
  <c r="BA28" i="3"/>
  <c r="BA24" i="3"/>
  <c r="BL21" i="3"/>
  <c r="BA30" i="3"/>
  <c r="BL27" i="3"/>
  <c r="BL23" i="3"/>
  <c r="F23" i="21"/>
  <c r="S23" i="21" s="1"/>
  <c r="H23" i="21"/>
  <c r="J23" i="21"/>
  <c r="F85" i="21"/>
  <c r="G85" i="21" s="1"/>
  <c r="J19" i="21"/>
  <c r="AC19" i="21" s="1"/>
  <c r="H15" i="21"/>
  <c r="U15" i="21"/>
  <c r="W10" i="21"/>
  <c r="S21" i="21"/>
  <c r="D35" i="59"/>
  <c r="C36" i="59"/>
  <c r="T36" i="59"/>
  <c r="W17" i="21"/>
  <c r="AC28" i="34"/>
  <c r="W28" i="34"/>
  <c r="AB35" i="35"/>
  <c r="U35" i="35"/>
  <c r="AC14" i="37"/>
  <c r="W14" i="37"/>
  <c r="AB28" i="34"/>
  <c r="U28" i="34"/>
  <c r="C44" i="59"/>
  <c r="T44" i="59"/>
  <c r="D43" i="59"/>
  <c r="AA10" i="21"/>
  <c r="S10" i="21"/>
  <c r="AB21" i="21"/>
  <c r="AB46" i="21"/>
  <c r="U46" i="21"/>
  <c r="AC21" i="21"/>
  <c r="B50" i="59"/>
  <c r="N51" i="59"/>
  <c r="C10" i="59"/>
  <c r="D10" i="59"/>
  <c r="D11" i="59"/>
  <c r="U38" i="21"/>
  <c r="AA38" i="21"/>
  <c r="U17" i="21"/>
  <c r="S13" i="36"/>
  <c r="AA13" i="36"/>
  <c r="AC13" i="35"/>
  <c r="W13" i="35"/>
  <c r="AA25" i="35"/>
  <c r="AA35" i="35"/>
  <c r="AA14" i="37"/>
  <c r="D28" i="59"/>
  <c r="T28" i="59"/>
  <c r="AA23" i="21"/>
  <c r="AB23" i="21"/>
  <c r="U23" i="21"/>
  <c r="W19" i="21"/>
  <c r="AB15" i="21"/>
  <c r="S15" i="21"/>
  <c r="D44" i="59"/>
  <c r="D36" i="59"/>
  <c r="D24" i="44"/>
  <c r="F32" i="77"/>
  <c r="F59" i="77"/>
  <c r="F28" i="77"/>
  <c r="M18" i="77"/>
  <c r="G1" i="77"/>
  <c r="F3" i="35"/>
  <c r="N16" i="4"/>
  <c r="AP6" i="1"/>
  <c r="R16" i="4"/>
  <c r="G26" i="3"/>
  <c r="G25" i="3"/>
  <c r="G24" i="3"/>
  <c r="BL28" i="3"/>
  <c r="AZ28" i="3"/>
  <c r="AZ30" i="3"/>
  <c r="BA16" i="3"/>
  <c r="BL31" i="3"/>
  <c r="BL22" i="3"/>
  <c r="BA22" i="3"/>
  <c r="BG5" i="3"/>
  <c r="D22" i="72"/>
  <c r="G23" i="43"/>
  <c r="D26" i="44"/>
  <c r="G26" i="12"/>
  <c r="G28" i="12"/>
  <c r="B11" i="1"/>
  <c r="E11" i="1" s="1"/>
  <c r="G1" i="15"/>
  <c r="K1" i="43"/>
  <c r="G1" i="44"/>
  <c r="BL26" i="3"/>
  <c r="BL25" i="3"/>
  <c r="BA20" i="3"/>
  <c r="AZ20" i="3"/>
  <c r="G21" i="3"/>
  <c r="E9" i="12"/>
  <c r="BA26" i="3"/>
  <c r="AZ26" i="3"/>
  <c r="G27" i="3"/>
  <c r="G23" i="3"/>
  <c r="G16" i="3"/>
  <c r="BK5" i="3"/>
  <c r="BI5" i="3"/>
  <c r="BE5" i="3"/>
  <c r="BJ5" i="3"/>
  <c r="BH5" i="3"/>
  <c r="BF5" i="3"/>
  <c r="G18" i="3"/>
  <c r="W36" i="21"/>
  <c r="G83" i="39"/>
  <c r="H83" i="39" s="1"/>
  <c r="I83" i="39" s="1"/>
  <c r="J83" i="39" s="1"/>
  <c r="K83" i="39" s="1"/>
  <c r="L83" i="39" s="1"/>
  <c r="M83" i="39" s="1"/>
  <c r="C5" i="46"/>
  <c r="K1" i="12"/>
  <c r="U35" i="21"/>
  <c r="G123" i="21"/>
  <c r="H123" i="21"/>
  <c r="I123" i="21" s="1"/>
  <c r="J123" i="21"/>
  <c r="K123" i="21" s="1"/>
  <c r="L123" i="21" s="1"/>
  <c r="M123" i="21" s="1"/>
  <c r="J42" i="21"/>
  <c r="H42" i="21"/>
  <c r="AB42" i="21" s="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s="1"/>
  <c r="M20" i="72"/>
  <c r="AC5" i="3"/>
  <c r="BL18" i="3"/>
  <c r="BA18" i="3"/>
  <c r="BL17" i="3"/>
  <c r="G17" i="3"/>
  <c r="G1" i="72"/>
  <c r="D9" i="12"/>
  <c r="T41" i="4"/>
  <c r="A17" i="64"/>
  <c r="K5" i="54"/>
  <c r="L5" i="54"/>
  <c r="B39" i="63" s="1"/>
  <c r="G12" i="1"/>
  <c r="G13" i="1"/>
  <c r="C20" i="46"/>
  <c r="W46" i="33"/>
  <c r="AC13" i="34"/>
  <c r="W29" i="34"/>
  <c r="U31" i="34"/>
  <c r="AB45" i="34"/>
  <c r="S47" i="34"/>
  <c r="S24" i="36"/>
  <c r="AB25" i="33"/>
  <c r="U25" i="33"/>
  <c r="AC17" i="34"/>
  <c r="W17" i="34"/>
  <c r="AC41" i="39"/>
  <c r="W41" i="39"/>
  <c r="W20" i="35"/>
  <c r="U39" i="39"/>
  <c r="AA46" i="39"/>
  <c r="AC30" i="34"/>
  <c r="W33" i="34"/>
  <c r="W16" i="35"/>
  <c r="AC16" i="35"/>
  <c r="AC21" i="40"/>
  <c r="W21" i="40"/>
  <c r="S31" i="37"/>
  <c r="AA31" i="37"/>
  <c r="W43" i="33"/>
  <c r="AB30" i="33"/>
  <c r="B7" i="66"/>
  <c r="W29" i="40"/>
  <c r="AC23" i="34"/>
  <c r="S14" i="36"/>
  <c r="C19" i="40"/>
  <c r="S41" i="39"/>
  <c r="W47" i="34"/>
  <c r="AB40" i="40"/>
  <c r="U36" i="33"/>
  <c r="W34" i="33"/>
  <c r="U27" i="34"/>
  <c r="U44" i="34"/>
  <c r="U30" i="34"/>
  <c r="W46" i="34"/>
  <c r="AA20" i="35"/>
  <c r="U20" i="36"/>
  <c r="AB20" i="36"/>
  <c r="S8" i="36"/>
  <c r="W11" i="33"/>
  <c r="AC11" i="33"/>
  <c r="U11" i="37"/>
  <c r="U11" i="34"/>
  <c r="U30" i="40"/>
  <c r="U46" i="34"/>
  <c r="AB21" i="39"/>
  <c r="AA30" i="40"/>
  <c r="AB15" i="34"/>
  <c r="W15" i="40"/>
  <c r="AC23" i="40"/>
  <c r="W23" i="40"/>
  <c r="AA32" i="40"/>
  <c r="S32" i="40"/>
  <c r="U41" i="39"/>
  <c r="AC47" i="39"/>
  <c r="AB45" i="39"/>
  <c r="AA25" i="39"/>
  <c r="S25" i="39"/>
  <c r="AB25" i="39"/>
  <c r="S39" i="34"/>
  <c r="AA34" i="33"/>
  <c r="F103" i="39"/>
  <c r="H29" i="39"/>
  <c r="U29" i="39" s="1"/>
  <c r="U46" i="39"/>
  <c r="AB46" i="39"/>
  <c r="AA21" i="39"/>
  <c r="S11" i="36"/>
  <c r="AA11" i="36"/>
  <c r="AB8" i="35"/>
  <c r="AB32" i="34"/>
  <c r="S30" i="34"/>
  <c r="AA30" i="34"/>
  <c r="W14" i="34"/>
  <c r="U13" i="33"/>
  <c r="AB13" i="33"/>
  <c r="AB28" i="35"/>
  <c r="AA11" i="34"/>
  <c r="U16" i="36"/>
  <c r="AB13" i="40"/>
  <c r="AA43" i="33"/>
  <c r="S43" i="33"/>
  <c r="W27" i="37"/>
  <c r="F45" i="34"/>
  <c r="S45" i="34" s="1"/>
  <c r="H46" i="33"/>
  <c r="U46" i="33" s="1"/>
  <c r="AC30" i="33"/>
  <c r="W30" i="33"/>
  <c r="W14" i="33"/>
  <c r="AB14" i="33"/>
  <c r="W11" i="36"/>
  <c r="AC11" i="36"/>
  <c r="S30" i="35"/>
  <c r="S28" i="33"/>
  <c r="AA44" i="34"/>
  <c r="S19" i="33"/>
  <c r="AA19" i="33"/>
  <c r="AB33" i="35"/>
  <c r="U33" i="35"/>
  <c r="AC29" i="36"/>
  <c r="W29" i="36"/>
  <c r="AB32" i="33"/>
  <c r="E115" i="21"/>
  <c r="F115" i="21" s="1"/>
  <c r="G115" i="21"/>
  <c r="H115" i="21" s="1"/>
  <c r="I115" i="21" s="1"/>
  <c r="J115" i="21" s="1"/>
  <c r="K115" i="21" s="1"/>
  <c r="L115" i="21" s="1"/>
  <c r="M115" i="21" s="1"/>
  <c r="J38" i="21"/>
  <c r="B48" i="46"/>
  <c r="C23" i="39"/>
  <c r="B73" i="46"/>
  <c r="B53" i="46"/>
  <c r="B80" i="46"/>
  <c r="C17" i="40"/>
  <c r="U27" i="33"/>
  <c r="J26" i="33"/>
  <c r="AC26" i="33" s="1"/>
  <c r="AC8" i="34"/>
  <c r="W8" i="34"/>
  <c r="AA34" i="34"/>
  <c r="S34" i="34"/>
  <c r="U39" i="34"/>
  <c r="AB10" i="34"/>
  <c r="U10" i="34"/>
  <c r="H12" i="35"/>
  <c r="U12" i="35" s="1"/>
  <c r="F12" i="35"/>
  <c r="AA12" i="35" s="1"/>
  <c r="F24" i="35"/>
  <c r="AA24" i="35" s="1"/>
  <c r="U8" i="36"/>
  <c r="AB8" i="36"/>
  <c r="H12" i="36"/>
  <c r="AB12" i="36" s="1"/>
  <c r="W23" i="36"/>
  <c r="AB26" i="36"/>
  <c r="U26" i="36"/>
  <c r="H13" i="36"/>
  <c r="J13" i="36"/>
  <c r="W13" i="36" s="1"/>
  <c r="AA32" i="36"/>
  <c r="F33" i="36"/>
  <c r="S33" i="36" s="1"/>
  <c r="S26" i="37"/>
  <c r="W35" i="37"/>
  <c r="U36" i="37"/>
  <c r="H43" i="39"/>
  <c r="U43" i="39" s="1"/>
  <c r="H35" i="40"/>
  <c r="AB35" i="40" s="1"/>
  <c r="J35" i="40"/>
  <c r="W35" i="40" s="1"/>
  <c r="W31" i="35"/>
  <c r="AA30" i="36"/>
  <c r="S30" i="36"/>
  <c r="U33" i="37"/>
  <c r="W35" i="33"/>
  <c r="AC35" i="33"/>
  <c r="AA32" i="37"/>
  <c r="U41" i="33"/>
  <c r="AB41" i="33"/>
  <c r="AB14" i="40"/>
  <c r="AC34" i="40"/>
  <c r="W34" i="40"/>
  <c r="U47" i="39"/>
  <c r="W45" i="39"/>
  <c r="U34" i="33"/>
  <c r="AB34" i="33"/>
  <c r="AB11" i="36"/>
  <c r="AA32" i="34"/>
  <c r="S12" i="34"/>
  <c r="AA12" i="34"/>
  <c r="AC12" i="34"/>
  <c r="W13" i="33"/>
  <c r="AA17" i="37"/>
  <c r="S17" i="37"/>
  <c r="AA27" i="37"/>
  <c r="S27" i="37"/>
  <c r="AC38" i="37"/>
  <c r="W45" i="34"/>
  <c r="AC31" i="34"/>
  <c r="W31" i="34"/>
  <c r="AA13" i="34"/>
  <c r="U13" i="34"/>
  <c r="AB13" i="34"/>
  <c r="U44" i="33"/>
  <c r="AA14" i="33"/>
  <c r="W28" i="33"/>
  <c r="AC28" i="33"/>
  <c r="W10" i="35"/>
  <c r="AC10" i="35"/>
  <c r="S36" i="33"/>
  <c r="S33" i="34"/>
  <c r="U16" i="35"/>
  <c r="S34" i="36"/>
  <c r="AA34" i="36"/>
  <c r="S12" i="36"/>
  <c r="U10" i="35"/>
  <c r="AB10" i="35"/>
  <c r="S36" i="34"/>
  <c r="AA36" i="34"/>
  <c r="AA29" i="36"/>
  <c r="S29" i="36"/>
  <c r="F19" i="21"/>
  <c r="S19" i="21" s="1"/>
  <c r="G81" i="21"/>
  <c r="E108" i="21"/>
  <c r="F108" i="21" s="1"/>
  <c r="G108" i="21"/>
  <c r="H108" i="21" s="1"/>
  <c r="I108" i="21" s="1"/>
  <c r="J108" i="21" s="1"/>
  <c r="K108" i="21" s="1"/>
  <c r="L108" i="21" s="1"/>
  <c r="M108" i="21" s="1"/>
  <c r="F35" i="21"/>
  <c r="J35" i="21"/>
  <c r="AC35" i="21" s="1"/>
  <c r="B55" i="46"/>
  <c r="B62" i="46"/>
  <c r="AB8" i="34"/>
  <c r="S9" i="34"/>
  <c r="U34" i="34"/>
  <c r="AA43" i="34"/>
  <c r="S43" i="34"/>
  <c r="F27" i="34"/>
  <c r="S27" i="34" s="1"/>
  <c r="AB40" i="34"/>
  <c r="H9" i="35"/>
  <c r="J9" i="35"/>
  <c r="W9" i="35" s="1"/>
  <c r="F9" i="35"/>
  <c r="J12" i="33"/>
  <c r="W12" i="33" s="1"/>
  <c r="F12" i="33"/>
  <c r="S12" i="33" s="1"/>
  <c r="J31" i="33"/>
  <c r="AC31" i="33" s="1"/>
  <c r="F13" i="35"/>
  <c r="H13" i="35"/>
  <c r="AB13" i="35" s="1"/>
  <c r="J25" i="35"/>
  <c r="H25" i="35"/>
  <c r="AB25" i="35" s="1"/>
  <c r="W8" i="36"/>
  <c r="H24" i="36"/>
  <c r="AB24" i="36" s="1"/>
  <c r="H34" i="36"/>
  <c r="J34" i="36"/>
  <c r="AC34" i="36" s="1"/>
  <c r="S31" i="36"/>
  <c r="AA31" i="36"/>
  <c r="S10" i="37"/>
  <c r="AA25" i="37"/>
  <c r="S25" i="37"/>
  <c r="AB29" i="37"/>
  <c r="AB14" i="37"/>
  <c r="F39" i="37"/>
  <c r="S39" i="37" s="1"/>
  <c r="F14" i="39"/>
  <c r="AA14" i="39" s="1"/>
  <c r="H14" i="39"/>
  <c r="J14" i="39"/>
  <c r="H16" i="39"/>
  <c r="AB16" i="39" s="1"/>
  <c r="F38" i="39"/>
  <c r="AA38" i="39" s="1"/>
  <c r="J38" i="39"/>
  <c r="H38" i="39"/>
  <c r="AB38" i="39" s="1"/>
  <c r="D18" i="59"/>
  <c r="C19" i="59"/>
  <c r="F7" i="59"/>
  <c r="F6" i="59" s="1"/>
  <c r="F5" i="59"/>
  <c r="V8" i="59"/>
  <c r="D3" i="21"/>
  <c r="E32" i="6"/>
  <c r="AZ562" i="3"/>
  <c r="AZ550" i="3"/>
  <c r="D1" i="57"/>
  <c r="E10" i="57" s="1"/>
  <c r="D38" i="59"/>
  <c r="C39" i="59"/>
  <c r="C7" i="59"/>
  <c r="D7" i="59" s="1"/>
  <c r="T8" i="59"/>
  <c r="D8" i="59"/>
  <c r="F37" i="21"/>
  <c r="J37" i="21"/>
  <c r="AC37" i="21" s="1"/>
  <c r="H37" i="21"/>
  <c r="AZ572" i="3"/>
  <c r="AZ568" i="3"/>
  <c r="AZ564" i="3"/>
  <c r="AZ556" i="3"/>
  <c r="AZ552" i="3"/>
  <c r="AZ536" i="3"/>
  <c r="L100" i="46"/>
  <c r="S21" i="34"/>
  <c r="F31" i="39"/>
  <c r="AA31" i="39" s="1"/>
  <c r="C70" i="59"/>
  <c r="D70" i="59"/>
  <c r="C67" i="59"/>
  <c r="C63" i="59"/>
  <c r="D56" i="59"/>
  <c r="E55" i="59"/>
  <c r="E54" i="59" s="1"/>
  <c r="D26" i="59"/>
  <c r="S52" i="59"/>
  <c r="AC12" i="46"/>
  <c r="AG12" i="46"/>
  <c r="Z12" i="46"/>
  <c r="AF12" i="46"/>
  <c r="C23" i="59"/>
  <c r="C24" i="59" s="1"/>
  <c r="T24" i="59" s="1"/>
  <c r="C15" i="59"/>
  <c r="X6" i="59"/>
  <c r="Y6" i="59"/>
  <c r="Z6" i="59"/>
  <c r="F34" i="15"/>
  <c r="F61" i="15" s="1"/>
  <c r="BA522" i="3"/>
  <c r="AZ522" i="3" s="1"/>
  <c r="BA518" i="3"/>
  <c r="AZ518" i="3" s="1"/>
  <c r="BA514" i="3"/>
  <c r="AZ514" i="3" s="1"/>
  <c r="BA510" i="3"/>
  <c r="AZ510" i="3" s="1"/>
  <c r="BA506" i="3"/>
  <c r="AZ506" i="3" s="1"/>
  <c r="BA502" i="3"/>
  <c r="AZ502" i="3" s="1"/>
  <c r="BA498" i="3"/>
  <c r="AZ498" i="3" s="1"/>
  <c r="BA494" i="3"/>
  <c r="AZ494" i="3" s="1"/>
  <c r="BA490" i="3"/>
  <c r="AZ490" i="3" s="1"/>
  <c r="BA489" i="3"/>
  <c r="AZ489" i="3" s="1"/>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0" i="3"/>
  <c r="BA520" i="3"/>
  <c r="AZ520" i="3"/>
  <c r="BA516" i="3"/>
  <c r="AZ516" i="3"/>
  <c r="BA512" i="3"/>
  <c r="AZ512" i="3"/>
  <c r="BA508" i="3"/>
  <c r="AZ508" i="3"/>
  <c r="BA504" i="3"/>
  <c r="AZ504" i="3"/>
  <c r="BA500" i="3"/>
  <c r="AZ500" i="3"/>
  <c r="BA496" i="3"/>
  <c r="AZ496" i="3"/>
  <c r="BA492" i="3"/>
  <c r="AZ492" i="3"/>
  <c r="BL319" i="3"/>
  <c r="AZ319" i="3" s="1"/>
  <c r="BA319" i="3"/>
  <c r="AZ311" i="3"/>
  <c r="AZ303" i="3"/>
  <c r="AZ289" i="3"/>
  <c r="AZ281" i="3"/>
  <c r="AZ273" i="3"/>
  <c r="AZ265" i="3"/>
  <c r="AZ257" i="3"/>
  <c r="AZ249" i="3"/>
  <c r="AZ241" i="3"/>
  <c r="AZ233" i="3"/>
  <c r="AZ225" i="3"/>
  <c r="AZ217" i="3"/>
  <c r="AZ209" i="3"/>
  <c r="AZ201" i="3"/>
  <c r="AZ193" i="3"/>
  <c r="AZ185" i="3"/>
  <c r="AZ177" i="3"/>
  <c r="AZ317" i="3"/>
  <c r="AZ309" i="3"/>
  <c r="AZ301" i="3"/>
  <c r="BA163" i="3"/>
  <c r="BA159" i="3"/>
  <c r="BA155" i="3"/>
  <c r="AZ155" i="3"/>
  <c r="AZ151" i="3"/>
  <c r="AZ143" i="3"/>
  <c r="AZ135" i="3"/>
  <c r="AZ127" i="3"/>
  <c r="AZ111" i="3"/>
  <c r="BA161" i="3"/>
  <c r="AZ161" i="3"/>
  <c r="BA157" i="3"/>
  <c r="AZ157" i="3"/>
  <c r="BA153" i="3"/>
  <c r="AZ153" i="3"/>
  <c r="BA152" i="3"/>
  <c r="AZ152" i="3"/>
  <c r="AZ97" i="3"/>
  <c r="AZ85" i="3"/>
  <c r="AZ61" i="3"/>
  <c r="BA55" i="3"/>
  <c r="BA51" i="3"/>
  <c r="BA47" i="3"/>
  <c r="BA43" i="3"/>
  <c r="BA39" i="3"/>
  <c r="BA35" i="3"/>
  <c r="BA31" i="3"/>
  <c r="AZ31" i="3" s="1"/>
  <c r="BA27" i="3"/>
  <c r="AZ27" i="3" s="1"/>
  <c r="BA23" i="3"/>
  <c r="AZ23" i="3" s="1"/>
  <c r="BA19" i="3"/>
  <c r="AZ19" i="3" s="1"/>
  <c r="BA57" i="3"/>
  <c r="BA53" i="3"/>
  <c r="AZ53" i="3" s="1"/>
  <c r="BA49" i="3"/>
  <c r="AZ49" i="3" s="1"/>
  <c r="BA45" i="3"/>
  <c r="AZ45" i="3" s="1"/>
  <c r="BA41" i="3"/>
  <c r="AZ41" i="3" s="1"/>
  <c r="BA37" i="3"/>
  <c r="AZ37" i="3" s="1"/>
  <c r="BA33" i="3"/>
  <c r="AZ33" i="3" s="1"/>
  <c r="BA29" i="3"/>
  <c r="BA25" i="3"/>
  <c r="AZ25" i="3" s="1"/>
  <c r="BA21" i="3"/>
  <c r="AZ21" i="3" s="1"/>
  <c r="BA17" i="3"/>
  <c r="AZ17" i="3" s="1"/>
  <c r="AZ22" i="3"/>
  <c r="AZ18" i="3"/>
  <c r="S42" i="21"/>
  <c r="AA42" i="21"/>
  <c r="U42" i="21"/>
  <c r="L19" i="6"/>
  <c r="B38" i="63"/>
  <c r="A17" i="51"/>
  <c r="B13" i="63" s="1"/>
  <c r="D15" i="59"/>
  <c r="C16" i="59"/>
  <c r="C62" i="59"/>
  <c r="D62" i="59" s="1"/>
  <c r="D63" i="59"/>
  <c r="AB37" i="21"/>
  <c r="U37" i="21"/>
  <c r="AA37" i="21"/>
  <c r="S37" i="21"/>
  <c r="C40" i="59"/>
  <c r="D39" i="59"/>
  <c r="D19" i="59"/>
  <c r="C20" i="59"/>
  <c r="T20" i="59" s="1"/>
  <c r="W38" i="39"/>
  <c r="AC38" i="39"/>
  <c r="U14" i="39"/>
  <c r="AB14" i="39"/>
  <c r="U34" i="36"/>
  <c r="AB34" i="36"/>
  <c r="AC25" i="35"/>
  <c r="W25" i="35"/>
  <c r="S13" i="35"/>
  <c r="AA13" i="35"/>
  <c r="S31" i="33"/>
  <c r="U12" i="33"/>
  <c r="AA9" i="35"/>
  <c r="S9" i="35"/>
  <c r="AB9" i="35"/>
  <c r="U9" i="35"/>
  <c r="W35" i="21"/>
  <c r="S35" i="40"/>
  <c r="U33" i="36"/>
  <c r="AB13" i="36"/>
  <c r="U13" i="36"/>
  <c r="S24" i="35"/>
  <c r="S12" i="35"/>
  <c r="AB12" i="35"/>
  <c r="C66" i="59"/>
  <c r="D66" i="59" s="1"/>
  <c r="D67" i="59"/>
  <c r="W37" i="21"/>
  <c r="C6" i="59"/>
  <c r="D6" i="59" s="1"/>
  <c r="U38" i="39"/>
  <c r="S14" i="39"/>
  <c r="AA39" i="37"/>
  <c r="W34" i="36"/>
  <c r="U25" i="35"/>
  <c r="W31" i="33"/>
  <c r="AA12" i="33"/>
  <c r="AC12" i="33"/>
  <c r="AA27" i="34"/>
  <c r="S35" i="21"/>
  <c r="AA35" i="21"/>
  <c r="AA19" i="21"/>
  <c r="U35" i="40"/>
  <c r="AA33" i="36"/>
  <c r="AC13" i="36"/>
  <c r="U12" i="36"/>
  <c r="W24" i="35"/>
  <c r="AC12" i="35"/>
  <c r="W38" i="21"/>
  <c r="AC38" i="21"/>
  <c r="AB46" i="33"/>
  <c r="AA45" i="34"/>
  <c r="AB29" i="39"/>
  <c r="AE11" i="1"/>
  <c r="AE8" i="1"/>
  <c r="D40" i="59"/>
  <c r="T40" i="59"/>
  <c r="C5" i="59"/>
  <c r="D5" i="59" s="1"/>
  <c r="D16" i="59"/>
  <c r="T16" i="59"/>
  <c r="AE10" i="1"/>
  <c r="AE9" i="1"/>
  <c r="R10" i="1"/>
  <c r="R8" i="1"/>
  <c r="R11" i="1"/>
  <c r="R9" i="1"/>
  <c r="C18" i="9" l="1"/>
  <c r="M43" i="9" s="1"/>
  <c r="D18" i="9"/>
  <c r="M44" i="9" s="1"/>
  <c r="J29" i="39"/>
  <c r="G103" i="39"/>
  <c r="N49" i="59"/>
  <c r="N50" i="59"/>
  <c r="AC14" i="39"/>
  <c r="W14" i="39"/>
  <c r="W42" i="21"/>
  <c r="AC42" i="21"/>
  <c r="S17" i="21"/>
  <c r="AA17" i="21"/>
  <c r="AB9" i="36"/>
  <c r="U9" i="36"/>
  <c r="AB31" i="33"/>
  <c r="U31" i="33"/>
  <c r="AA9" i="33"/>
  <c r="S9" i="33"/>
  <c r="W9" i="34"/>
  <c r="AC9" i="34"/>
  <c r="W29" i="33"/>
  <c r="AC29" i="33"/>
  <c r="AA14" i="34"/>
  <c r="S14" i="34"/>
  <c r="U11" i="35"/>
  <c r="AB11" i="35"/>
  <c r="AB36" i="35"/>
  <c r="U36" i="35"/>
  <c r="AC9" i="36"/>
  <c r="W9" i="36"/>
  <c r="W12" i="36"/>
  <c r="AC12" i="36"/>
  <c r="W9" i="37"/>
  <c r="AC9" i="37"/>
  <c r="W12" i="37"/>
  <c r="AC12" i="37"/>
  <c r="S28" i="37"/>
  <c r="AA28" i="37"/>
  <c r="U40" i="37"/>
  <c r="AB40" i="37"/>
  <c r="S15" i="39"/>
  <c r="AA15" i="39"/>
  <c r="U33" i="39"/>
  <c r="AB33" i="39"/>
  <c r="S39" i="39"/>
  <c r="AA39" i="39"/>
  <c r="J43" i="39"/>
  <c r="F43" i="39"/>
  <c r="AA14" i="40"/>
  <c r="S14" i="40"/>
  <c r="AA16" i="40"/>
  <c r="S16" i="40"/>
  <c r="D24" i="59"/>
  <c r="D20" i="59"/>
  <c r="AB43" i="39"/>
  <c r="AC35" i="40"/>
  <c r="AC9" i="35"/>
  <c r="U13" i="35"/>
  <c r="U24" i="36"/>
  <c r="S38" i="39"/>
  <c r="D23" i="59"/>
  <c r="W26" i="33"/>
  <c r="AC27" i="34"/>
  <c r="AC39" i="37"/>
  <c r="A3" i="55"/>
  <c r="B56" i="63" s="1"/>
  <c r="AZ29" i="3"/>
  <c r="H126" i="39"/>
  <c r="I126" i="39" s="1"/>
  <c r="J126" i="39" s="1"/>
  <c r="K126" i="39" s="1"/>
  <c r="L126" i="39" s="1"/>
  <c r="M126" i="39" s="1"/>
  <c r="W15" i="21"/>
  <c r="AA26" i="33"/>
  <c r="P49" i="59"/>
  <c r="AC28" i="37"/>
  <c r="U9" i="33"/>
  <c r="W40" i="37"/>
  <c r="C58" i="59"/>
  <c r="D58" i="59" s="1"/>
  <c r="U44" i="21"/>
  <c r="AC23" i="21"/>
  <c r="W23" i="21"/>
  <c r="U23" i="36"/>
  <c r="AB23" i="36"/>
  <c r="W26" i="37"/>
  <c r="AC26" i="37"/>
  <c r="W26" i="35"/>
  <c r="AC26" i="35"/>
  <c r="AA37" i="39"/>
  <c r="S37" i="39"/>
  <c r="S22" i="31"/>
  <c r="K141" i="21"/>
  <c r="K144" i="21"/>
  <c r="K143" i="21"/>
  <c r="U18" i="36"/>
  <c r="D46" i="59"/>
  <c r="C47" i="59"/>
  <c r="AZ567" i="3"/>
  <c r="AZ565" i="3"/>
  <c r="AZ560" i="3"/>
  <c r="AZ558" i="3"/>
  <c r="AZ554" i="3"/>
  <c r="AZ548" i="3"/>
  <c r="AZ544" i="3"/>
  <c r="AZ540" i="3"/>
  <c r="AZ535" i="3"/>
  <c r="AZ533" i="3"/>
  <c r="AZ531" i="3"/>
  <c r="AZ530" i="3"/>
  <c r="AZ526"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2" i="3"/>
  <c r="AZ283" i="3"/>
  <c r="AZ251" i="3"/>
  <c r="AZ219" i="3"/>
  <c r="H39" i="37"/>
  <c r="J24" i="36"/>
  <c r="B72" i="46"/>
  <c r="B76" i="46"/>
  <c r="H19" i="21"/>
  <c r="F33" i="39"/>
  <c r="H24" i="35"/>
  <c r="H26" i="33"/>
  <c r="S10" i="36"/>
  <c r="H29" i="34"/>
  <c r="U29" i="33"/>
  <c r="AC46" i="39"/>
  <c r="AC33" i="35"/>
  <c r="AB10" i="33"/>
  <c r="AA31" i="34"/>
  <c r="S45" i="39"/>
  <c r="W14" i="36"/>
  <c r="U25" i="34"/>
  <c r="W39" i="40"/>
  <c r="O40" i="9"/>
  <c r="R7" i="54" s="1"/>
  <c r="B52" i="63" s="1"/>
  <c r="W33" i="36"/>
  <c r="F9" i="36"/>
  <c r="U34" i="35"/>
  <c r="H28" i="37"/>
  <c r="F36" i="35"/>
  <c r="AC23" i="35"/>
  <c r="J9" i="33"/>
  <c r="W29" i="37"/>
  <c r="AA45" i="33"/>
  <c r="S19" i="40"/>
  <c r="U17" i="33"/>
  <c r="AA25" i="33"/>
  <c r="AB19" i="37"/>
  <c r="S19" i="37"/>
  <c r="AA20" i="36"/>
  <c r="C21" i="39"/>
  <c r="C17" i="39"/>
  <c r="S40" i="40"/>
  <c r="U17" i="40"/>
  <c r="AC25" i="33"/>
  <c r="S19" i="34"/>
  <c r="U38" i="37"/>
  <c r="AC15" i="37"/>
  <c r="S32" i="35"/>
  <c r="W22" i="35"/>
  <c r="AA33" i="35"/>
  <c r="AC30" i="35"/>
  <c r="U10" i="36"/>
  <c r="AA11" i="35"/>
  <c r="AC17" i="40"/>
  <c r="S15" i="40"/>
  <c r="U15" i="40"/>
  <c r="W33" i="40"/>
  <c r="W10" i="33"/>
  <c r="AB15" i="33"/>
  <c r="U19" i="33"/>
  <c r="AB11" i="33"/>
  <c r="U37" i="33"/>
  <c r="AB41" i="34"/>
  <c r="W19" i="34"/>
  <c r="AC40" i="34"/>
  <c r="W10" i="34"/>
  <c r="AA40" i="34"/>
  <c r="S37" i="37"/>
  <c r="W32" i="37"/>
  <c r="AC11" i="37"/>
  <c r="S29" i="37"/>
  <c r="AB37" i="37"/>
  <c r="H26" i="35"/>
  <c r="F26" i="35"/>
  <c r="S28" i="35"/>
  <c r="S16" i="35"/>
  <c r="S16" i="36"/>
  <c r="U32" i="36"/>
  <c r="W20" i="36"/>
  <c r="AA28" i="36"/>
  <c r="AC25" i="36"/>
  <c r="AB15" i="39"/>
  <c r="AC15" i="33"/>
  <c r="W14" i="35"/>
  <c r="AB23" i="40"/>
  <c r="AC16" i="40"/>
  <c r="U16" i="40"/>
  <c r="W32" i="33"/>
  <c r="S33" i="40"/>
  <c r="J15" i="39"/>
  <c r="AC15" i="39" s="1"/>
  <c r="J37" i="39"/>
  <c r="H37" i="39"/>
  <c r="J39" i="39"/>
  <c r="J11" i="35"/>
  <c r="J32" i="34"/>
  <c r="H14" i="34"/>
  <c r="U28" i="33"/>
  <c r="AC10" i="36"/>
  <c r="S42" i="33"/>
  <c r="W37" i="37"/>
  <c r="AB10" i="37"/>
  <c r="F12" i="37"/>
  <c r="H12" i="37"/>
  <c r="F9" i="37"/>
  <c r="H9" i="37"/>
  <c r="AA13" i="33"/>
  <c r="AC41" i="34"/>
  <c r="AB28" i="36"/>
  <c r="AC35" i="35"/>
  <c r="F29" i="34"/>
  <c r="F46" i="33"/>
  <c r="F40" i="37"/>
  <c r="J45" i="33"/>
  <c r="AA28" i="34"/>
  <c r="W39" i="34"/>
  <c r="S34" i="35"/>
  <c r="W22" i="36"/>
  <c r="H9" i="34"/>
  <c r="F23" i="36"/>
  <c r="H26" i="37"/>
  <c r="B21" i="63"/>
  <c r="N4" i="63"/>
  <c r="B11" i="59"/>
  <c r="B10" i="59" s="1"/>
  <c r="S12" i="59"/>
  <c r="AZ566" i="3"/>
  <c r="AZ561" i="3"/>
  <c r="AZ559" i="3"/>
  <c r="AZ557" i="3"/>
  <c r="AZ551" i="3"/>
  <c r="AZ534" i="3"/>
  <c r="AZ532" i="3"/>
  <c r="AZ528" i="3"/>
  <c r="AZ515" i="3"/>
  <c r="AZ513" i="3"/>
  <c r="AZ511" i="3"/>
  <c r="AZ509" i="3"/>
  <c r="AZ507"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91" i="3"/>
  <c r="AZ385" i="3"/>
  <c r="AZ383" i="3"/>
  <c r="AZ377" i="3"/>
  <c r="AZ375" i="3"/>
  <c r="AZ369" i="3"/>
  <c r="AZ367" i="3"/>
  <c r="AZ361" i="3"/>
  <c r="AZ359" i="3"/>
  <c r="AZ267" i="3"/>
  <c r="AZ235" i="3"/>
  <c r="AB6" i="59"/>
  <c r="K13" i="1"/>
  <c r="M13" i="1" s="1"/>
  <c r="S13" i="1"/>
  <c r="K11" i="1"/>
  <c r="M11" i="1" s="1"/>
  <c r="S11" i="1"/>
  <c r="K9" i="1"/>
  <c r="S9" i="1"/>
  <c r="S8" i="1"/>
  <c r="K8" i="1"/>
  <c r="M8" i="1" s="1"/>
  <c r="BL349" i="3"/>
  <c r="AZ349" i="3" s="1"/>
  <c r="BL348" i="3"/>
  <c r="AZ348" i="3" s="1"/>
  <c r="BL347" i="3"/>
  <c r="AZ347" i="3" s="1"/>
  <c r="BL346" i="3"/>
  <c r="AZ346" i="3" s="1"/>
  <c r="BL345" i="3"/>
  <c r="AZ345" i="3" s="1"/>
  <c r="BL344" i="3"/>
  <c r="BA343" i="3"/>
  <c r="AZ343" i="3" s="1"/>
  <c r="BA341" i="3"/>
  <c r="AZ341" i="3" s="1"/>
  <c r="BA339" i="3"/>
  <c r="AZ339" i="3" s="1"/>
  <c r="BA337" i="3"/>
  <c r="AZ337" i="3" s="1"/>
  <c r="BA335" i="3"/>
  <c r="AZ335" i="3" s="1"/>
  <c r="BA333" i="3"/>
  <c r="AZ333" i="3" s="1"/>
  <c r="BA331" i="3"/>
  <c r="AZ331" i="3" s="1"/>
  <c r="BA329" i="3"/>
  <c r="AZ329" i="3" s="1"/>
  <c r="BA327" i="3"/>
  <c r="AZ327" i="3" s="1"/>
  <c r="BA325" i="3"/>
  <c r="AZ325" i="3" s="1"/>
  <c r="BA323" i="3"/>
  <c r="AZ323" i="3" s="1"/>
  <c r="BA321" i="3"/>
  <c r="AZ321" i="3" s="1"/>
  <c r="BA320" i="3"/>
  <c r="BA316" i="3"/>
  <c r="AZ316" i="3" s="1"/>
  <c r="BA308" i="3"/>
  <c r="AZ308" i="3" s="1"/>
  <c r="BA300" i="3"/>
  <c r="AZ300" i="3" s="1"/>
  <c r="BA290" i="3"/>
  <c r="AZ290" i="3" s="1"/>
  <c r="BL280" i="3"/>
  <c r="AZ280" i="3" s="1"/>
  <c r="BL279" i="3"/>
  <c r="AZ279" i="3" s="1"/>
  <c r="BL278" i="3"/>
  <c r="AZ278" i="3" s="1"/>
  <c r="BL277" i="3"/>
  <c r="BA276" i="3"/>
  <c r="AZ276" i="3" s="1"/>
  <c r="BA274" i="3"/>
  <c r="AZ274" i="3" s="1"/>
  <c r="BL264" i="3"/>
  <c r="AZ264" i="3" s="1"/>
  <c r="BL263" i="3"/>
  <c r="AZ263" i="3" s="1"/>
  <c r="BL262" i="3"/>
  <c r="AZ262" i="3" s="1"/>
  <c r="BL261" i="3"/>
  <c r="BA260" i="3"/>
  <c r="AZ260" i="3" s="1"/>
  <c r="BA258" i="3"/>
  <c r="AZ258" i="3" s="1"/>
  <c r="BL248" i="3"/>
  <c r="AZ248" i="3" s="1"/>
  <c r="BL247" i="3"/>
  <c r="AZ247" i="3" s="1"/>
  <c r="BL246" i="3"/>
  <c r="AZ246" i="3" s="1"/>
  <c r="BL245" i="3"/>
  <c r="BA244" i="3"/>
  <c r="AZ244" i="3" s="1"/>
  <c r="BA242" i="3"/>
  <c r="AZ242" i="3" s="1"/>
  <c r="BL232" i="3"/>
  <c r="AZ232" i="3" s="1"/>
  <c r="BL231" i="3"/>
  <c r="AZ231" i="3" s="1"/>
  <c r="BL230" i="3"/>
  <c r="AZ230" i="3" s="1"/>
  <c r="BL229" i="3"/>
  <c r="BA228" i="3"/>
  <c r="AZ228" i="3" s="1"/>
  <c r="BA226" i="3"/>
  <c r="AZ226" i="3" s="1"/>
  <c r="BL216" i="3"/>
  <c r="AZ216" i="3" s="1"/>
  <c r="BL215" i="3"/>
  <c r="AZ215" i="3" s="1"/>
  <c r="BL214" i="3"/>
  <c r="AZ214" i="3" s="1"/>
  <c r="BL213" i="3"/>
  <c r="BA212" i="3"/>
  <c r="AZ212" i="3" s="1"/>
  <c r="BA210" i="3"/>
  <c r="AZ210" i="3" s="1"/>
  <c r="BL200" i="3"/>
  <c r="BA200" i="3"/>
  <c r="BL198" i="3"/>
  <c r="BA198" i="3"/>
  <c r="BA196" i="3"/>
  <c r="AZ196" i="3" s="1"/>
  <c r="S27" i="40"/>
  <c r="S18" i="36"/>
  <c r="D60" i="59"/>
  <c r="E59" i="59"/>
  <c r="E58" i="59" s="1"/>
  <c r="Q52" i="59"/>
  <c r="C51" i="59"/>
  <c r="F51" i="59"/>
  <c r="A26" i="64"/>
  <c r="AE12" i="46"/>
  <c r="AB12" i="46"/>
  <c r="I4" i="6"/>
  <c r="G3" i="46" s="1"/>
  <c r="S12" i="1"/>
  <c r="K12" i="1"/>
  <c r="M12" i="1" s="1"/>
  <c r="S10" i="1"/>
  <c r="K10" i="1"/>
  <c r="M10" i="1" s="1"/>
  <c r="O10" i="1" s="1"/>
  <c r="BL354" i="3"/>
  <c r="AZ354" i="3" s="1"/>
  <c r="BA353" i="3"/>
  <c r="AZ353" i="3" s="1"/>
  <c r="BA351" i="3"/>
  <c r="AZ351" i="3" s="1"/>
  <c r="BA344" i="3"/>
  <c r="AZ344" i="3" s="1"/>
  <c r="BA342" i="3"/>
  <c r="AZ342" i="3" s="1"/>
  <c r="BA340" i="3"/>
  <c r="AZ340" i="3" s="1"/>
  <c r="BA338" i="3"/>
  <c r="AZ338" i="3" s="1"/>
  <c r="BA336" i="3"/>
  <c r="AZ336" i="3" s="1"/>
  <c r="BA334" i="3"/>
  <c r="AZ334" i="3" s="1"/>
  <c r="BA332" i="3"/>
  <c r="AZ332" i="3" s="1"/>
  <c r="BA330" i="3"/>
  <c r="AZ330" i="3" s="1"/>
  <c r="BA328" i="3"/>
  <c r="AZ328" i="3" s="1"/>
  <c r="BA326" i="3"/>
  <c r="AZ326" i="3" s="1"/>
  <c r="BA324" i="3"/>
  <c r="AZ324" i="3" s="1"/>
  <c r="BA322" i="3"/>
  <c r="AZ322" i="3" s="1"/>
  <c r="BL320" i="3"/>
  <c r="BL318" i="3"/>
  <c r="AZ318" i="3" s="1"/>
  <c r="BA315" i="3"/>
  <c r="AZ315" i="3" s="1"/>
  <c r="BL313" i="3"/>
  <c r="AZ313" i="3" s="1"/>
  <c r="BA312" i="3"/>
  <c r="AZ312" i="3" s="1"/>
  <c r="BL310" i="3"/>
  <c r="AZ310" i="3" s="1"/>
  <c r="BA307" i="3"/>
  <c r="AZ307" i="3" s="1"/>
  <c r="BL305" i="3"/>
  <c r="AZ305" i="3" s="1"/>
  <c r="BA304" i="3"/>
  <c r="AZ304" i="3" s="1"/>
  <c r="BL302" i="3"/>
  <c r="AZ302" i="3" s="1"/>
  <c r="BA299" i="3"/>
  <c r="AZ299" i="3" s="1"/>
  <c r="BA295" i="3"/>
  <c r="AZ295" i="3" s="1"/>
  <c r="BA291" i="3"/>
  <c r="AZ291" i="3" s="1"/>
  <c r="BL288" i="3"/>
  <c r="AZ288" i="3" s="1"/>
  <c r="BL287" i="3"/>
  <c r="AZ287" i="3" s="1"/>
  <c r="BL286" i="3"/>
  <c r="AZ286" i="3" s="1"/>
  <c r="BL285" i="3"/>
  <c r="AZ285" i="3" s="1"/>
  <c r="BA284" i="3"/>
  <c r="AZ284" i="3" s="1"/>
  <c r="BA282" i="3"/>
  <c r="AZ282" i="3" s="1"/>
  <c r="BA277" i="3"/>
  <c r="AZ277" i="3" s="1"/>
  <c r="BA275" i="3"/>
  <c r="AZ275" i="3" s="1"/>
  <c r="BL272" i="3"/>
  <c r="AZ272" i="3" s="1"/>
  <c r="BL271" i="3"/>
  <c r="AZ271" i="3" s="1"/>
  <c r="BL270" i="3"/>
  <c r="AZ270" i="3" s="1"/>
  <c r="BL269" i="3"/>
  <c r="AZ269" i="3" s="1"/>
  <c r="BA268" i="3"/>
  <c r="AZ268" i="3" s="1"/>
  <c r="BA266" i="3"/>
  <c r="AZ266" i="3" s="1"/>
  <c r="BA261" i="3"/>
  <c r="AZ261" i="3" s="1"/>
  <c r="BA259" i="3"/>
  <c r="AZ259" i="3" s="1"/>
  <c r="BL256" i="3"/>
  <c r="AZ256" i="3" s="1"/>
  <c r="BL255" i="3"/>
  <c r="AZ255" i="3" s="1"/>
  <c r="BL254" i="3"/>
  <c r="AZ254" i="3" s="1"/>
  <c r="BL253" i="3"/>
  <c r="AZ253" i="3" s="1"/>
  <c r="BA252" i="3"/>
  <c r="AZ252" i="3" s="1"/>
  <c r="BA250" i="3"/>
  <c r="AZ250" i="3" s="1"/>
  <c r="BA245" i="3"/>
  <c r="AZ245" i="3" s="1"/>
  <c r="BA243" i="3"/>
  <c r="AZ243" i="3" s="1"/>
  <c r="BL240" i="3"/>
  <c r="AZ240" i="3" s="1"/>
  <c r="BL239" i="3"/>
  <c r="AZ239" i="3" s="1"/>
  <c r="BL238" i="3"/>
  <c r="AZ238" i="3" s="1"/>
  <c r="BL237" i="3"/>
  <c r="AZ237" i="3" s="1"/>
  <c r="BA236" i="3"/>
  <c r="AZ236" i="3" s="1"/>
  <c r="BA234" i="3"/>
  <c r="AZ234" i="3" s="1"/>
  <c r="BA229" i="3"/>
  <c r="AZ229" i="3" s="1"/>
  <c r="BA227" i="3"/>
  <c r="AZ227" i="3" s="1"/>
  <c r="BL224" i="3"/>
  <c r="AZ224" i="3" s="1"/>
  <c r="BL223" i="3"/>
  <c r="AZ223" i="3" s="1"/>
  <c r="BL222" i="3"/>
  <c r="AZ222" i="3" s="1"/>
  <c r="BL221" i="3"/>
  <c r="AZ221" i="3" s="1"/>
  <c r="BA220" i="3"/>
  <c r="AZ220" i="3" s="1"/>
  <c r="BA218" i="3"/>
  <c r="AZ218" i="3" s="1"/>
  <c r="BA213" i="3"/>
  <c r="AZ213" i="3" s="1"/>
  <c r="BA211" i="3"/>
  <c r="AZ211" i="3" s="1"/>
  <c r="BL208" i="3"/>
  <c r="AZ208" i="3" s="1"/>
  <c r="BL207" i="3"/>
  <c r="AZ207" i="3" s="1"/>
  <c r="BL206" i="3"/>
  <c r="AZ206" i="3" s="1"/>
  <c r="BL205" i="3"/>
  <c r="AZ205" i="3" s="1"/>
  <c r="BL199" i="3"/>
  <c r="BA199" i="3"/>
  <c r="AZ199" i="3" s="1"/>
  <c r="BL197" i="3"/>
  <c r="BA194" i="3"/>
  <c r="AZ194" i="3" s="1"/>
  <c r="AZ191" i="3"/>
  <c r="AZ184" i="3"/>
  <c r="AZ134" i="3"/>
  <c r="AZ121" i="3"/>
  <c r="AZ117" i="3"/>
  <c r="AZ113" i="3"/>
  <c r="AZ107" i="3"/>
  <c r="BA204" i="3"/>
  <c r="AZ204" i="3" s="1"/>
  <c r="BA202" i="3"/>
  <c r="AZ202" i="3" s="1"/>
  <c r="BA197" i="3"/>
  <c r="AZ197" i="3" s="1"/>
  <c r="BA195" i="3"/>
  <c r="AZ195" i="3" s="1"/>
  <c r="BL192" i="3"/>
  <c r="AZ192" i="3" s="1"/>
  <c r="BL191" i="3"/>
  <c r="BL190" i="3"/>
  <c r="AZ190" i="3" s="1"/>
  <c r="BL189" i="3"/>
  <c r="AZ189" i="3" s="1"/>
  <c r="BA188" i="3"/>
  <c r="AZ188" i="3" s="1"/>
  <c r="BA186" i="3"/>
  <c r="AZ186" i="3" s="1"/>
  <c r="BA181" i="3"/>
  <c r="BA179" i="3"/>
  <c r="AZ179" i="3" s="1"/>
  <c r="BL176" i="3"/>
  <c r="AZ176" i="3" s="1"/>
  <c r="AZ175" i="3"/>
  <c r="BL172" i="3"/>
  <c r="AZ172" i="3" s="1"/>
  <c r="AZ171" i="3"/>
  <c r="BL168" i="3"/>
  <c r="BL167" i="3"/>
  <c r="AZ167" i="3" s="1"/>
  <c r="BA166" i="3"/>
  <c r="AZ166" i="3" s="1"/>
  <c r="BL164" i="3"/>
  <c r="AZ164" i="3" s="1"/>
  <c r="BL159" i="3"/>
  <c r="AZ159" i="3" s="1"/>
  <c r="BA156" i="3"/>
  <c r="AZ156" i="3" s="1"/>
  <c r="BA147" i="3"/>
  <c r="AZ147" i="3" s="1"/>
  <c r="BA145" i="3"/>
  <c r="AZ145" i="3" s="1"/>
  <c r="BL142" i="3"/>
  <c r="BL141" i="3"/>
  <c r="BL140" i="3"/>
  <c r="BL139" i="3"/>
  <c r="AZ139" i="3" s="1"/>
  <c r="BA138" i="3"/>
  <c r="AZ138" i="3" s="1"/>
  <c r="BA136" i="3"/>
  <c r="AZ136" i="3" s="1"/>
  <c r="BA131" i="3"/>
  <c r="BA129" i="3"/>
  <c r="AZ129" i="3" s="1"/>
  <c r="BL126" i="3"/>
  <c r="AZ126" i="3" s="1"/>
  <c r="BL125" i="3"/>
  <c r="BL124" i="3"/>
  <c r="AZ124" i="3" s="1"/>
  <c r="BL123" i="3"/>
  <c r="AZ123" i="3" s="1"/>
  <c r="BA122" i="3"/>
  <c r="AZ122" i="3" s="1"/>
  <c r="BA120" i="3"/>
  <c r="AZ120" i="3" s="1"/>
  <c r="BA118" i="3"/>
  <c r="AZ118" i="3" s="1"/>
  <c r="BA116" i="3"/>
  <c r="AZ116" i="3" s="1"/>
  <c r="BA114" i="3"/>
  <c r="AZ114" i="3" s="1"/>
  <c r="BA112" i="3"/>
  <c r="AZ112" i="3" s="1"/>
  <c r="AZ99" i="3"/>
  <c r="BL96" i="3"/>
  <c r="BA96" i="3"/>
  <c r="AZ96" i="3" s="1"/>
  <c r="BL94" i="3"/>
  <c r="BA94" i="3"/>
  <c r="AZ94" i="3" s="1"/>
  <c r="BL92" i="3"/>
  <c r="BA92" i="3"/>
  <c r="AZ92" i="3" s="1"/>
  <c r="BA90" i="3"/>
  <c r="AZ90" i="3" s="1"/>
  <c r="BA86" i="3"/>
  <c r="AZ86" i="3" s="1"/>
  <c r="AZ83" i="3"/>
  <c r="AZ79" i="3"/>
  <c r="BL60" i="3"/>
  <c r="BA60" i="3"/>
  <c r="AZ60" i="3" s="1"/>
  <c r="BL58" i="3"/>
  <c r="BA58" i="3"/>
  <c r="AZ58" i="3" s="1"/>
  <c r="BL54" i="3"/>
  <c r="BA54" i="3"/>
  <c r="BL52" i="3"/>
  <c r="BL51" i="3"/>
  <c r="AZ51" i="3" s="1"/>
  <c r="AZ50" i="3"/>
  <c r="BL38" i="3"/>
  <c r="BA38" i="3"/>
  <c r="BL36" i="3"/>
  <c r="BL35" i="3"/>
  <c r="AZ35" i="3" s="1"/>
  <c r="AZ34" i="3"/>
  <c r="BL184" i="3"/>
  <c r="BL183" i="3"/>
  <c r="AZ183" i="3" s="1"/>
  <c r="BL182" i="3"/>
  <c r="AZ182" i="3" s="1"/>
  <c r="BL181" i="3"/>
  <c r="BA180" i="3"/>
  <c r="AZ180" i="3" s="1"/>
  <c r="BA178" i="3"/>
  <c r="AZ178" i="3" s="1"/>
  <c r="BL174" i="3"/>
  <c r="AZ174" i="3" s="1"/>
  <c r="BL170" i="3"/>
  <c r="AZ170" i="3" s="1"/>
  <c r="AZ169" i="3"/>
  <c r="AZ168" i="3"/>
  <c r="BL166" i="3"/>
  <c r="BL163" i="3"/>
  <c r="AZ163" i="3" s="1"/>
  <c r="BA160" i="3"/>
  <c r="AZ160" i="3" s="1"/>
  <c r="BL150" i="3"/>
  <c r="AZ150" i="3" s="1"/>
  <c r="BL149" i="3"/>
  <c r="AZ149" i="3" s="1"/>
  <c r="BL148" i="3"/>
  <c r="AZ148" i="3" s="1"/>
  <c r="BL147" i="3"/>
  <c r="BA146" i="3"/>
  <c r="AZ146" i="3" s="1"/>
  <c r="BA144" i="3"/>
  <c r="AZ144" i="3" s="1"/>
  <c r="AZ142" i="3"/>
  <c r="AZ141" i="3"/>
  <c r="AZ140" i="3"/>
  <c r="BL134" i="3"/>
  <c r="BL133" i="3"/>
  <c r="AZ133" i="3" s="1"/>
  <c r="BL132" i="3"/>
  <c r="AZ132" i="3" s="1"/>
  <c r="BL131" i="3"/>
  <c r="BA130" i="3"/>
  <c r="AZ130" i="3" s="1"/>
  <c r="BA128" i="3"/>
  <c r="AZ128" i="3" s="1"/>
  <c r="AZ125" i="3"/>
  <c r="BL110" i="3"/>
  <c r="AZ110" i="3" s="1"/>
  <c r="BL109" i="3"/>
  <c r="AZ109" i="3" s="1"/>
  <c r="BL108" i="3"/>
  <c r="AZ108" i="3" s="1"/>
  <c r="BL107" i="3"/>
  <c r="BL106" i="3"/>
  <c r="AZ106" i="3" s="1"/>
  <c r="BL105" i="3"/>
  <c r="AZ105" i="3" s="1"/>
  <c r="BL104" i="3"/>
  <c r="AZ104" i="3" s="1"/>
  <c r="BL95" i="3"/>
  <c r="BA95" i="3"/>
  <c r="AZ95" i="3" s="1"/>
  <c r="BL93" i="3"/>
  <c r="BA93" i="3"/>
  <c r="AZ93" i="3" s="1"/>
  <c r="BL91" i="3"/>
  <c r="BA88" i="3"/>
  <c r="AZ88" i="3" s="1"/>
  <c r="BT5" i="3"/>
  <c r="BN5" i="3"/>
  <c r="BL16" i="3"/>
  <c r="AZ16" i="3" s="1"/>
  <c r="BL103" i="3"/>
  <c r="AZ103" i="3" s="1"/>
  <c r="BL102" i="3"/>
  <c r="AZ102" i="3" s="1"/>
  <c r="BL101" i="3"/>
  <c r="AZ101" i="3" s="1"/>
  <c r="BA100" i="3"/>
  <c r="AZ100" i="3" s="1"/>
  <c r="BA98" i="3"/>
  <c r="AZ98" i="3" s="1"/>
  <c r="BA91" i="3"/>
  <c r="AZ91" i="3" s="1"/>
  <c r="BA89" i="3"/>
  <c r="AZ89" i="3" s="1"/>
  <c r="BA87" i="3"/>
  <c r="AZ87" i="3" s="1"/>
  <c r="BL84" i="3"/>
  <c r="AZ84" i="3" s="1"/>
  <c r="BL83" i="3"/>
  <c r="BL82" i="3"/>
  <c r="AZ82" i="3" s="1"/>
  <c r="BL81" i="3"/>
  <c r="AZ81" i="3" s="1"/>
  <c r="BA80" i="3"/>
  <c r="AZ80" i="3" s="1"/>
  <c r="BA77" i="3"/>
  <c r="AZ77" i="3" s="1"/>
  <c r="BL59" i="3"/>
  <c r="BA59" i="3"/>
  <c r="BL57" i="3"/>
  <c r="AZ57" i="3" s="1"/>
  <c r="BL46" i="3"/>
  <c r="BA46" i="3"/>
  <c r="BL44" i="3"/>
  <c r="BL43" i="3"/>
  <c r="AZ43" i="3" s="1"/>
  <c r="AZ42" i="3"/>
  <c r="BA73" i="3"/>
  <c r="AZ73" i="3" s="1"/>
  <c r="BA69" i="3"/>
  <c r="AZ69" i="3" s="1"/>
  <c r="BA65" i="3"/>
  <c r="AZ65" i="3" s="1"/>
  <c r="BA62" i="3"/>
  <c r="AZ62" i="3" s="1"/>
  <c r="BL56" i="3"/>
  <c r="AZ56" i="3" s="1"/>
  <c r="BL55" i="3"/>
  <c r="AZ55" i="3" s="1"/>
  <c r="BA52" i="3"/>
  <c r="AZ52" i="3" s="1"/>
  <c r="BL50" i="3"/>
  <c r="BL48" i="3"/>
  <c r="AZ48" i="3" s="1"/>
  <c r="BL47" i="3"/>
  <c r="AZ47" i="3" s="1"/>
  <c r="BA44" i="3"/>
  <c r="AZ44" i="3" s="1"/>
  <c r="BL42" i="3"/>
  <c r="BL40" i="3"/>
  <c r="AZ40" i="3" s="1"/>
  <c r="BL39" i="3"/>
  <c r="AZ39" i="3" s="1"/>
  <c r="BA36" i="3"/>
  <c r="AZ36" i="3" s="1"/>
  <c r="BL34" i="3"/>
  <c r="BL32" i="3"/>
  <c r="AZ32" i="3" s="1"/>
  <c r="BL24" i="3"/>
  <c r="AZ24" i="3" s="1"/>
  <c r="BQ5" i="3"/>
  <c r="BO5" i="3"/>
  <c r="S44" i="78"/>
  <c r="W27" i="78"/>
  <c r="S25" i="78"/>
  <c r="K6" i="1"/>
  <c r="M6" i="1" s="1"/>
  <c r="D3" i="78"/>
  <c r="AC25" i="78"/>
  <c r="W25" i="78"/>
  <c r="AA26" i="78"/>
  <c r="S26" i="78"/>
  <c r="AC26" i="78"/>
  <c r="W26" i="78"/>
  <c r="AA27" i="78"/>
  <c r="S27" i="78"/>
  <c r="AC28" i="78"/>
  <c r="W28" i="78"/>
  <c r="AA29" i="78"/>
  <c r="S29" i="78"/>
  <c r="AC29" i="78"/>
  <c r="W29" i="78"/>
  <c r="AA30" i="78"/>
  <c r="S30" i="78"/>
  <c r="AA31" i="78"/>
  <c r="S31" i="78"/>
  <c r="AC31" i="78"/>
  <c r="W31" i="78"/>
  <c r="AA32" i="78"/>
  <c r="S32" i="78"/>
  <c r="AB34" i="78"/>
  <c r="U34" i="78"/>
  <c r="AB35" i="78"/>
  <c r="U35" i="78"/>
  <c r="AB38" i="78"/>
  <c r="U38" i="78"/>
  <c r="AB39" i="78"/>
  <c r="U39" i="78"/>
  <c r="AB40" i="78"/>
  <c r="U40" i="78"/>
  <c r="AB41" i="78"/>
  <c r="U41" i="78"/>
  <c r="AA43" i="78"/>
  <c r="S43" i="78"/>
  <c r="AC43" i="78"/>
  <c r="W43" i="78"/>
  <c r="AC44" i="78"/>
  <c r="W44" i="78"/>
  <c r="AA45" i="78"/>
  <c r="S45" i="78"/>
  <c r="J10" i="78"/>
  <c r="H10" i="78"/>
  <c r="F10" i="78"/>
  <c r="F66" i="78"/>
  <c r="G66" i="78" s="1"/>
  <c r="H66" i="78" s="1"/>
  <c r="I66" i="78" s="1"/>
  <c r="H42" i="78"/>
  <c r="G123" i="78"/>
  <c r="H123" i="78" s="1"/>
  <c r="I123" i="78" s="1"/>
  <c r="J123" i="78" s="1"/>
  <c r="K123" i="78" s="1"/>
  <c r="L123" i="78" s="1"/>
  <c r="M123" i="78" s="1"/>
  <c r="J42" i="78"/>
  <c r="F42" i="78"/>
  <c r="AB21" i="78"/>
  <c r="U21" i="78"/>
  <c r="AB27" i="78"/>
  <c r="U27" i="78"/>
  <c r="AB28" i="78"/>
  <c r="U28" i="78"/>
  <c r="AA34" i="78"/>
  <c r="S34" i="78"/>
  <c r="AC35" i="78"/>
  <c r="W35" i="78"/>
  <c r="AC36" i="78"/>
  <c r="W36" i="78"/>
  <c r="AA37" i="78"/>
  <c r="S37" i="78"/>
  <c r="AA38" i="78"/>
  <c r="S38" i="78"/>
  <c r="AC39" i="78"/>
  <c r="W39" i="78"/>
  <c r="AC40" i="78"/>
  <c r="W40" i="78"/>
  <c r="AA41" i="78"/>
  <c r="S41" i="78"/>
  <c r="J12" i="78"/>
  <c r="H12" i="78"/>
  <c r="F12" i="78"/>
  <c r="J14" i="78"/>
  <c r="H14" i="78"/>
  <c r="F14" i="78"/>
  <c r="E83" i="78"/>
  <c r="F83" i="78" s="1"/>
  <c r="G83" i="78" s="1"/>
  <c r="J21" i="78"/>
  <c r="F21" i="78"/>
  <c r="AA21" i="78" s="1"/>
  <c r="BS5" i="3"/>
  <c r="BM5" i="3"/>
  <c r="F29" i="6" s="1"/>
  <c r="BA15" i="3"/>
  <c r="AZ15" i="3" s="1"/>
  <c r="G15" i="3"/>
  <c r="BR5" i="3"/>
  <c r="G28" i="6" s="1"/>
  <c r="BP5" i="3"/>
  <c r="BL14" i="3"/>
  <c r="BC5" i="3"/>
  <c r="E10" i="6" s="1"/>
  <c r="J15" i="79"/>
  <c r="G13" i="3"/>
  <c r="G5" i="3" s="1"/>
  <c r="B3" i="3" s="1"/>
  <c r="BB5" i="3"/>
  <c r="D22" i="77"/>
  <c r="H34" i="39"/>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H17" i="39"/>
  <c r="F17" i="39"/>
  <c r="F93" i="39"/>
  <c r="F19" i="39" s="1"/>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AQ11" i="1"/>
  <c r="O13" i="1"/>
  <c r="P13" i="1" s="1"/>
  <c r="F33" i="78"/>
  <c r="H33" i="78"/>
  <c r="J33" i="78"/>
  <c r="C103" i="46"/>
  <c r="C109" i="46"/>
  <c r="C106" i="46"/>
  <c r="L107" i="46"/>
  <c r="L105" i="46"/>
  <c r="L104" i="46"/>
  <c r="L109" i="46"/>
  <c r="I103" i="46"/>
  <c r="I106" i="46"/>
  <c r="I107" i="46"/>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E176" i="3" l="1"/>
  <c r="E526" i="3"/>
  <c r="E396" i="3"/>
  <c r="E246" i="3"/>
  <c r="E519" i="3"/>
  <c r="E441" i="3"/>
  <c r="E560" i="3"/>
  <c r="AZ14" i="3"/>
  <c r="AZ5" i="3" s="1"/>
  <c r="BL5" i="3"/>
  <c r="AC21" i="78"/>
  <c r="W21" i="78"/>
  <c r="AA14" i="78"/>
  <c r="S14" i="78"/>
  <c r="W14" i="78"/>
  <c r="AC14" i="78"/>
  <c r="U12" i="78"/>
  <c r="AB12" i="78"/>
  <c r="AA42" i="78"/>
  <c r="S42" i="78"/>
  <c r="AB10" i="78"/>
  <c r="U10" i="78"/>
  <c r="F28" i="6"/>
  <c r="G29" i="6"/>
  <c r="G30" i="6" s="1"/>
  <c r="G31" i="6" s="1"/>
  <c r="AZ131" i="3"/>
  <c r="AZ181" i="3"/>
  <c r="AG11" i="46"/>
  <c r="AG13" i="46" s="1"/>
  <c r="J22" i="46"/>
  <c r="F50" i="59"/>
  <c r="Q51" i="59"/>
  <c r="AB26" i="37"/>
  <c r="U26" i="37"/>
  <c r="AB9" i="34"/>
  <c r="U9" i="34"/>
  <c r="S40" i="37"/>
  <c r="AA40" i="37"/>
  <c r="S29" i="34"/>
  <c r="AA29" i="34"/>
  <c r="S9" i="37"/>
  <c r="AA9" i="37"/>
  <c r="S12" i="37"/>
  <c r="AA12" i="37"/>
  <c r="U14" i="34"/>
  <c r="AB14" i="34"/>
  <c r="AC11" i="35"/>
  <c r="W11" i="35"/>
  <c r="U37" i="39"/>
  <c r="AB37" i="39"/>
  <c r="S26" i="35"/>
  <c r="AA26" i="35"/>
  <c r="U28" i="37"/>
  <c r="AB28" i="37"/>
  <c r="AA9" i="36"/>
  <c r="S9" i="36"/>
  <c r="AB29" i="34"/>
  <c r="U29" i="34"/>
  <c r="AB26" i="33"/>
  <c r="U26" i="33"/>
  <c r="S33" i="39"/>
  <c r="AA33" i="39"/>
  <c r="AC24" i="36"/>
  <c r="W24" i="36"/>
  <c r="AA43" i="39"/>
  <c r="S43" i="39"/>
  <c r="E29" i="6"/>
  <c r="K15" i="1" s="1"/>
  <c r="AB14" i="78"/>
  <c r="U14" i="78"/>
  <c r="S12" i="78"/>
  <c r="AA12" i="78"/>
  <c r="AC12" i="78"/>
  <c r="W12" i="78"/>
  <c r="AC42" i="78"/>
  <c r="W42" i="78"/>
  <c r="U42" i="78"/>
  <c r="AB42" i="78"/>
  <c r="S10" i="78"/>
  <c r="AA10" i="78"/>
  <c r="W10" i="78"/>
  <c r="AC10" i="78"/>
  <c r="AZ46" i="3"/>
  <c r="AZ59" i="3"/>
  <c r="AZ38" i="3"/>
  <c r="AZ54" i="3"/>
  <c r="C50" i="59"/>
  <c r="O51" i="59"/>
  <c r="D51" i="59"/>
  <c r="AZ198" i="3"/>
  <c r="AZ200" i="3"/>
  <c r="AZ320" i="3"/>
  <c r="AA23" i="36"/>
  <c r="S23" i="36"/>
  <c r="AC45" i="33"/>
  <c r="W45" i="33"/>
  <c r="S46" i="33"/>
  <c r="AA46" i="33"/>
  <c r="U9" i="37"/>
  <c r="AB9" i="37"/>
  <c r="AB12" i="37"/>
  <c r="U12" i="37"/>
  <c r="W32" i="34"/>
  <c r="AC32" i="34"/>
  <c r="W39" i="39"/>
  <c r="AC39" i="39"/>
  <c r="W37" i="39"/>
  <c r="AC37" i="39"/>
  <c r="U26" i="35"/>
  <c r="AB26" i="35"/>
  <c r="AC9" i="33"/>
  <c r="W9" i="33"/>
  <c r="AA36" i="35"/>
  <c r="S36" i="35"/>
  <c r="AB24" i="35"/>
  <c r="U24" i="35"/>
  <c r="U19" i="21"/>
  <c r="AB19" i="21"/>
  <c r="U39" i="37"/>
  <c r="AB39" i="37"/>
  <c r="C48" i="59"/>
  <c r="D47" i="59"/>
  <c r="B20" i="31"/>
  <c r="R22" i="31"/>
  <c r="B21" i="31" s="1"/>
  <c r="W43" i="39"/>
  <c r="AC43" i="39"/>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H12" i="40"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C104" i="46"/>
  <c r="C102" i="46"/>
  <c r="C107" i="46"/>
  <c r="C105" i="46"/>
  <c r="F33" i="12"/>
  <c r="H12" i="39"/>
  <c r="J12" i="40"/>
  <c r="F12" i="39"/>
  <c r="O7" i="1"/>
  <c r="L106" i="46"/>
  <c r="L102" i="46"/>
  <c r="L103" i="46"/>
  <c r="I104" i="46"/>
  <c r="I109" i="46"/>
  <c r="I102" i="46"/>
  <c r="I105" i="46"/>
  <c r="E66" i="39"/>
  <c r="E61" i="40"/>
  <c r="D21" i="12"/>
  <c r="C21" i="12" s="1"/>
  <c r="D12" i="11"/>
  <c r="C12" i="11" s="1"/>
  <c r="E63" i="39"/>
  <c r="E58" i="40"/>
  <c r="F27" i="6"/>
  <c r="E58" i="39"/>
  <c r="E53" i="40"/>
  <c r="E16" i="6"/>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AB33" i="78"/>
  <c r="U33" i="78"/>
  <c r="E64" i="39"/>
  <c r="E59" i="40"/>
  <c r="E60" i="40"/>
  <c r="E65" i="39"/>
  <c r="E67" i="39"/>
  <c r="E62" i="40"/>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AC33" i="78"/>
  <c r="W33" i="78"/>
  <c r="AA33" i="78"/>
  <c r="S33" i="78"/>
  <c r="E3" i="6" l="1"/>
  <c r="AY6" i="3"/>
  <c r="F12" i="40"/>
  <c r="S12" i="40" s="1"/>
  <c r="J12" i="39"/>
  <c r="T48" i="59"/>
  <c r="D48" i="59"/>
  <c r="O49" i="59"/>
  <c r="D50" i="59"/>
  <c r="O50" i="59"/>
  <c r="Q50" i="59"/>
  <c r="Q49" i="59"/>
  <c r="F30" i="6"/>
  <c r="F31" i="6" s="1"/>
  <c r="E28" i="6"/>
  <c r="AB19" i="39"/>
  <c r="U19" i="39"/>
  <c r="W19" i="39"/>
  <c r="AC19" i="39"/>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P7" i="1"/>
  <c r="AA12" i="40"/>
  <c r="AC12" i="39"/>
  <c r="W12" i="39"/>
  <c r="U12" i="40"/>
  <c r="AB12" i="40"/>
  <c r="E6" i="3"/>
  <c r="AA12" i="39"/>
  <c r="S12" i="39"/>
  <c r="AC12" i="40"/>
  <c r="W12" i="40"/>
  <c r="AB12" i="39"/>
  <c r="U12" i="39"/>
  <c r="S5" i="46"/>
  <c r="T5" i="46" s="1"/>
  <c r="V5" i="46" s="1"/>
  <c r="S4" i="46"/>
  <c r="T4" i="46" s="1"/>
  <c r="V4" i="46" s="1"/>
  <c r="S6" i="46"/>
  <c r="T6" i="46" s="1"/>
  <c r="V6" i="46" s="1"/>
  <c r="S3" i="46"/>
  <c r="T3" i="46" s="1"/>
  <c r="V3" i="46" s="1"/>
  <c r="S2" i="46"/>
  <c r="T2" i="46" s="1"/>
  <c r="V2" i="46" s="1"/>
  <c r="S7" i="46"/>
  <c r="T7" i="46" s="1"/>
  <c r="V7" i="46" s="1"/>
  <c r="C15" i="12"/>
  <c r="C115" i="46"/>
  <c r="D113" i="46" s="1"/>
  <c r="E68" i="39"/>
  <c r="F13" i="15"/>
  <c r="M24" i="15"/>
  <c r="F37" i="44"/>
  <c r="F18" i="44"/>
  <c r="E13" i="67"/>
  <c r="F7" i="15"/>
  <c r="M23" i="77"/>
  <c r="F13" i="77"/>
  <c r="F38" i="15"/>
  <c r="N4" i="65"/>
  <c r="F16" i="77"/>
  <c r="M31" i="44"/>
  <c r="L48" i="77"/>
  <c r="B10" i="67"/>
  <c r="M23" i="72"/>
  <c r="F7" i="77"/>
  <c r="M22" i="72"/>
  <c r="J15" i="77"/>
  <c r="M27" i="77"/>
  <c r="E10" i="67"/>
  <c r="J15" i="72"/>
  <c r="F10" i="67"/>
  <c r="J4" i="65"/>
  <c r="J36" i="15"/>
  <c r="I4" i="65"/>
  <c r="L48" i="72"/>
  <c r="M29" i="77"/>
  <c r="M28" i="15"/>
  <c r="E11" i="67"/>
  <c r="M28" i="44"/>
  <c r="F6" i="77"/>
  <c r="M25" i="44"/>
  <c r="F46" i="44"/>
  <c r="F9" i="15"/>
  <c r="N7" i="65"/>
  <c r="F40" i="77"/>
  <c r="F8" i="77"/>
  <c r="M29" i="44"/>
  <c r="F37" i="77"/>
  <c r="F36" i="72"/>
  <c r="F35" i="72"/>
  <c r="M9" i="15"/>
  <c r="M8" i="15"/>
  <c r="F9" i="67"/>
  <c r="F42" i="15"/>
  <c r="L49" i="44"/>
  <c r="F38" i="72"/>
  <c r="L48" i="44"/>
  <c r="M28" i="72"/>
  <c r="M27" i="72"/>
  <c r="F36" i="15"/>
  <c r="L47" i="15"/>
  <c r="M30" i="44"/>
  <c r="M27" i="15"/>
  <c r="L48" i="15"/>
  <c r="E12" i="67"/>
  <c r="F6" i="15"/>
  <c r="F35" i="77"/>
  <c r="F26" i="15"/>
  <c r="N5" i="65"/>
  <c r="F13" i="72"/>
  <c r="F43" i="15"/>
  <c r="F41" i="77"/>
  <c r="F11" i="67"/>
  <c r="M23" i="44"/>
  <c r="F9" i="77"/>
  <c r="J36" i="77"/>
  <c r="F8" i="44"/>
  <c r="C19" i="44"/>
  <c r="M9" i="72"/>
  <c r="M9" i="77"/>
  <c r="E8" i="67"/>
  <c r="F8" i="72"/>
  <c r="F16" i="15"/>
  <c r="I7" i="65"/>
  <c r="M11" i="44"/>
  <c r="C14" i="72"/>
  <c r="F9" i="72"/>
  <c r="F26" i="72"/>
  <c r="F42" i="72"/>
  <c r="F7" i="72"/>
  <c r="M23" i="15"/>
  <c r="M8" i="77"/>
  <c r="F43" i="72"/>
  <c r="F10" i="44"/>
  <c r="M26" i="72"/>
  <c r="F6" i="72"/>
  <c r="B8" i="67"/>
  <c r="F8" i="67"/>
  <c r="F36" i="77"/>
  <c r="F40" i="15"/>
  <c r="F9" i="44"/>
  <c r="B13" i="67"/>
  <c r="F16" i="72"/>
  <c r="F42" i="77"/>
  <c r="F26" i="77"/>
  <c r="M22" i="77"/>
  <c r="M22" i="15"/>
  <c r="F15" i="44"/>
  <c r="C14" i="77"/>
  <c r="J5" i="65"/>
  <c r="F13" i="67"/>
  <c r="M24" i="72"/>
  <c r="F45" i="44"/>
  <c r="M6" i="72"/>
  <c r="M29" i="72"/>
  <c r="M8" i="44"/>
  <c r="M10" i="44"/>
  <c r="F38" i="44"/>
  <c r="F11" i="44"/>
  <c r="N3" i="65"/>
  <c r="J17" i="44"/>
  <c r="I5" i="65"/>
  <c r="F43" i="77"/>
  <c r="M28" i="77"/>
  <c r="B12" i="67"/>
  <c r="E9" i="67"/>
  <c r="F43" i="44"/>
  <c r="M6" i="77"/>
  <c r="F40" i="44"/>
  <c r="F41" i="72"/>
  <c r="F37" i="15"/>
  <c r="M24" i="44"/>
  <c r="M21" i="72"/>
  <c r="B11" i="67"/>
  <c r="F8" i="15"/>
  <c r="M6" i="15"/>
  <c r="B14" i="67"/>
  <c r="C16" i="44"/>
  <c r="F39" i="44"/>
  <c r="M26" i="15"/>
  <c r="J15" i="15"/>
  <c r="J6" i="65"/>
  <c r="M24" i="77"/>
  <c r="M26" i="44"/>
  <c r="M29" i="15"/>
  <c r="M21" i="77"/>
  <c r="F37" i="72"/>
  <c r="F40" i="72"/>
  <c r="F28" i="44"/>
  <c r="F12" i="67"/>
  <c r="J36" i="72"/>
  <c r="M26" i="77"/>
  <c r="M8" i="72"/>
  <c r="L47" i="77"/>
  <c r="J7" i="65"/>
  <c r="L47" i="72"/>
  <c r="N6" i="65"/>
  <c r="J3" i="65"/>
  <c r="E14" i="67"/>
  <c r="B9" i="67"/>
  <c r="I3" i="65"/>
  <c r="F14" i="67"/>
  <c r="F38" i="77"/>
  <c r="I6" i="65"/>
  <c r="F65" i="77" l="1"/>
  <c r="J1" i="65"/>
  <c r="F50" i="72"/>
  <c r="L58" i="72"/>
  <c r="Q74" i="72" s="1"/>
  <c r="L59" i="72"/>
  <c r="Q75" i="72" s="1"/>
  <c r="L59" i="77"/>
  <c r="Q75" i="77" s="1"/>
  <c r="L58" i="77"/>
  <c r="Q61" i="77" s="1"/>
  <c r="C8" i="44"/>
  <c r="Q72" i="72"/>
  <c r="Q72" i="77"/>
  <c r="C29" i="44"/>
  <c r="J22" i="44"/>
  <c r="F67" i="72"/>
  <c r="F64" i="72"/>
  <c r="F68" i="77"/>
  <c r="J20" i="77"/>
  <c r="F70" i="15"/>
  <c r="C27" i="15"/>
  <c r="C34" i="77"/>
  <c r="F62" i="77"/>
  <c r="C61" i="77" s="1"/>
  <c r="C6" i="15"/>
  <c r="L56" i="15"/>
  <c r="J53" i="15"/>
  <c r="Q53" i="15" s="1"/>
  <c r="L60" i="15"/>
  <c r="I54" i="15"/>
  <c r="J59" i="15"/>
  <c r="J60" i="15"/>
  <c r="Q49" i="15" s="1"/>
  <c r="J57" i="15"/>
  <c r="J55" i="15" s="1"/>
  <c r="J58" i="15" s="1"/>
  <c r="Q51" i="15" s="1"/>
  <c r="L57" i="15"/>
  <c r="C17" i="44"/>
  <c r="C21" i="44"/>
  <c r="C22" i="44" s="1"/>
  <c r="C28" i="44" s="1"/>
  <c r="C20" i="44"/>
  <c r="L59" i="15"/>
  <c r="Q62" i="15" s="1"/>
  <c r="L58" i="15"/>
  <c r="F50" i="15"/>
  <c r="F63" i="15"/>
  <c r="J20" i="72"/>
  <c r="L60" i="44"/>
  <c r="L59" i="44"/>
  <c r="Q62" i="44" s="1"/>
  <c r="F64" i="15"/>
  <c r="F65" i="72"/>
  <c r="F68" i="72"/>
  <c r="L61" i="44"/>
  <c r="J60" i="44"/>
  <c r="L58" i="44"/>
  <c r="L57" i="44"/>
  <c r="J58" i="44"/>
  <c r="J56" i="44" s="1"/>
  <c r="J59" i="44" s="1"/>
  <c r="Q52" i="44" s="1"/>
  <c r="J54" i="44"/>
  <c r="Q54" i="44" s="1"/>
  <c r="I55" i="44"/>
  <c r="J61" i="44"/>
  <c r="Q50" i="44" s="1"/>
  <c r="L47" i="44"/>
  <c r="Q73" i="44"/>
  <c r="F62" i="72"/>
  <c r="C61" i="72" s="1"/>
  <c r="C34" i="72"/>
  <c r="F63" i="72"/>
  <c r="F70" i="77"/>
  <c r="F64" i="77"/>
  <c r="F50" i="77"/>
  <c r="F67" i="77"/>
  <c r="C6" i="77"/>
  <c r="J60" i="72"/>
  <c r="Q49" i="72" s="1"/>
  <c r="I54" i="72"/>
  <c r="L56" i="72"/>
  <c r="J53" i="72"/>
  <c r="Q53" i="72" s="1"/>
  <c r="J59" i="72"/>
  <c r="J57" i="72"/>
  <c r="J55" i="72" s="1"/>
  <c r="J58" i="72" s="1"/>
  <c r="Q51" i="72" s="1"/>
  <c r="L57" i="72"/>
  <c r="L60" i="72"/>
  <c r="Q58" i="72" s="1"/>
  <c r="C19" i="77"/>
  <c r="C20" i="77" s="1"/>
  <c r="C18" i="77"/>
  <c r="C15" i="77"/>
  <c r="E20" i="46"/>
  <c r="N17" i="46" s="1"/>
  <c r="Q72" i="15"/>
  <c r="C27" i="77"/>
  <c r="M9" i="44"/>
  <c r="J8" i="44" s="1"/>
  <c r="F67" i="15"/>
  <c r="M7" i="77"/>
  <c r="J6" i="77" s="1"/>
  <c r="F49" i="77"/>
  <c r="F63" i="77"/>
  <c r="J53" i="77"/>
  <c r="J57" i="77"/>
  <c r="J55" i="77" s="1"/>
  <c r="J58" i="77" s="1"/>
  <c r="Q51" i="77" s="1"/>
  <c r="J59" i="77"/>
  <c r="I54" i="77"/>
  <c r="J60" i="77"/>
  <c r="Q49" i="77" s="1"/>
  <c r="L57" i="77"/>
  <c r="L60" i="77"/>
  <c r="L56" i="77"/>
  <c r="C6" i="72"/>
  <c r="C4" i="65"/>
  <c r="B39" i="1" s="1"/>
  <c r="F13" i="44" s="1"/>
  <c r="F70" i="72"/>
  <c r="F65" i="15"/>
  <c r="F49" i="72"/>
  <c r="M7" i="72"/>
  <c r="J6" i="72" s="1"/>
  <c r="F49" i="15"/>
  <c r="M7" i="15"/>
  <c r="J6" i="15" s="1"/>
  <c r="C27" i="72"/>
  <c r="C36" i="44"/>
  <c r="C15" i="72"/>
  <c r="C18" i="72"/>
  <c r="C19" i="72"/>
  <c r="C20" i="72" s="1"/>
  <c r="C26" i="72" s="1"/>
  <c r="I1" i="65"/>
  <c r="K14" i="1"/>
  <c r="E30" i="6"/>
  <c r="E31" i="6" s="1"/>
  <c r="K19" i="6"/>
  <c r="K25" i="6"/>
  <c r="M25" i="6" s="1"/>
  <c r="I25" i="6" s="1"/>
  <c r="S25" i="6" s="1"/>
  <c r="K20" i="6"/>
  <c r="K22" i="6"/>
  <c r="M22" i="6" s="1"/>
  <c r="I22" i="6" s="1"/>
  <c r="S22" i="6" s="1"/>
  <c r="K23" i="6"/>
  <c r="M23" i="6" s="1"/>
  <c r="I23" i="6" s="1"/>
  <c r="S23" i="6" s="1"/>
  <c r="K26" i="6"/>
  <c r="M26" i="6" s="1"/>
  <c r="I26" i="6" s="1"/>
  <c r="S26" i="6" s="1"/>
  <c r="K24" i="6"/>
  <c r="M24" i="6" s="1"/>
  <c r="I24" i="6" s="1"/>
  <c r="S24" i="6" s="1"/>
  <c r="K21" i="6"/>
  <c r="M21" i="6" s="1"/>
  <c r="I21" i="6" s="1"/>
  <c r="S21" i="6" s="1"/>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3" i="6"/>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D16" i="12"/>
  <c r="L38" i="9"/>
  <c r="B14" i="66" s="1"/>
  <c r="D10" i="11"/>
  <c r="D46" i="9"/>
  <c r="D16" i="43"/>
  <c r="C16" i="43" s="1"/>
  <c r="E6" i="6"/>
  <c r="C33" i="21"/>
  <c r="C21" i="4"/>
  <c r="O5" i="54" s="1"/>
  <c r="B45" i="63" s="1"/>
  <c r="D45" i="9"/>
  <c r="C12" i="44"/>
  <c r="C7" i="44" s="1"/>
  <c r="C35" i="44" s="1"/>
  <c r="H7" i="35"/>
  <c r="AB7" i="35" s="1"/>
  <c r="T38" i="35" s="1"/>
  <c r="G38" i="35" s="1"/>
  <c r="F7" i="35"/>
  <c r="Q62" i="77"/>
  <c r="Q62" i="72"/>
  <c r="F1" i="44"/>
  <c r="Q74" i="77"/>
  <c r="M13" i="44"/>
  <c r="J12" i="44" s="1"/>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P17" i="46"/>
  <c r="M11" i="15"/>
  <c r="J10" i="15" s="1"/>
  <c r="F11" i="72"/>
  <c r="M11" i="77"/>
  <c r="J10" i="77" s="1"/>
  <c r="C16" i="15"/>
  <c r="C17" i="72"/>
  <c r="C17" i="77"/>
  <c r="C18" i="44"/>
  <c r="E2" i="65"/>
  <c r="C16" i="72"/>
  <c r="E3" i="65"/>
  <c r="C16" i="77"/>
  <c r="C48" i="77" l="1"/>
  <c r="M17" i="46"/>
  <c r="Q67" i="72"/>
  <c r="Q61" i="72"/>
  <c r="C48" i="15"/>
  <c r="C48" i="72"/>
  <c r="F11" i="77"/>
  <c r="C52" i="77" s="1"/>
  <c r="C47" i="77" s="1"/>
  <c r="F11" i="15"/>
  <c r="M11" i="72"/>
  <c r="J10" i="72" s="1"/>
  <c r="J5" i="72" s="1"/>
  <c r="J24" i="72" s="1"/>
  <c r="Q75" i="15"/>
  <c r="C26" i="77"/>
  <c r="F17" i="11"/>
  <c r="C17" i="11" s="1"/>
  <c r="C19" i="11" s="1"/>
  <c r="C20" i="11" s="1"/>
  <c r="C21" i="11" s="1"/>
  <c r="C22" i="11" s="1"/>
  <c r="C23" i="11" s="1"/>
  <c r="B2" i="11" s="1"/>
  <c r="B4" i="11" s="1"/>
  <c r="Q68" i="44"/>
  <c r="Q59" i="44"/>
  <c r="J5" i="77"/>
  <c r="J24" i="77" s="1"/>
  <c r="J5" i="15"/>
  <c r="O17" i="46"/>
  <c r="J7" i="44"/>
  <c r="J28" i="44" s="1"/>
  <c r="J31" i="44" s="1"/>
  <c r="Q49" i="44" s="1"/>
  <c r="Q55" i="44" s="1"/>
  <c r="F1" i="72"/>
  <c r="F1" i="15"/>
  <c r="Q75" i="44"/>
  <c r="Q67" i="77"/>
  <c r="Q58" i="77"/>
  <c r="F1" i="77"/>
  <c r="Q53" i="77"/>
  <c r="Q63" i="44"/>
  <c r="Q76" i="44"/>
  <c r="Q61" i="15"/>
  <c r="Q74" i="15"/>
  <c r="Q67" i="15"/>
  <c r="Q58" i="15"/>
  <c r="B40" i="1"/>
  <c r="F26" i="44" s="1"/>
  <c r="C26" i="44" s="1"/>
  <c r="H33" i="21"/>
  <c r="F33" i="21"/>
  <c r="J33" i="21"/>
  <c r="C16" i="12"/>
  <c r="D19" i="12"/>
  <c r="C19" i="12" s="1"/>
  <c r="B27" i="9"/>
  <c r="D20" i="6"/>
  <c r="D22" i="6"/>
  <c r="D26" i="6"/>
  <c r="R26" i="6" s="1"/>
  <c r="K38" i="9"/>
  <c r="C14" i="66" s="1"/>
  <c r="B2" i="66" s="1"/>
  <c r="H20" i="6"/>
  <c r="D29" i="6"/>
  <c r="D6" i="6"/>
  <c r="D12" i="6"/>
  <c r="D5" i="6"/>
  <c r="D9" i="6"/>
  <c r="D11" i="6"/>
  <c r="F45" i="9"/>
  <c r="E45" i="9"/>
  <c r="D15" i="6"/>
  <c r="C22" i="4"/>
  <c r="H25" i="6"/>
  <c r="H23" i="6"/>
  <c r="D19" i="6"/>
  <c r="D24" i="6"/>
  <c r="D28" i="6"/>
  <c r="D30" i="6" s="1"/>
  <c r="D23" i="6"/>
  <c r="R23" i="6" s="1"/>
  <c r="D25" i="6"/>
  <c r="R25" i="6" s="1"/>
  <c r="D21" i="6"/>
  <c r="E46" i="9"/>
  <c r="H26" i="6"/>
  <c r="E63" i="40"/>
  <c r="D8" i="6"/>
  <c r="H22" i="6"/>
  <c r="D14" i="6"/>
  <c r="H24" i="6"/>
  <c r="H21" i="6"/>
  <c r="D13" i="6"/>
  <c r="D10" i="6"/>
  <c r="F46" i="9"/>
  <c r="M20" i="6"/>
  <c r="I20" i="6" s="1"/>
  <c r="S20" i="6" s="1"/>
  <c r="S7" i="1"/>
  <c r="S6" i="1"/>
  <c r="M19" i="6"/>
  <c r="K27" i="6"/>
  <c r="M14" i="1"/>
  <c r="K16" i="1"/>
  <c r="D22" i="12"/>
  <c r="C22" i="12" s="1"/>
  <c r="C20" i="12" s="1"/>
  <c r="D13" i="11"/>
  <c r="C13" i="11" s="1"/>
  <c r="K14" i="66"/>
  <c r="B1" i="66"/>
  <c r="C34" i="44"/>
  <c r="C33" i="44" s="1"/>
  <c r="C40" i="44"/>
  <c r="F26" i="12"/>
  <c r="C27" i="12" s="1"/>
  <c r="D26" i="12" s="1"/>
  <c r="C32" i="12" s="1"/>
  <c r="D30" i="12" s="1"/>
  <c r="B3" i="11"/>
  <c r="J20" i="44"/>
  <c r="Q67" i="44"/>
  <c r="C10" i="77"/>
  <c r="C5" i="77" s="1"/>
  <c r="C52" i="15"/>
  <c r="C10" i="15"/>
  <c r="C5" i="15" s="1"/>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C10" i="72"/>
  <c r="C5" i="72" s="1"/>
  <c r="C52" i="72"/>
  <c r="C47" i="72" s="1"/>
  <c r="J18" i="15"/>
  <c r="J26" i="15"/>
  <c r="J24" i="15"/>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F7" i="67"/>
  <c r="AE7" i="1"/>
  <c r="F41" i="15" s="1"/>
  <c r="L52" i="44"/>
  <c r="C17" i="15"/>
  <c r="J26" i="77" l="1"/>
  <c r="J29" i="77" s="1"/>
  <c r="Q77" i="44"/>
  <c r="J18" i="72"/>
  <c r="J18" i="77"/>
  <c r="C47" i="15"/>
  <c r="C60" i="15" s="1"/>
  <c r="J26" i="72"/>
  <c r="J29" i="72" s="1"/>
  <c r="Q58" i="44"/>
  <c r="Q64" i="44" s="1"/>
  <c r="J26" i="44"/>
  <c r="B5" i="11"/>
  <c r="F24" i="72"/>
  <c r="C24" i="72" s="1"/>
  <c r="F24" i="77"/>
  <c r="C24" i="77" s="1"/>
  <c r="O14" i="1"/>
  <c r="M16" i="1"/>
  <c r="T10" i="1"/>
  <c r="T6" i="1"/>
  <c r="T9" i="1"/>
  <c r="T7" i="1"/>
  <c r="I19" i="6"/>
  <c r="M27" i="6"/>
  <c r="D27" i="6"/>
  <c r="D31" i="6" s="1"/>
  <c r="R20" i="6"/>
  <c r="R7" i="1" s="1"/>
  <c r="W33" i="21"/>
  <c r="AC33" i="21"/>
  <c r="U33" i="21"/>
  <c r="AB33" i="21"/>
  <c r="C8" i="66"/>
  <c r="C7" i="66"/>
  <c r="S16" i="1"/>
  <c r="T12" i="1" s="1"/>
  <c r="D16" i="6"/>
  <c r="R21" i="6"/>
  <c r="R24" i="6"/>
  <c r="A20" i="51"/>
  <c r="B15" i="63" s="1"/>
  <c r="A6" i="64"/>
  <c r="A20" i="64"/>
  <c r="N5" i="54"/>
  <c r="B43" i="63" s="1"/>
  <c r="A6" i="51"/>
  <c r="B7" i="63" s="1"/>
  <c r="D7" i="66"/>
  <c r="D8" i="66"/>
  <c r="R22" i="6"/>
  <c r="D27" i="9"/>
  <c r="D30" i="9" s="1"/>
  <c r="B30" i="9"/>
  <c r="S33" i="21"/>
  <c r="AA33" i="21"/>
  <c r="F24" i="15"/>
  <c r="C24" i="15" s="1"/>
  <c r="F21" i="43"/>
  <c r="C23" i="43" s="1"/>
  <c r="D21" i="43" s="1"/>
  <c r="C23" i="72"/>
  <c r="C29" i="72" s="1"/>
  <c r="F68" i="15"/>
  <c r="J29" i="15"/>
  <c r="Q69" i="44"/>
  <c r="C25" i="44"/>
  <c r="C31" i="44" s="1"/>
  <c r="Q51" i="44" s="1"/>
  <c r="C23" i="77"/>
  <c r="C29" i="77" s="1"/>
  <c r="E4" i="67"/>
  <c r="C39" i="35"/>
  <c r="B3" i="35" s="1"/>
  <c r="B2" i="35" s="1"/>
  <c r="C38" i="35"/>
  <c r="E42" i="35"/>
  <c r="F42" i="35" s="1"/>
  <c r="E43" i="35"/>
  <c r="F43" i="35" s="1"/>
  <c r="R37" i="36"/>
  <c r="E36" i="36"/>
  <c r="I40" i="36"/>
  <c r="J40" i="36" s="1"/>
  <c r="I41" i="36"/>
  <c r="J41" i="36" s="1"/>
  <c r="G70" i="39"/>
  <c r="F72" i="39"/>
  <c r="C43" i="37"/>
  <c r="B3" i="37" s="1"/>
  <c r="B2" i="37" s="1"/>
  <c r="C42" i="37"/>
  <c r="E48" i="33"/>
  <c r="R49" i="33"/>
  <c r="C59" i="72"/>
  <c r="C65" i="72"/>
  <c r="C60" i="72"/>
  <c r="F67" i="40"/>
  <c r="G65" i="40"/>
  <c r="G41" i="36"/>
  <c r="H41" i="36" s="1"/>
  <c r="G40" i="36"/>
  <c r="H40" i="36" s="1"/>
  <c r="C38" i="15"/>
  <c r="C32" i="15"/>
  <c r="C33" i="15"/>
  <c r="C38" i="77"/>
  <c r="C33" i="77"/>
  <c r="C32" i="77"/>
  <c r="C26" i="46"/>
  <c r="I53" i="33"/>
  <c r="J53" i="33" s="1"/>
  <c r="I52" i="33"/>
  <c r="J52" i="33" s="1"/>
  <c r="E47" i="37"/>
  <c r="F47" i="37" s="1"/>
  <c r="E46" i="37"/>
  <c r="F46" i="37" s="1"/>
  <c r="C33" i="72"/>
  <c r="C32" i="72"/>
  <c r="C38" i="72"/>
  <c r="U7" i="21"/>
  <c r="AB7" i="21"/>
  <c r="R50" i="34"/>
  <c r="E49" i="34"/>
  <c r="C59" i="15"/>
  <c r="C59" i="77"/>
  <c r="C65" i="77"/>
  <c r="C60" i="77"/>
  <c r="F35" i="15"/>
  <c r="E7" i="67"/>
  <c r="M21" i="15"/>
  <c r="C14" i="15"/>
  <c r="C65" i="15" l="1"/>
  <c r="C15" i="15"/>
  <c r="C18" i="15"/>
  <c r="F62" i="15"/>
  <c r="C61" i="15" s="1"/>
  <c r="C58" i="15" s="1"/>
  <c r="C34" i="15"/>
  <c r="C31" i="15" s="1"/>
  <c r="J20" i="15"/>
  <c r="C24" i="9"/>
  <c r="C25" i="9"/>
  <c r="I5" i="6"/>
  <c r="I6" i="6"/>
  <c r="C13" i="43"/>
  <c r="L16" i="1"/>
  <c r="N16" i="1"/>
  <c r="C29" i="43" s="1"/>
  <c r="S19" i="6"/>
  <c r="S27" i="6" s="1"/>
  <c r="I27" i="6"/>
  <c r="H19" i="6"/>
  <c r="T11" i="1"/>
  <c r="T8" i="1"/>
  <c r="T13" i="1"/>
  <c r="P14" i="1"/>
  <c r="P16" i="1" s="1"/>
  <c r="C13" i="12" s="1"/>
  <c r="O16" i="1"/>
  <c r="Q50" i="72"/>
  <c r="J14" i="72"/>
  <c r="J22" i="72" s="1"/>
  <c r="J19" i="72"/>
  <c r="J17" i="72" s="1"/>
  <c r="C15" i="44"/>
  <c r="C39" i="44" s="1"/>
  <c r="C36" i="72"/>
  <c r="C13" i="72"/>
  <c r="J35" i="72" s="1"/>
  <c r="C56" i="72"/>
  <c r="C63" i="72" s="1"/>
  <c r="J16" i="44"/>
  <c r="J15" i="44" s="1"/>
  <c r="J25" i="44" s="1"/>
  <c r="J21" i="44"/>
  <c r="J19" i="44" s="1"/>
  <c r="C38" i="44"/>
  <c r="C32" i="44" s="1"/>
  <c r="C42" i="44" s="1"/>
  <c r="Q71" i="44" s="1"/>
  <c r="J19" i="77"/>
  <c r="J17" i="77" s="1"/>
  <c r="Q50" i="77"/>
  <c r="C56" i="77"/>
  <c r="C63" i="77" s="1"/>
  <c r="C13" i="77"/>
  <c r="J14" i="77"/>
  <c r="C36" i="77"/>
  <c r="C31" i="77"/>
  <c r="E3" i="67"/>
  <c r="C50" i="34"/>
  <c r="B3" i="34" s="1"/>
  <c r="B2" i="34" s="1"/>
  <c r="C49" i="34"/>
  <c r="G67" i="40"/>
  <c r="H65" i="40"/>
  <c r="C49" i="33"/>
  <c r="B3" i="33" s="1"/>
  <c r="B2" i="33" s="1"/>
  <c r="C48" i="33"/>
  <c r="E41" i="36"/>
  <c r="F41" i="36" s="1"/>
  <c r="E40" i="36"/>
  <c r="F40" i="36" s="1"/>
  <c r="C58" i="77"/>
  <c r="E54" i="34"/>
  <c r="F54" i="34" s="1"/>
  <c r="E53" i="34"/>
  <c r="F53" i="34" s="1"/>
  <c r="I54" i="34"/>
  <c r="J54" i="34" s="1"/>
  <c r="C31" i="72"/>
  <c r="B2" i="46"/>
  <c r="C58" i="72"/>
  <c r="E53" i="33"/>
  <c r="F53" i="33" s="1"/>
  <c r="E52" i="33"/>
  <c r="F52" i="33" s="1"/>
  <c r="H70" i="39"/>
  <c r="G72" i="39"/>
  <c r="C36" i="36"/>
  <c r="C37" i="36"/>
  <c r="B3" i="36" s="1"/>
  <c r="B2" i="36" s="1"/>
  <c r="B7" i="67"/>
  <c r="T16" i="1" l="1"/>
  <c r="C37" i="72"/>
  <c r="J13" i="72"/>
  <c r="J23" i="72" s="1"/>
  <c r="C19" i="15"/>
  <c r="C20" i="15" s="1"/>
  <c r="C23" i="15" s="1"/>
  <c r="C17" i="12"/>
  <c r="C14" i="12"/>
  <c r="H27" i="6"/>
  <c r="R19" i="6"/>
  <c r="C11" i="78"/>
  <c r="C13" i="39"/>
  <c r="C11" i="21"/>
  <c r="C17" i="43"/>
  <c r="C14" i="43"/>
  <c r="C43" i="44"/>
  <c r="C44" i="44" s="1"/>
  <c r="C45" i="44" s="1"/>
  <c r="B2" i="44" s="1"/>
  <c r="B3" i="44" s="1"/>
  <c r="Q71" i="72"/>
  <c r="Q72" i="44"/>
  <c r="Q70" i="44" s="1"/>
  <c r="C55" i="72"/>
  <c r="C64" i="72" s="1"/>
  <c r="C57" i="72" s="1"/>
  <c r="C66" i="72" s="1"/>
  <c r="C67" i="72" s="1"/>
  <c r="C70" i="72" s="1"/>
  <c r="J24" i="44"/>
  <c r="J18" i="44" s="1"/>
  <c r="J27" i="44" s="1"/>
  <c r="Q71" i="77"/>
  <c r="C55" i="77"/>
  <c r="C64" i="77" s="1"/>
  <c r="C57" i="77" s="1"/>
  <c r="C66" i="77" s="1"/>
  <c r="C67" i="77" s="1"/>
  <c r="C70" i="77" s="1"/>
  <c r="J35" i="77"/>
  <c r="C37" i="77"/>
  <c r="C30" i="77" s="1"/>
  <c r="C39" i="77" s="1"/>
  <c r="J13" i="77"/>
  <c r="J23" i="77" s="1"/>
  <c r="J22" i="77"/>
  <c r="J16" i="72"/>
  <c r="J25" i="72" s="1"/>
  <c r="C30" i="72"/>
  <c r="C39" i="72" s="1"/>
  <c r="J39" i="72" s="1"/>
  <c r="J40" i="72" s="1"/>
  <c r="B2" i="67"/>
  <c r="B4" i="67" s="1"/>
  <c r="I70" i="39"/>
  <c r="H72" i="39"/>
  <c r="B4" i="46"/>
  <c r="B3" i="46"/>
  <c r="D4" i="46"/>
  <c r="H67" i="40"/>
  <c r="I65" i="40"/>
  <c r="L51" i="77"/>
  <c r="C18" i="12" l="1"/>
  <c r="C23" i="12" s="1"/>
  <c r="C26" i="15"/>
  <c r="C29" i="15" s="1"/>
  <c r="C18" i="43"/>
  <c r="C19" i="43" s="1"/>
  <c r="J11" i="21"/>
  <c r="F11" i="21"/>
  <c r="H11" i="21"/>
  <c r="J11" i="78"/>
  <c r="F11" i="78"/>
  <c r="H11" i="78"/>
  <c r="H13" i="39"/>
  <c r="J13" i="39"/>
  <c r="F13" i="39"/>
  <c r="R6" i="1"/>
  <c r="R16" i="1" s="1"/>
  <c r="R27" i="6"/>
  <c r="C40" i="77"/>
  <c r="C46" i="77" s="1"/>
  <c r="J39" i="77"/>
  <c r="J40" i="77" s="1"/>
  <c r="B5" i="44"/>
  <c r="B4" i="44"/>
  <c r="J16" i="77"/>
  <c r="J25" i="77" s="1"/>
  <c r="Q70" i="77"/>
  <c r="Q69" i="77" s="1"/>
  <c r="Q68" i="77"/>
  <c r="B3" i="67"/>
  <c r="Q70" i="72"/>
  <c r="Q69" i="72" s="1"/>
  <c r="C40" i="72"/>
  <c r="Q57" i="72" s="1"/>
  <c r="Q63" i="72" s="1"/>
  <c r="J65" i="40"/>
  <c r="I67" i="40"/>
  <c r="J70" i="39"/>
  <c r="I72" i="39"/>
  <c r="L51" i="72"/>
  <c r="J19" i="15" l="1"/>
  <c r="J17" i="15" s="1"/>
  <c r="C56" i="15"/>
  <c r="C63" i="15" s="1"/>
  <c r="Q50" i="15"/>
  <c r="C25" i="43"/>
  <c r="C24" i="43" s="1"/>
  <c r="C22" i="43"/>
  <c r="C21" i="43" s="1"/>
  <c r="C13" i="15"/>
  <c r="J14" i="15"/>
  <c r="C36" i="15"/>
  <c r="Q68" i="72"/>
  <c r="AA13" i="39"/>
  <c r="S13" i="39"/>
  <c r="AB13" i="39"/>
  <c r="U13" i="39"/>
  <c r="AB11" i="78"/>
  <c r="T48" i="78" s="1"/>
  <c r="G48" i="78" s="1"/>
  <c r="U11" i="78"/>
  <c r="W11" i="78"/>
  <c r="AC11" i="78"/>
  <c r="V48" i="78" s="1"/>
  <c r="I48" i="78" s="1"/>
  <c r="AA11" i="21"/>
  <c r="R48" i="21" s="1"/>
  <c r="S11" i="21"/>
  <c r="AC13" i="39"/>
  <c r="W13" i="39"/>
  <c r="AA11" i="78"/>
  <c r="R48" i="78" s="1"/>
  <c r="S11" i="78"/>
  <c r="AB11" i="21"/>
  <c r="T48" i="21" s="1"/>
  <c r="G48" i="21" s="1"/>
  <c r="U11" i="21"/>
  <c r="W11" i="21"/>
  <c r="AC11" i="21"/>
  <c r="V48" i="21" s="1"/>
  <c r="I48" i="21" s="1"/>
  <c r="C43" i="77"/>
  <c r="Q57" i="77"/>
  <c r="Q63" i="77" s="1"/>
  <c r="Q66" i="77"/>
  <c r="Q76" i="77" s="1"/>
  <c r="J42" i="77"/>
  <c r="J43" i="77" s="1"/>
  <c r="Q48" i="77"/>
  <c r="Q54" i="77" s="1"/>
  <c r="B2" i="77"/>
  <c r="B3" i="77" s="1"/>
  <c r="C46" i="72"/>
  <c r="C43" i="72"/>
  <c r="Q66" i="72"/>
  <c r="Q76" i="72" s="1"/>
  <c r="Q48" i="72"/>
  <c r="Q54" i="72" s="1"/>
  <c r="B2" i="72"/>
  <c r="B3" i="72" s="1"/>
  <c r="J42" i="72"/>
  <c r="J43" i="72" s="1"/>
  <c r="J67" i="40"/>
  <c r="K65" i="40"/>
  <c r="K70" i="39"/>
  <c r="J72" i="39"/>
  <c r="C28" i="43" l="1"/>
  <c r="C30" i="43" s="1"/>
  <c r="C32" i="43" s="1"/>
  <c r="B2" i="43" s="1"/>
  <c r="B3" i="43" s="1"/>
  <c r="J35" i="15"/>
  <c r="Q71" i="15"/>
  <c r="C55" i="15"/>
  <c r="C64" i="15" s="1"/>
  <c r="C57" i="15" s="1"/>
  <c r="C66" i="15" s="1"/>
  <c r="C67" i="15" s="1"/>
  <c r="C70" i="15" s="1"/>
  <c r="C37" i="15"/>
  <c r="C30" i="15" s="1"/>
  <c r="C39" i="15" s="1"/>
  <c r="J13" i="15"/>
  <c r="J23" i="15" s="1"/>
  <c r="J22" i="15"/>
  <c r="I52" i="21"/>
  <c r="J52" i="21" s="1"/>
  <c r="R49" i="21"/>
  <c r="E48" i="21"/>
  <c r="G52" i="78"/>
  <c r="H52" i="78" s="1"/>
  <c r="G53" i="78"/>
  <c r="H53" i="78" s="1"/>
  <c r="G52" i="21"/>
  <c r="H52" i="21" s="1"/>
  <c r="G53" i="21"/>
  <c r="H53" i="21" s="1"/>
  <c r="R49" i="78"/>
  <c r="E48" i="78"/>
  <c r="I52" i="78"/>
  <c r="J52" i="78" s="1"/>
  <c r="I53" i="78"/>
  <c r="J53" i="78" s="1"/>
  <c r="L65" i="40"/>
  <c r="K67" i="40"/>
  <c r="L70" i="39"/>
  <c r="K72" i="39"/>
  <c r="L51" i="15"/>
  <c r="B5" i="43" l="1"/>
  <c r="B4" i="43"/>
  <c r="J16" i="15"/>
  <c r="J25" i="15" s="1"/>
  <c r="Q68" i="15"/>
  <c r="Q70" i="15"/>
  <c r="Q69" i="15" s="1"/>
  <c r="C40" i="15"/>
  <c r="J39" i="15"/>
  <c r="J40" i="15" s="1"/>
  <c r="C48" i="78"/>
  <c r="C49" i="78"/>
  <c r="B3" i="78" s="1"/>
  <c r="C49" i="21"/>
  <c r="B3" i="21" s="1"/>
  <c r="B2" i="21" s="1"/>
  <c r="C48" i="21"/>
  <c r="E53" i="78"/>
  <c r="F53" i="78" s="1"/>
  <c r="E52" i="78"/>
  <c r="F52" i="78" s="1"/>
  <c r="E53" i="21"/>
  <c r="F53" i="21" s="1"/>
  <c r="E52" i="21"/>
  <c r="F52" i="21" s="1"/>
  <c r="I53" i="21"/>
  <c r="J53" i="21" s="1"/>
  <c r="M70" i="39"/>
  <c r="L72" i="39"/>
  <c r="L67" i="40"/>
  <c r="M65" i="40"/>
  <c r="Q66" i="15" l="1"/>
  <c r="Q76" i="15" s="1"/>
  <c r="C43" i="15"/>
  <c r="Q57" i="15"/>
  <c r="Q63" i="15" s="1"/>
  <c r="B2" i="15"/>
  <c r="J42" i="15"/>
  <c r="J43" i="15" s="1"/>
  <c r="C46" i="15"/>
  <c r="Q48" i="15"/>
  <c r="Q54" i="15" s="1"/>
  <c r="B2" i="78"/>
  <c r="D10" i="12" s="1"/>
  <c r="D8" i="12"/>
  <c r="N65" i="40"/>
  <c r="N67" i="40" s="1"/>
  <c r="M67" i="40"/>
  <c r="N70" i="39"/>
  <c r="N72" i="39" s="1"/>
  <c r="M72" i="39"/>
  <c r="C10" i="12" l="1"/>
  <c r="C6" i="12" s="1"/>
  <c r="B3" i="15"/>
  <c r="C8" i="12" s="1"/>
  <c r="K9" i="79" s="1"/>
  <c r="F9" i="39"/>
  <c r="J9" i="39"/>
  <c r="H9" i="39"/>
  <c r="J9" i="40"/>
  <c r="H9" i="40"/>
  <c r="F9" i="40"/>
  <c r="C29" i="12" l="1"/>
  <c r="C24" i="12"/>
  <c r="K11" i="79"/>
  <c r="K14" i="79"/>
  <c r="K13" i="79"/>
  <c r="K6" i="79"/>
  <c r="K8" i="79"/>
  <c r="K5" i="79"/>
  <c r="K3" i="79"/>
  <c r="K4" i="79"/>
  <c r="K12" i="79"/>
  <c r="K7" i="79"/>
  <c r="K10" i="79"/>
  <c r="AA9" i="40"/>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C35" i="12" l="1"/>
  <c r="C33" i="12" s="1"/>
  <c r="C28" i="12"/>
  <c r="C26" i="12" s="1"/>
  <c r="C31" i="12" s="1"/>
  <c r="C30" i="12" s="1"/>
  <c r="K15" i="79"/>
  <c r="E49" i="39"/>
  <c r="R50" i="39"/>
  <c r="G53" i="39"/>
  <c r="H53" i="39" s="1"/>
  <c r="G54" i="39"/>
  <c r="H54" i="39" s="1"/>
  <c r="G48" i="40"/>
  <c r="H48" i="40" s="1"/>
  <c r="G49" i="40"/>
  <c r="H49" i="40" s="1"/>
  <c r="I48" i="40"/>
  <c r="J48" i="40" s="1"/>
  <c r="R45" i="40"/>
  <c r="E44" i="40"/>
  <c r="C36" i="12" l="1"/>
  <c r="B2" i="12" s="1"/>
  <c r="B4" i="12" s="1"/>
  <c r="E48" i="40"/>
  <c r="F48" i="40" s="1"/>
  <c r="E49" i="40"/>
  <c r="F49" i="40" s="1"/>
  <c r="C49" i="39"/>
  <c r="C50" i="39"/>
  <c r="C45" i="40"/>
  <c r="C44" i="40"/>
  <c r="I49" i="40"/>
  <c r="J49" i="40" s="1"/>
  <c r="I54" i="39"/>
  <c r="J54" i="39" s="1"/>
  <c r="E54" i="39"/>
  <c r="F54" i="39" s="1"/>
  <c r="E53" i="39"/>
  <c r="F53" i="39" s="1"/>
  <c r="D19" i="9"/>
  <c r="D21" i="9"/>
  <c r="B5" i="12" l="1"/>
  <c r="B3" i="12"/>
  <c r="L44" i="9"/>
  <c r="B59" i="39"/>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D20" i="9"/>
  <c r="B3" i="40" l="1"/>
  <c r="B4" i="40"/>
  <c r="B5" i="40"/>
  <c r="F68" i="39"/>
  <c r="B2" i="39" s="1"/>
  <c r="C19" i="9"/>
  <c r="L43" i="9" l="1"/>
  <c r="D22" i="9"/>
  <c r="G19" i="9"/>
  <c r="B3" i="39"/>
  <c r="B5" i="39"/>
  <c r="B4" i="39"/>
  <c r="C20" i="9"/>
  <c r="C21" i="9"/>
  <c r="G21" i="9" l="1"/>
  <c r="G20"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90" i="9"/>
  <c r="D73" i="9"/>
  <c r="N73" i="9" s="1"/>
  <c r="C82" i="9"/>
  <c r="C81" i="9" s="1"/>
  <c r="C85" i="9" s="1"/>
  <c r="C86" i="9" s="1"/>
  <c r="D72" i="9" s="1"/>
  <c r="O39" i="9"/>
  <c r="E44" i="9"/>
  <c r="F44" i="9"/>
  <c r="G14" i="66"/>
  <c r="N69" i="9"/>
  <c r="D44" i="9"/>
  <c r="E14" i="66"/>
  <c r="F14" i="66"/>
  <c r="L14" i="66"/>
  <c r="C113" i="9" l="1"/>
  <c r="C115" i="9" s="1"/>
  <c r="D76" i="9" s="1"/>
  <c r="D74" i="9" s="1"/>
  <c r="N74" i="9" s="1"/>
  <c r="O77" i="9" s="1"/>
  <c r="C97" i="9"/>
  <c r="C98" i="9" s="1"/>
  <c r="E98" i="9" s="1"/>
  <c r="E99" i="9" s="1"/>
  <c r="M83" i="9"/>
  <c r="N83" i="9" s="1"/>
  <c r="M87" i="9"/>
  <c r="N87" i="9" s="1"/>
  <c r="M86" i="9"/>
  <c r="N86" i="9" s="1"/>
  <c r="M85" i="9"/>
  <c r="N85" i="9" s="1"/>
  <c r="M84" i="9"/>
  <c r="N84" i="9" s="1"/>
  <c r="M88" i="9"/>
  <c r="N88" i="9" s="1"/>
  <c r="K29" i="9"/>
  <c r="K30" i="9" s="1"/>
  <c r="R6" i="54"/>
  <c r="B50" i="63" s="1"/>
  <c r="C114" i="9"/>
  <c r="E114" i="9" s="1"/>
  <c r="E115" i="9" s="1"/>
  <c r="C99" i="9" l="1"/>
  <c r="O78" i="9"/>
  <c r="Q77" i="9"/>
  <c r="O79" i="9"/>
  <c r="N89" i="9"/>
  <c r="O89" i="9" s="1"/>
  <c r="O81" i="9" l="1"/>
  <c r="O80" i="9"/>
  <c r="E15" i="66" l="1"/>
  <c r="L15" i="66"/>
  <c r="G15" i="66"/>
  <c r="B6" i="66" s="1"/>
  <c r="B5" i="66"/>
  <c r="F15" i="66"/>
  <c r="C5" i="66" l="1"/>
  <c r="D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<sst xmlns="http://schemas.openxmlformats.org/spreadsheetml/2006/main" count="9398" uniqueCount="3458">
  <si>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</si>
  <si>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</si>
  <si>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</si>
  <si>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</si>
  <si>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</si>
  <si>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</si>
  <si>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</si>
  <si>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</si>
  <si>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</si>
  <si>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</si>
  <si>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</si>
  <si>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</si>
  <si>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</si>
  <si>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</si>
  <si>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</si>
  <si>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</si>
  <si>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</si>
  <si>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</si>
  <si>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</si>
  <si>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</si>
  <si>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</si>
  <si>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</si>
  <si>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</si>
  <si>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</si>
  <si>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</si>
  <si>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</si>
  <si>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</si>
  <si>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</si>
  <si>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</si>
  <si>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</si>
  <si>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</si>
  <si>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</si>
  <si>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</si>
  <si>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</si>
  <si>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</si>
  <si>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</si>
  <si>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</si>
  <si>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</si>
  <si>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</si>
  <si>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</si>
  <si>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</si>
  <si>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</si>
  <si>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</si>
  <si>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</si>
  <si>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</si>
  <si>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</si>
  <si>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</si>
  <si>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</si>
  <si>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</si>
  <si>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</si>
  <si>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</si>
  <si>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</si>
  <si>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</si>
  <si>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</si>
  <si>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</si>
  <si>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</si>
  <si>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</si>
  <si>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</si>
  <si>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</si>
  <si>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</si>
  <si>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</si>
  <si>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</si>
  <si>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</si>
  <si>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</si>
  <si>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</si>
  <si>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</si>
  <si>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</si>
  <si>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</si>
  <si>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</si>
  <si>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</si>
  <si>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</si>
  <si>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</si>
  <si>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</si>
  <si>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</si>
  <si>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</si>
  <si>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</si>
  <si>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</si>
  <si>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</si>
  <si>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</si>
  <si>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</si>
  <si>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</si>
  <si>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</si>
  <si>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</si>
  <si>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</si>
  <si>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</si>
  <si>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</si>
  <si>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</si>
  <si>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</si>
  <si>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</si>
  <si>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</si>
  <si>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</si>
  <si>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</si>
  <si>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</si>
  <si>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</si>
  <si>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</si>
  <si>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</si>
  <si>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</si>
  <si>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</si>
  <si>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</si>
  <si>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</si>
  <si>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</si>
  <si>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</si>
  <si>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</si>
  <si>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</si>
  <si>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</si>
  <si>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</si>
  <si>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</si>
  <si>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</si>
  <si>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</si>
  <si>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</si>
  <si>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</si>
  <si>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</si>
  <si>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</si>
  <si>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</si>
  <si>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</si>
  <si>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</si>
  <si>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</si>
  <si>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</si>
  <si>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</si>
  <si>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</si>
  <si>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</si>
  <si>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</si>
  <si>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</si>
  <si>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</si>
  <si>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</si>
  <si>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</si>
  <si>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</si>
  <si>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</si>
  <si>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</si>
  <si>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</si>
  <si>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</si>
  <si>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</si>
  <si>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</si>
  <si>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</si>
  <si>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</si>
  <si>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</si>
  <si>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</si>
  <si>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</si>
  <si>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</si>
  <si>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</si>
  <si>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</si>
  <si>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</si>
  <si>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</si>
  <si>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</si>
  <si>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</si>
  <si>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</si>
  <si>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</si>
  <si>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</si>
  <si>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</si>
  <si>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</si>
  <si>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</si>
  <si>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</si>
  <si>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</si>
  <si>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</si>
  <si>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</si>
  <si>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</si>
  <si>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</si>
  <si>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</si>
  <si>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</si>
  <si>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</si>
  <si>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</si>
  <si>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</si>
  <si>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</si>
  <si>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</si>
  <si>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</si>
  <si>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</si>
  <si>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</si>
  <si>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</si>
  <si>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</si>
  <si>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</si>
  <si>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</si>
  <si>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</si>
  <si>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</si>
  <si>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</si>
  <si>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</si>
  <si>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</si>
  <si>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</si>
  <si>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</si>
  <si>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</si>
  <si>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</si>
  <si>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</si>
  <si>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</si>
  <si>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</si>
  <si>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</si>
  <si>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</si>
  <si>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</si>
  <si>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</si>
  <si>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</si>
  <si>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</si>
  <si>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</si>
  <si>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</si>
  <si>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</si>
  <si>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</si>
  <si>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</si>
  <si>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</si>
  <si>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</si>
  <si>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</si>
  <si>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</si>
  <si>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</si>
  <si>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</si>
  <si>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</si>
  <si>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</si>
  <si>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</si>
  <si>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</si>
  <si>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</si>
  <si>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</si>
  <si>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</si>
  <si>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</si>
  <si>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</si>
  <si>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</si>
  <si>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</si>
  <si>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</si>
  <si>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</si>
  <si>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</si>
  <si>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</si>
  <si>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</si>
  <si>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</si>
  <si>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</si>
  <si>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</si>
  <si>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</si>
  <si>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</si>
  <si>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</si>
  <si>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</si>
  <si>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</si>
  <si>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</si>
  <si>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</si>
  <si>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</si>
  <si>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</si>
  <si>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</si>
  <si>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</si>
  <si>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</si>
  <si>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</si>
  <si>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</si>
  <si>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</si>
  <si>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</si>
  <si>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</si>
  <si>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</si>
  <si>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</si>
  <si>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</si>
  <si>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</si>
  <si>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</si>
  <si>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</si>
  <si>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</si>
  <si>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</si>
  <si>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</si>
  <si>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</si>
  <si>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</si>
  <si>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</si>
  <si>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</si>
  <si>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</si>
  <si>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</si>
  <si>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</si>
  <si>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</si>
  <si>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</si>
  <si>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</si>
  <si>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</si>
  <si>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</si>
  <si>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</si>
  <si>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</si>
  <si>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</si>
  <si>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</si>
  <si>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</si>
  <si>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</si>
  <si>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</si>
  <si>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</si>
  <si>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</si>
  <si>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</si>
  <si>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</si>
  <si>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</si>
  <si>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</si>
  <si>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</si>
  <si>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</si>
  <si>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</si>
  <si>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</si>
  <si>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</si>
  <si>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</si>
  <si>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</si>
  <si>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</si>
  <si>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</si>
  <si>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</si>
  <si>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</si>
  <si>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</si>
  <si>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</si>
  <si>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</si>
  <si>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</si>
  <si>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</si>
  <si>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</si>
  <si>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</si>
  <si>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</si>
  <si>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</si>
  <si>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</si>
  <si>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</si>
  <si>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</si>
  <si>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</si>
  <si>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</si>
  <si>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</si>
  <si>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</si>
  <si>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</si>
  <si>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</si>
  <si>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</si>
  <si>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</si>
  <si>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</si>
  <si>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</si>
  <si>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</si>
  <si>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</si>
  <si>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</si>
  <si>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</si>
  <si>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</si>
  <si>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</si>
  <si>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</si>
  <si>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</si>
  <si>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</si>
  <si>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</si>
  <si>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</si>
  <si>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</si>
  <si>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</si>
  <si>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</si>
  <si>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</si>
  <si>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</si>
  <si>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</si>
  <si>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</si>
  <si>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</si>
  <si>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</si>
  <si>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</si>
  <si>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</si>
  <si>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</si>
  <si>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</si>
  <si>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</si>
  <si>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</si>
  <si>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</si>
  <si>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</si>
  <si>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</si>
  <si>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</si>
  <si>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</si>
  <si>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</si>
  <si>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</si>
  <si>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</si>
  <si>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</si>
  <si>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</si>
  <si>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</si>
  <si>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</si>
  <si>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</si>
  <si>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</si>
  <si>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</si>
  <si>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</si>
  <si>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</si>
  <si>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</si>
  <si>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</si>
  <si>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</si>
  <si>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</si>
  <si>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</si>
  <si>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</si>
  <si>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</si>
  <si>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</si>
  <si>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</si>
  <si>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</si>
  <si>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</si>
  <si>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</si>
  <si>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</si>
  <si>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</si>
  <si>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</si>
  <si>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</si>
  <si>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</si>
  <si>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</si>
  <si>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</si>
  <si>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</si>
  <si>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</si>
  <si>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</si>
  <si>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</si>
  <si>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</si>
  <si>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</si>
  <si>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</si>
  <si>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</si>
  <si>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</si>
  <si>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</si>
  <si>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</si>
  <si>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</si>
  <si>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</si>
  <si>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</si>
  <si>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</si>
  <si>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</si>
  <si>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</si>
  <si>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</si>
  <si>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</si>
  <si>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</si>
  <si>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</si>
  <si>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</si>
  <si>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</si>
  <si>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</si>
  <si>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</si>
  <si>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</si>
  <si>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</si>
  <si>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</si>
  <si>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</si>
  <si>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</si>
  <si>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</si>
  <si>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</si>
  <si>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</si>
  <si>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</si>
  <si>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</si>
  <si>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</si>
  <si>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</si>
  <si>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</si>
  <si>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</si>
  <si>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</si>
  <si>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</si>
  <si>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</si>
  <si>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</si>
  <si>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</si>
  <si>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</si>
  <si>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</si>
  <si>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</si>
  <si>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</si>
  <si>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</si>
  <si>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</si>
  <si>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</si>
  <si>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</si>
  <si>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</si>
  <si>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</si>
  <si>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</si>
  <si>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</si>
  <si>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</si>
  <si>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</si>
  <si>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</si>
  <si>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</si>
  <si>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</si>
  <si>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</si>
  <si>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</si>
  <si>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</si>
  <si>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</si>
  <si>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</si>
  <si>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</si>
  <si>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</si>
  <si>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</si>
  <si>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</si>
  <si>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</si>
  <si>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</si>
  <si>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</si>
  <si>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</si>
  <si>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</si>
  <si>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</si>
  <si>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</si>
  <si>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</si>
  <si>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</si>
  <si>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</si>
  <si>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</si>
  <si>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</si>
  <si>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</si>
  <si>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</si>
  <si>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</si>
  <si>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</si>
  <si>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</si>
  <si>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</si>
  <si>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</si>
  <si>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</si>
  <si>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</si>
  <si>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</si>
  <si>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</si>
  <si>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</si>
  <si>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</si>
  <si>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</si>
  <si>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</si>
  <si>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</si>
  <si>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</si>
  <si>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</si>
  <si>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</si>
  <si>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</si>
  <si>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</si>
  <si>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</si>
  <si>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</si>
  <si>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</si>
  <si>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</si>
  <si>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</si>
  <si>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</si>
  <si>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</si>
  <si>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</si>
  <si>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</si>
  <si>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</si>
  <si>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</si>
  <si>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</si>
  <si>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</si>
  <si>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</si>
  <si>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</si>
  <si>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</si>
  <si>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</si>
  <si>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</si>
  <si>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</si>
  <si>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</si>
  <si>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</si>
  <si>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</si>
  <si>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</si>
  <si>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</si>
  <si>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</si>
  <si>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</si>
  <si>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</si>
  <si>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</si>
  <si>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</si>
  <si>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</si>
  <si>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</si>
  <si>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</si>
  <si>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</si>
  <si>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</si>
  <si>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</si>
  <si>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</si>
  <si>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</si>
  <si>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</si>
  <si>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</si>
  <si>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</si>
  <si>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</si>
  <si>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</si>
  <si>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</si>
  <si>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</si>
  <si>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</si>
  <si>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</si>
  <si>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</si>
  <si>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</si>
  <si>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</si>
  <si>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</si>
  <si>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</si>
  <si>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</si>
  <si>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</si>
  <si>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</si>
  <si>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</si>
  <si>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</si>
  <si>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</si>
  <si>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</si>
  <si>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</si>
  <si>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</si>
  <si>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</si>
  <si>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</si>
  <si>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</si>
  <si>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</si>
  <si>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</si>
  <si>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</si>
  <si>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</si>
  <si>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</si>
  <si>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</si>
  <si>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</si>
  <si>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</si>
  <si>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</si>
  <si>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</si>
  <si>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</si>
  <si>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</si>
  <si>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</si>
  <si>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</si>
  <si>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</si>
  <si>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</si>
  <si>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</si>
  <si>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</si>
  <si>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</si>
  <si>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</si>
  <si>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</si>
  <si>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</si>
  <si>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</si>
  <si>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</si>
  <si>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</si>
  <si>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</si>
  <si>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</si>
  <si>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</si>
  <si>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</si>
  <si>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</si>
  <si>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</si>
  <si>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</si>
  <si>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</si>
  <si>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</si>
  <si>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</si>
  <si>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</si>
  <si>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</si>
  <si>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</si>
  <si>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</si>
  <si>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</si>
  <si>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</si>
  <si>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</si>
  <si>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</si>
  <si>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</si>
  <si>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</si>
  <si>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</si>
  <si>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</si>
  <si>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</si>
  <si>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</si>
  <si>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</si>
  <si>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</si>
  <si>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</si>
  <si>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</si>
  <si>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</si>
  <si>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</si>
  <si>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</si>
  <si>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</si>
  <si>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</si>
  <si>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</si>
  <si>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</si>
  <si>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</si>
  <si>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</si>
  <si>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</si>
  <si>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</si>
  <si>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</si>
  <si>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</si>
  <si>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</si>
  <si>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</si>
  <si>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</si>
  <si>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</si>
  <si>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</si>
  <si>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</si>
  <si>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</si>
  <si>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</si>
  <si>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</si>
  <si>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</si>
  <si>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</si>
  <si>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</si>
  <si>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</si>
  <si>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</si>
  <si>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</si>
  <si>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</si>
  <si>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</si>
  <si>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</si>
  <si>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</si>
  <si>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</si>
  <si>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</si>
  <si>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</si>
  <si>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</si>
  <si>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</si>
  <si>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</si>
  <si>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</si>
  <si>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</si>
  <si>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</si>
  <si>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</si>
  <si>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</si>
  <si>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</si>
  <si>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</si>
  <si>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</si>
  <si>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</si>
  <si>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</si>
  <si>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</si>
  <si>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</si>
  <si>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</si>
  <si>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</si>
  <si>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</si>
  <si>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</si>
  <si>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</si>
  <si>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</si>
  <si>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</si>
  <si>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</si>
  <si>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</si>
  <si>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</si>
  <si>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</si>
  <si>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</si>
  <si>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</si>
  <si>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</si>
  <si>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</si>
  <si>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</si>
  <si>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</si>
  <si>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</si>
  <si>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</si>
  <si>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</si>
  <si>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</si>
  <si>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</si>
  <si>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</si>
  <si>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</si>
  <si>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</si>
  <si>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</si>
  <si>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</si>
  <si>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</si>
  <si>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</si>
  <si>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</si>
  <si>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</si>
  <si>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</si>
  <si>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</si>
  <si>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</si>
  <si>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</si>
  <si>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</si>
  <si>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</si>
  <si>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</si>
  <si>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</si>
  <si>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</si>
  <si>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</si>
  <si>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</si>
  <si>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</si>
  <si>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</si>
  <si>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</si>
  <si>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</si>
  <si>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</si>
  <si>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</si>
  <si>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</si>
  <si>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</si>
  <si>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</si>
  <si>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</si>
  <si>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</si>
  <si>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</si>
  <si>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</si>
  <si>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</si>
  <si>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</si>
  <si>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</si>
  <si>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</si>
  <si>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</si>
  <si>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</si>
  <si>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</si>
  <si>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</si>
  <si>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</si>
  <si>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</si>
  <si>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</si>
  <si>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</si>
  <si>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</si>
  <si>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</si>
  <si>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</si>
  <si>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</si>
  <si>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</si>
  <si>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</si>
  <si>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</si>
  <si>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</si>
  <si>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</si>
  <si>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</si>
  <si>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</si>
  <si>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</si>
  <si>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</si>
  <si>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</si>
  <si>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</si>
  <si>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</si>
  <si>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</si>
  <si>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</si>
  <si>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</si>
  <si>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</si>
  <si>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</si>
  <si>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</si>
  <si>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</si>
  <si>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</si>
  <si>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</si>
  <si>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</si>
  <si>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</si>
  <si>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</si>
  <si>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</si>
  <si>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</si>
  <si>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</si>
  <si>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</si>
  <si>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</si>
  <si>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</si>
  <si>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</si>
  <si>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</si>
  <si>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</si>
  <si>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</si>
  <si>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</si>
  <si>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</si>
  <si>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</si>
  <si>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</si>
  <si>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</si>
  <si>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</si>
  <si>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</si>
  <si>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</si>
  <si>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</si>
  <si>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</si>
  <si>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</si>
  <si>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</si>
  <si>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</si>
  <si>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</si>
  <si>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</si>
  <si>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</si>
  <si>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</si>
  <si>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</si>
  <si>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</si>
  <si>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</si>
  <si>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</si>
  <si>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</si>
  <si>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</si>
  <si>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</si>
  <si>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</si>
  <si>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</si>
  <si>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</si>
  <si>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</si>
  <si>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</si>
  <si>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</si>
  <si>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</si>
  <si>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</si>
  <si>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</si>
  <si>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</si>
  <si>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</si>
  <si>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</si>
  <si>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</si>
  <si>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</si>
  <si>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</si>
  <si>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</si>
  <si>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</si>
  <si>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</si>
  <si>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</si>
  <si>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</si>
  <si>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</si>
  <si>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</si>
  <si>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</si>
  <si>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</si>
  <si>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</si>
  <si>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</si>
  <si>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</si>
  <si>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</si>
  <si>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</si>
  <si>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</si>
  <si>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</si>
  <si>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</si>
  <si>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</si>
  <si>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</si>
  <si>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</si>
  <si>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</si>
  <si>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</si>
  <si>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</si>
  <si>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</si>
  <si>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</si>
  <si>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</si>
  <si>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</si>
  <si>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</si>
  <si>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</si>
  <si>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</si>
  <si>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</si>
  <si>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</si>
  <si>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</si>
  <si>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</si>
  <si>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</si>
  <si>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</si>
  <si>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</si>
  <si>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</si>
  <si>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</si>
  <si>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</si>
  <si>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</si>
  <si>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</si>
  <si>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</si>
  <si>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</si>
  <si>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</si>
  <si>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</si>
  <si>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</si>
  <si>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</si>
  <si>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</si>
  <si>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</si>
  <si>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</si>
  <si>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</si>
  <si>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</si>
  <si>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</si>
  <si>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</si>
  <si>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</si>
  <si>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</si>
  <si>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</si>
  <si>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</si>
  <si>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</si>
  <si>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</si>
  <si>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</si>
  <si>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</si>
  <si>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</si>
  <si>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</si>
  <si>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</si>
  <si>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</si>
  <si>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</si>
  <si>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</si>
  <si>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</si>
  <si>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</si>
  <si>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</si>
  <si>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</si>
  <si>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</si>
  <si>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</si>
  <si>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</si>
  <si>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</si>
  <si>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</si>
  <si>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</si>
  <si>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</si>
  <si>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</si>
  <si>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</si>
  <si>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</si>
  <si>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</si>
  <si>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</si>
  <si>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</si>
  <si>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</si>
  <si>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</si>
  <si>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</si>
  <si>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</si>
  <si>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</si>
  <si>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</si>
  <si>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</si>
  <si>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</si>
  <si>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</si>
  <si>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</si>
  <si>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</si>
  <si>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</si>
  <si>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</si>
  <si>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</si>
  <si>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</si>
  <si>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</si>
  <si>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</si>
  <si>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</si>
  <si>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</si>
  <si>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</si>
  <si>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</si>
  <si>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</si>
  <si>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</si>
  <si>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</si>
  <si>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</si>
  <si>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</si>
  <si>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</si>
  <si>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</si>
  <si>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</si>
  <si>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</si>
  <si>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</si>
  <si>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</si>
  <si>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</si>
  <si>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</si>
  <si>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</si>
  <si>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</si>
  <si>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</si>
  <si>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</si>
  <si>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</si>
  <si>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</si>
  <si>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</si>
  <si>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</si>
  <si>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</si>
  <si>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</si>
  <si>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</si>
  <si>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</si>
  <si>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</si>
  <si>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</si>
  <si>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</si>
  <si>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</si>
  <si>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</si>
  <si>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</si>
  <si>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</si>
  <si>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</si>
  <si>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</si>
  <si>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</si>
  <si>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</si>
  <si>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</si>
  <si>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</si>
  <si>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</si>
  <si>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</si>
  <si>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</si>
  <si>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</si>
  <si>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</si>
  <si>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</si>
  <si>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</si>
  <si>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</si>
  <si>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</si>
  <si>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</si>
  <si>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</si>
  <si>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</si>
  <si>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</si>
  <si>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</si>
  <si>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</si>
  <si>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</si>
  <si>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</si>
  <si>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</si>
  <si>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</si>
  <si>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</si>
  <si>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</si>
  <si>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</si>
  <si>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</si>
  <si>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</si>
  <si>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</si>
  <si>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</si>
  <si>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</si>
  <si>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</si>
  <si>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</si>
  <si>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</si>
  <si>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</si>
  <si>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</si>
  <si>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</si>
  <si>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</si>
  <si>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</si>
  <si>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</si>
  <si>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</si>
  <si>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</si>
  <si>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</si>
  <si>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</si>
  <si>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</si>
  <si>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</si>
  <si>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</si>
  <si>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</si>
  <si>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</si>
  <si>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</si>
  <si>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</si>
  <si>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</si>
  <si>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</si>
  <si>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</si>
  <si>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</si>
  <si>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</si>
  <si>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</si>
  <si>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</si>
  <si>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</si>
  <si>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</si>
  <si>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</si>
  <si>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</si>
  <si>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</si>
  <si>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</si>
  <si>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</si>
  <si>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</si>
  <si>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</si>
  <si>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</si>
  <si>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</si>
  <si>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</si>
  <si>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</si>
  <si>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</si>
  <si>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</si>
  <si>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</si>
  <si>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</si>
  <si>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</si>
  <si>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</si>
  <si>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</si>
  <si>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</si>
  <si>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</si>
  <si>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</si>
  <si>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</si>
  <si>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</si>
  <si>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</si>
  <si>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</si>
  <si>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</si>
  <si>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</si>
  <si>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</si>
  <si>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</si>
  <si>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</si>
  <si>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</si>
  <si>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</si>
  <si>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</si>
  <si>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</si>
  <si>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</si>
  <si>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</si>
  <si>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</si>
  <si>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</si>
  <si>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</si>
  <si>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</si>
  <si>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</si>
  <si>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</si>
  <si>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</si>
  <si>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</si>
  <si>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</si>
  <si>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</si>
  <si>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</si>
  <si>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</si>
  <si>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</si>
  <si>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</si>
  <si>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</si>
  <si>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</si>
  <si>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</si>
  <si>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</si>
  <si>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</si>
  <si>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</si>
  <si>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</si>
  <si>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</si>
  <si>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</si>
  <si>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</si>
  <si>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</si>
  <si>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</si>
  <si>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</si>
  <si>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</si>
  <si>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</si>
  <si>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</si>
  <si>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</si>
  <si>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</si>
  <si>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</si>
  <si>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</si>
  <si>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</si>
  <si>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</si>
  <si>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</si>
  <si>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</si>
  <si>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</si>
  <si>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</si>
  <si>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</si>
  <si>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</si>
  <si>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</si>
  <si>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</si>
  <si>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</si>
  <si>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</si>
  <si>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</si>
  <si>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</si>
  <si>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</si>
  <si>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</si>
  <si>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</si>
  <si>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</si>
  <si>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</si>
  <si>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</si>
  <si>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</si>
  <si>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</si>
  <si>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</si>
  <si>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</si>
  <si>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</si>
  <si>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</si>
  <si>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</si>
  <si>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</si>
  <si>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</si>
  <si>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</si>
  <si>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</si>
  <si>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</si>
  <si>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</si>
  <si>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</si>
  <si>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</si>
  <si>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</si>
  <si>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</si>
  <si>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</si>
  <si>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</si>
  <si>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</si>
  <si>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</si>
  <si>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</si>
  <si>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</si>
  <si>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</si>
  <si>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</si>
  <si>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</si>
  <si>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</si>
  <si>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</si>
  <si>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</si>
  <si>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</si>
  <si>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</si>
  <si>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</si>
  <si>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</si>
  <si>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</si>
  <si>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</si>
  <si>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</si>
  <si>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</si>
  <si>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</si>
  <si>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</si>
  <si>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</si>
  <si>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</si>
  <si>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</si>
  <si>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</si>
  <si>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</si>
  <si>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</si>
  <si>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</si>
  <si>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</si>
  <si>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</si>
  <si>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</si>
  <si>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</si>
  <si>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</si>
  <si>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</si>
  <si>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</si>
  <si>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</si>
  <si>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</si>
  <si>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</si>
  <si>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</si>
  <si>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</si>
  <si>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</si>
  <si>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</si>
  <si>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</si>
  <si>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</si>
  <si>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</si>
  <si>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</si>
  <si>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</si>
  <si>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</si>
  <si>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</si>
  <si>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</si>
  <si>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</si>
  <si>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</si>
  <si>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</si>
  <si>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</si>
  <si>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</si>
  <si>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</si>
  <si>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</si>
  <si>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</si>
  <si>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</si>
  <si>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</si>
  <si>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</si>
  <si>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</si>
  <si>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</si>
  <si>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</si>
  <si>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</si>
  <si>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</si>
  <si>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</si>
  <si>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</si>
  <si>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</si>
  <si>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</si>
  <si>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</si>
  <si>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</si>
  <si>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</si>
  <si>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</si>
  <si>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</si>
  <si>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</si>
  <si>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</si>
  <si>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</si>
  <si>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</si>
  <si>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</si>
  <si>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</si>
  <si>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</si>
  <si>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</si>
  <si>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</si>
  <si>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</si>
  <si>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</si>
  <si>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</si>
  <si>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</si>
  <si>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</si>
  <si>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</si>
  <si>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</si>
  <si>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</si>
  <si>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</si>
  <si>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</si>
  <si>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</si>
  <si>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</si>
  <si>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</si>
  <si>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</si>
  <si>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</si>
  <si>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</si>
  <si>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</si>
  <si>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</si>
  <si>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</si>
  <si>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</si>
  <si>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</si>
  <si>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</si>
  <si>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</si>
  <si>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</si>
  <si>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</si>
  <si>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</si>
  <si>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</si>
  <si>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</si>
  <si>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</si>
  <si>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</si>
  <si>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</si>
  <si>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</si>
  <si>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</si>
  <si>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</si>
  <si>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</si>
  <si>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</si>
  <si>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</si>
  <si>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</si>
  <si>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</si>
  <si>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</si>
  <si>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</si>
  <si>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</si>
  <si>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</si>
  <si>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</si>
  <si>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</si>
  <si>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</si>
  <si>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</si>
  <si>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</si>
  <si>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</si>
  <si>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</si>
  <si>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</si>
  <si>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</si>
  <si>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</si>
  <si>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</si>
  <si>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</si>
  <si>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</si>
  <si>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</si>
  <si>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</si>
  <si>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</si>
  <si>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</si>
  <si>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</si>
  <si>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</si>
  <si>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</si>
  <si>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</si>
  <si>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</si>
  <si>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</si>
  <si>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</si>
  <si>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</si>
  <si>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</si>
  <si>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</si>
  <si>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</si>
  <si>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</si>
  <si>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</si>
  <si>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</si>
  <si>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</si>
  <si>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</si>
  <si>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</si>
  <si>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</si>
  <si>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</si>
  <si>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</si>
  <si>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</si>
  <si>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</si>
  <si>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</si>
  <si>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</si>
  <si>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</si>
  <si>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</si>
  <si>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</si>
  <si>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</si>
  <si>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</si>
  <si>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</si>
  <si>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</si>
  <si>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</si>
  <si>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</si>
  <si>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</si>
  <si>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</si>
  <si>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</si>
  <si>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</si>
  <si>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</si>
  <si>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</si>
  <si>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</si>
  <si>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</si>
  <si>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</si>
  <si>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</si>
  <si>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</si>
  <si>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</si>
  <si>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</si>
  <si>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</si>
  <si>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</si>
  <si>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</si>
  <si>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</si>
  <si>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</si>
  <si>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</si>
  <si>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</si>
  <si>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</si>
  <si>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</si>
  <si>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</si>
  <si>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</si>
  <si>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</si>
  <si>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</si>
  <si>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</si>
  <si>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</si>
  <si>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</si>
  <si>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</si>
  <si>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</si>
  <si>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</si>
  <si>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</si>
  <si>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</si>
  <si>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</si>
  <si>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</si>
  <si>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</si>
  <si>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</si>
  <si>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</si>
  <si>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</si>
  <si>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</si>
  <si>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</si>
  <si>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</si>
  <si>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</si>
  <si>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</si>
  <si>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</si>
  <si>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</si>
  <si>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</si>
  <si>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</si>
  <si>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</si>
  <si>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</si>
  <si>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</si>
  <si>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</si>
  <si>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</si>
  <si>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</si>
  <si>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</si>
  <si>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</si>
  <si>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</si>
  <si>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</si>
  <si>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</si>
  <si>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</si>
  <si>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</si>
  <si>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</si>
  <si>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</si>
  <si>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</si>
  <si>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</si>
  <si>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</si>
  <si>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</si>
  <si>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</si>
  <si>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</si>
  <si>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</si>
  <si>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</si>
  <si>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</si>
  <si>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</si>
  <si>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</si>
  <si>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</si>
  <si>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</si>
  <si>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</si>
  <si>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</si>
  <si>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</si>
  <si>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</si>
  <si>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</si>
  <si>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</si>
  <si>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</si>
  <si>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</si>
  <si>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</si>
  <si>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</si>
  <si>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</si>
  <si>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</si>
  <si>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</si>
  <si>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</si>
  <si>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</si>
  <si>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</si>
  <si>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</si>
  <si>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</si>
  <si>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</si>
  <si>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</si>
  <si>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</si>
  <si>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</si>
  <si>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</si>
  <si>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</si>
  <si>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</si>
  <si>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</si>
  <si>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</si>
  <si>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</si>
  <si>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</si>
  <si>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</si>
  <si>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</si>
  <si>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</si>
  <si>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</si>
  <si>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</si>
  <si>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</si>
  <si>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</si>
  <si>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</si>
  <si>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</si>
  <si>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</si>
  <si>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</si>
  <si>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</si>
  <si>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</si>
  <si>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</si>
  <si>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</si>
  <si>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</si>
  <si>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</si>
  <si>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</si>
  <si>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</si>
  <si>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</si>
  <si>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</si>
  <si>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</si>
  <si>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</si>
  <si>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</si>
  <si>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</si>
  <si>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</si>
  <si>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</si>
  <si>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</si>
  <si>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</si>
  <si>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</si>
  <si>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</si>
  <si>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</si>
  <si>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</si>
  <si>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</si>
  <si>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</si>
  <si>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</si>
  <si>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</si>
  <si>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</si>
  <si>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</si>
  <si>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</si>
  <si>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</si>
  <si>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</si>
  <si>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</si>
  <si>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</si>
  <si>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</si>
  <si>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</si>
  <si>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</si>
  <si>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</si>
  <si>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</si>
  <si>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</si>
  <si>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</si>
  <si>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</si>
  <si>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</si>
  <si>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</si>
  <si>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</si>
  <si>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</si>
  <si>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</si>
  <si>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</si>
  <si>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</si>
  <si>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</si>
  <si>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</si>
  <si>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</si>
  <si>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</si>
  <si>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</si>
  <si>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</si>
  <si>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</si>
  <si>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</si>
  <si>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</si>
  <si>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</si>
  <si>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</si>
  <si>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</si>
  <si>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</si>
  <si>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</si>
  <si>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</si>
  <si>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</si>
  <si>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</si>
  <si>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</si>
  <si>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</si>
  <si>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</si>
  <si>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</si>
  <si>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</si>
  <si>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</si>
  <si>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</si>
  <si>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</si>
  <si>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</si>
  <si>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</si>
  <si>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</si>
  <si>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</si>
  <si>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</si>
  <si>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</si>
  <si>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</si>
  <si>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</si>
  <si>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</si>
  <si>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</si>
  <si>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</si>
  <si>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</si>
  <si>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</si>
  <si>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</si>
  <si>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</si>
  <si>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</si>
  <si>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</si>
  <si>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</si>
  <si>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</si>
  <si>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</si>
  <si>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</si>
  <si>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</si>
  <si>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</si>
  <si>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</si>
  <si>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</si>
  <si>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</si>
  <si>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</si>
  <si>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</si>
  <si>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</si>
  <si>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</si>
  <si>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</si>
  <si>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</si>
  <si>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</si>
  <si>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</si>
  <si>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</si>
  <si>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</si>
  <si>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</si>
  <si>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</si>
  <si>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</si>
  <si>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</si>
  <si>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</si>
  <si>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</si>
  <si>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</si>
  <si>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</si>
  <si>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</si>
  <si>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</si>
  <si>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</si>
  <si>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</si>
  <si>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</si>
  <si>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</si>
  <si>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</si>
  <si>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</si>
  <si>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</si>
  <si>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</si>
  <si>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</si>
  <si>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</si>
  <si>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</si>
  <si>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</si>
  <si>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</si>
  <si>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</si>
  <si>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</si>
  <si>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</si>
  <si>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</si>
  <si>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</si>
  <si>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</si>
  <si>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</si>
  <si>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</si>
  <si>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</si>
  <si>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</si>
  <si>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</si>
  <si>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</si>
  <si>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</si>
  <si>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</si>
  <si>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</si>
  <si>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</si>
  <si>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</si>
  <si>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</si>
  <si>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</si>
  <si>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</si>
  <si>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</si>
  <si>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</si>
  <si>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</si>
  <si>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</si>
  <si>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</si>
  <si>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</si>
  <si>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</si>
  <si>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</si>
  <si>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</si>
  <si>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</si>
  <si>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</si>
  <si>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</si>
  <si>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</si>
  <si>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</si>
  <si>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</si>
  <si>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</si>
  <si>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</si>
  <si>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</si>
  <si>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</si>
  <si>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</si>
  <si>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</si>
  <si>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</si>
  <si>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</si>
  <si>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</si>
  <si>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</si>
  <si>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</si>
  <si>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</si>
  <si>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</si>
  <si>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</si>
  <si>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</si>
  <si>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</si>
  <si>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</si>
  <si>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</si>
  <si>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</si>
  <si>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</si>
  <si>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</si>
  <si>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</si>
  <si>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</si>
  <si>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</si>
  <si>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</si>
  <si>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</si>
  <si>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</si>
  <si>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</si>
  <si>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</si>
  <si>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</si>
  <si>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</si>
  <si>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</si>
  <si>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</si>
  <si>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</si>
  <si>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</si>
  <si>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</si>
  <si>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</si>
  <si>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</si>
  <si>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</si>
  <si>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</si>
  <si>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</si>
  <si>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</si>
  <si>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</si>
  <si>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</si>
  <si>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</si>
  <si>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</si>
  <si>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</si>
  <si>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</si>
  <si>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</si>
  <si>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</si>
  <si>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</si>
  <si>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</si>
  <si>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</si>
  <si>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</si>
  <si>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</si>
  <si>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</si>
  <si>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</si>
  <si>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</si>
  <si>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</si>
  <si>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</si>
  <si>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</si>
  <si>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</si>
  <si>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</si>
  <si>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</si>
  <si>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</si>
  <si>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</si>
  <si>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</si>
  <si>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</si>
  <si>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</si>
  <si>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</si>
  <si>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</si>
  <si>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</si>
  <si>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</si>
  <si>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</si>
  <si>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</si>
  <si>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</si>
  <si>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</si>
  <si>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</si>
  <si>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</si>
  <si>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</si>
  <si>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</si>
  <si>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</si>
  <si>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</si>
  <si>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</si>
  <si>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</si>
  <si>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</si>
  <si>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</si>
  <si>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</si>
  <si>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</si>
  <si>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</si>
  <si>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</si>
  <si>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</si>
  <si>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</si>
  <si>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</si>
  <si>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</si>
  <si>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</si>
  <si>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</si>
  <si>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</si>
  <si>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</si>
  <si>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</si>
  <si>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</si>
  <si>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</si>
  <si>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</si>
  <si>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</si>
  <si>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</si>
  <si>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</si>
  <si>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</si>
  <si>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</si>
  <si>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</si>
  <si>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</si>
  <si>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</si>
  <si>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</si>
  <si>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</si>
  <si>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</si>
  <si>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</si>
  <si>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</si>
  <si>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</si>
  <si>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</si>
  <si>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</si>
  <si>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</si>
  <si>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</si>
  <si>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</si>
  <si>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</si>
  <si>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</si>
  <si>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</si>
  <si>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</si>
  <si>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</si>
  <si>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</si>
  <si>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</si>
  <si>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</si>
  <si>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</si>
  <si>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</si>
  <si>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</si>
  <si>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</si>
  <si>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</si>
  <si>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</si>
  <si>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</si>
  <si>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</si>
  <si>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</si>
  <si>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</si>
  <si>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</si>
  <si>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</si>
  <si>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</si>
  <si>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</si>
  <si>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</si>
  <si>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</si>
  <si>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</si>
  <si>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</si>
  <si>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</si>
  <si>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</si>
  <si>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</si>
  <si>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</si>
  <si>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</si>
  <si>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</si>
  <si>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</si>
  <si>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</si>
  <si>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</si>
  <si>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</si>
  <si>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</si>
  <si>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</si>
  <si>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</si>
  <si>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</si>
  <si>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</si>
  <si>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</si>
  <si>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</si>
  <si>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</si>
  <si>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</si>
  <si>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</si>
  <si>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</si>
  <si>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</si>
  <si>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</si>
  <si>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</si>
  <si>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</si>
  <si>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</si>
  <si>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</si>
  <si>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</si>
  <si>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</si>
  <si>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</si>
  <si>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</si>
  <si>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</si>
  <si>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</si>
  <si>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</si>
  <si>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</si>
  <si>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</si>
  <si>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</si>
  <si>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</si>
  <si>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</si>
  <si>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</si>
  <si>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</si>
  <si>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</si>
  <si>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</si>
  <si>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</si>
  <si>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</si>
  <si>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</si>
  <si>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</si>
  <si>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</si>
  <si>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</si>
  <si>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</si>
  <si>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</si>
  <si>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</si>
  <si>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</si>
  <si>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</si>
  <si>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</si>
  <si>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</si>
  <si>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</si>
  <si>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</si>
  <si>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</si>
  <si>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</si>
  <si>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</si>
  <si>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</si>
  <si>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</si>
  <si>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</si>
  <si>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</si>
  <si>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</si>
  <si>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</si>
  <si>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</si>
  <si>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</si>
  <si>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</si>
  <si>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</si>
  <si>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</si>
  <si>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</si>
  <si>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</si>
  <si>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</si>
  <si>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</si>
  <si>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</si>
  <si>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</si>
  <si>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</si>
  <si>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</si>
  <si>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</si>
  <si>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</si>
  <si>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</si>
  <si>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</si>
  <si>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</si>
  <si>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</si>
  <si>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</si>
  <si>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</si>
  <si>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</si>
  <si>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</si>
  <si>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</si>
  <si>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</si>
  <si>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</si>
  <si>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</si>
  <si>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</si>
  <si>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</si>
  <si>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</si>
  <si>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</si>
  <si>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</si>
  <si>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</si>
  <si>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</si>
  <si>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</si>
  <si>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</si>
  <si>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</si>
  <si>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</si>
  <si>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</si>
  <si>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</si>
  <si>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</si>
  <si>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</si>
  <si>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</si>
  <si>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</si>
  <si>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</si>
  <si>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</si>
  <si>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</si>
  <si>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</si>
  <si>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</si>
  <si>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</si>
  <si>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</si>
  <si>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</si>
  <si>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</si>
  <si>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</si>
  <si>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</si>
  <si>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</si>
  <si>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</si>
  <si>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</si>
  <si>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</si>
  <si>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</si>
  <si>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</si>
  <si>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</si>
  <si>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</si>
  <si>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</si>
  <si>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</si>
  <si>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</si>
  <si>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</si>
  <si>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</si>
  <si>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</si>
  <si>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</si>
  <si>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</si>
  <si>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</si>
  <si>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</si>
  <si>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</si>
  <si>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</si>
  <si>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</si>
  <si>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</si>
  <si>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</si>
  <si>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</si>
  <si>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</si>
  <si>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</si>
  <si>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</si>
  <si>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</si>
  <si>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</si>
  <si>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</si>
  <si>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</si>
  <si>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</si>
  <si>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</si>
  <si>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</si>
  <si>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</si>
  <si>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</si>
  <si>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</si>
  <si>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</si>
  <si>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</si>
  <si>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</si>
  <si>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</si>
  <si>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</si>
  <si>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</si>
  <si>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</si>
  <si>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</si>
  <si>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</si>
  <si>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</si>
  <si>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</si>
  <si>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</si>
  <si>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</si>
  <si>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</si>
  <si>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</si>
  <si>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</si>
  <si>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</si>
  <si>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</si>
  <si>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</si>
  <si>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</si>
  <si>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</si>
  <si>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</si>
  <si>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</si>
  <si>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</si>
  <si>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</si>
  <si>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</si>
  <si>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</si>
  <si>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</si>
  <si>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</si>
  <si>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</si>
  <si>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</si>
  <si>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</si>
  <si>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</si>
  <si>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</si>
  <si>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</si>
  <si>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</si>
  <si>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</si>
  <si>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</si>
  <si>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</si>
  <si>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</si>
  <si>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</si>
  <si>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</si>
  <si>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</si>
  <si>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</si>
  <si>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</si>
  <si>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</si>
  <si>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</si>
  <si>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</si>
  <si>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</si>
  <si>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</si>
  <si>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</si>
  <si>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</si>
  <si>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</si>
  <si>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</si>
  <si>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</si>
  <si>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</si>
  <si>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</si>
  <si>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</si>
  <si>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</si>
  <si>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</si>
  <si>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</si>
  <si>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</si>
  <si>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</si>
  <si>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</si>
  <si>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</si>
  <si>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</si>
  <si>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</si>
  <si>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</si>
  <si>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</si>
  <si>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</si>
  <si>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</si>
  <si>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</si>
  <si>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</si>
  <si>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</si>
  <si>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</si>
  <si>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</si>
  <si>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</si>
  <si>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</si>
  <si>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</si>
  <si>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</si>
  <si>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</si>
  <si>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</si>
  <si>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</si>
  <si>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</si>
  <si>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</si>
  <si>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</si>
  <si>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</si>
  <si>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</si>
  <si>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</si>
  <si>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</si>
  <si>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</si>
  <si>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</si>
  <si>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</si>
  <si>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</si>
  <si>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</si>
  <si>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</si>
  <si>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</si>
  <si>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</si>
  <si>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</si>
  <si>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</si>
  <si>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</si>
  <si>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</si>
  <si>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</si>
  <si>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</si>
  <si>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</si>
  <si>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</si>
  <si>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</si>
  <si>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</si>
  <si>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</si>
  <si>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</si>
  <si>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</si>
  <si>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</si>
  <si>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</si>
  <si>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</si>
  <si>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</si>
  <si>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</si>
  <si>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</si>
  <si>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</si>
  <si>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</si>
  <si>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</si>
  <si>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</si>
  <si>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</si>
  <si>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</si>
  <si>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</si>
  <si>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</si>
  <si>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</si>
  <si>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</si>
  <si>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</si>
  <si>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</si>
  <si>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</si>
  <si>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</si>
  <si>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</si>
  <si>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</si>
  <si>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</si>
  <si>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</si>
  <si>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</si>
  <si>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</si>
  <si>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</si>
  <si>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</si>
  <si>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</si>
  <si>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</si>
  <si>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</si>
  <si>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</si>
  <si>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</si>
  <si>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</si>
  <si>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</si>
  <si>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</si>
  <si>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</si>
  <si>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</si>
  <si>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</si>
  <si>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</si>
  <si>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</si>
  <si>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</si>
  <si>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</si>
  <si>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</si>
  <si>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</si>
  <si>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</si>
  <si>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</si>
  <si>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</si>
  <si>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</si>
  <si>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</si>
  <si>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</si>
  <si>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</si>
  <si>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</si>
  <si>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</si>
  <si>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</si>
  <si>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</si>
  <si>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</si>
  <si>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</si>
  <si>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</si>
  <si>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</si>
  <si>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</si>
  <si>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</si>
  <si>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</si>
  <si>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</si>
  <si>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</si>
  <si>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</si>
  <si>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</si>
  <si>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</si>
  <si>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</si>
  <si>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</si>
  <si>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</si>
  <si>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</si>
  <si>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</si>
  <si>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</si>
  <si>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</si>
  <si>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</si>
  <si>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</si>
  <si>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</si>
  <si>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</si>
  <si>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</si>
  <si>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</si>
  <si>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</si>
  <si>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</si>
  <si>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</si>
  <si>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</si>
  <si>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</si>
  <si>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</si>
  <si>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</si>
  <si>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</si>
  <si>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</si>
  <si>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</si>
  <si>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</si>
  <si>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</si>
  <si>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</si>
  <si>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</si>
  <si>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</si>
  <si>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</si>
  <si>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</si>
  <si>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</si>
  <si>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</si>
  <si>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</si>
  <si>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</si>
  <si>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</si>
  <si>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</si>
  <si>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</si>
  <si>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</si>
  <si>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</si>
  <si>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</si>
  <si>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</si>
  <si>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</si>
  <si>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</si>
  <si>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</si>
  <si>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</si>
  <si>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</si>
  <si>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</si>
  <si>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</si>
  <si>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</si>
  <si>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</si>
  <si>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</si>
  <si>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</si>
  <si>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</si>
  <si>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</si>
  <si>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</si>
  <si>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</si>
  <si>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</si>
  <si>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</si>
  <si>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</si>
  <si>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</si>
  <si>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</si>
  <si>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</si>
  <si>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</si>
  <si>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</si>
  <si>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</si>
  <si>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</si>
  <si>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</si>
  <si>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</si>
  <si>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</si>
  <si>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</si>
  <si>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</si>
  <si>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</si>
  <si>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</si>
  <si>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</si>
  <si>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</si>
  <si>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</si>
  <si>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</si>
  <si>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</si>
  <si>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</si>
  <si>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</si>
  <si>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</si>
  <si>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</si>
  <si>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</si>
  <si>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</si>
  <si>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</si>
  <si>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</si>
  <si>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</si>
  <si>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</si>
  <si>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</si>
  <si>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</si>
  <si>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</si>
  <si>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</si>
  <si>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</si>
  <si>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</si>
  <si>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</si>
  <si>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</si>
  <si>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</si>
  <si>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</si>
  <si>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</si>
  <si>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</si>
  <si>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</si>
  <si>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</si>
  <si>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</si>
  <si>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</si>
  <si>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</si>
  <si>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</si>
  <si>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</si>
  <si>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</si>
  <si>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</si>
  <si>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</si>
  <si>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</si>
  <si>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</si>
  <si>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</si>
  <si>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</si>
  <si>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</si>
  <si>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</si>
  <si>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</si>
  <si>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</si>
  <si>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</si>
  <si>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</si>
  <si>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</si>
  <si>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</si>
  <si>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</si>
  <si>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</si>
  <si>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</si>
  <si>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</si>
  <si>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</si>
  <si>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</si>
  <si>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</si>
  <si>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</si>
  <si>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</si>
  <si>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</si>
  <si>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</si>
  <si>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</si>
  <si>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</si>
  <si>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</si>
  <si>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</si>
  <si>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</si>
  <si>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</si>
  <si>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</si>
  <si>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</si>
  <si>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</si>
  <si>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</si>
  <si>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</si>
  <si>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</si>
  <si>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</si>
  <si>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</si>
  <si>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</si>
  <si>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</si>
  <si>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</si>
  <si>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</si>
  <si>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</si>
  <si>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</si>
  <si>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</si>
  <si>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</si>
  <si>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</si>
  <si>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</si>
  <si>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</si>
  <si>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</si>
  <si>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</si>
  <si>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</si>
  <si>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</si>
  <si>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</si>
  <si>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</si>
  <si>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</si>
  <si>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</si>
  <si>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</si>
  <si>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</si>
  <si>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</si>
  <si>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</si>
  <si>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</si>
  <si>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</si>
  <si>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</si>
  <si>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</si>
  <si>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</si>
  <si>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</si>
  <si>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</si>
  <si>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</si>
  <si>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</si>
  <si>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</si>
  <si>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</si>
  <si>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</si>
  <si>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</si>
  <si>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</si>
  <si>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</si>
  <si>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</si>
  <si>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</si>
  <si>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</si>
  <si>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</si>
  <si>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</si>
  <si>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</si>
  <si>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</si>
  <si>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</si>
  <si>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</si>
  <si>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</si>
  <si>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</si>
  <si>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</si>
  <si>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</si>
  <si>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</si>
  <si>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</si>
  <si>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</si>
  <si>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</si>
  <si>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</si>
  <si>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</si>
  <si>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</si>
  <si>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</si>
  <si>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</si>
  <si>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</si>
  <si>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</si>
  <si>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</si>
  <si>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</si>
  <si>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</si>
  <si>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</si>
  <si>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</si>
  <si>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</si>
  <si>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</si>
  <si>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</si>
  <si>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</si>
  <si>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</si>
  <si>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</si>
  <si>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</si>
  <si>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</si>
  <si>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</si>
  <si>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</si>
  <si>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</si>
  <si>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</si>
  <si>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</si>
  <si>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</si>
  <si>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</si>
  <si>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</si>
  <si>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</si>
  <si>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</si>
  <si>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</si>
  <si>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</si>
  <si>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</si>
  <si>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</si>
  <si>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</si>
  <si>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</si>
  <si>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</si>
  <si>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</si>
  <si>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</si>
  <si>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</si>
  <si>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</si>
  <si>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</si>
  <si>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</si>
  <si>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</si>
  <si>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</si>
  <si>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</si>
  <si>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</si>
  <si>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</si>
  <si>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</si>
  <si>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</si>
  <si>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</si>
  <si>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</si>
  <si>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</si>
  <si>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</si>
  <si>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</si>
  <si>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</si>
  <si>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</si>
  <si>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</si>
  <si>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</si>
  <si>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</si>
  <si>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</si>
  <si>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</si>
  <si>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</si>
  <si>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</si>
  <si>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</si>
  <si>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</si>
  <si>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</si>
  <si>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</si>
  <si>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</si>
  <si>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</si>
  <si>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</si>
  <si>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</si>
  <si>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</si>
  <si>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</si>
  <si>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</si>
  <si>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</si>
  <si>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</si>
  <si>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</si>
  <si>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</si>
  <si>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</si>
  <si>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</si>
  <si>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</si>
  <si>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</si>
  <si>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</si>
  <si>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</si>
  <si>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</si>
  <si>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</si>
  <si>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</si>
  <si>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</si>
  <si>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</si>
  <si>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</si>
  <si>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</si>
  <si>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</si>
  <si>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</si>
  <si>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</si>
  <si>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</si>
  <si>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</si>
  <si>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</si>
  <si>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</si>
  <si>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</si>
  <si>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</si>
  <si>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</si>
  <si>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</si>
  <si>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</si>
  <si>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</si>
  <si>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</si>
  <si>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</si>
  <si>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</si>
  <si>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</si>
  <si>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</si>
  <si>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</si>
  <si>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</si>
  <si>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</si>
  <si>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</si>
  <si>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</si>
  <si>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</si>
  <si>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</si>
  <si>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</si>
  <si>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</si>
  <si>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</si>
  <si>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</si>
  <si>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</si>
  <si>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</si>
  <si>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</si>
  <si>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</si>
  <si>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</si>
  <si>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</si>
  <si>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</si>
  <si>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</si>
  <si>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</si>
  <si>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</si>
  <si>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</si>
  <si>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</si>
  <si>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</si>
  <si>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</si>
  <si>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</si>
  <si>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</si>
  <si>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</si>
  <si>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</si>
  <si>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</si>
  <si>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</si>
  <si>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</si>
  <si>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</si>
  <si>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</si>
  <si>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</si>
  <si>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</si>
  <si>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</si>
  <si>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</si>
  <si>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</si>
  <si>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</si>
  <si>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</si>
  <si>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</si>
  <si>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</si>
  <si>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</si>
  <si>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</si>
  <si>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</si>
  <si>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</si>
  <si>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</si>
  <si>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</si>
  <si>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</si>
  <si>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</si>
  <si>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</si>
  <si>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</si>
  <si>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</si>
  <si>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</si>
  <si>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</si>
  <si>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</si>
  <si>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</si>
  <si>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</si>
  <si>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</si>
  <si>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</si>
  <si>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</si>
  <si>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</si>
  <si>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</si>
  <si>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</si>
  <si>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</si>
  <si>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</si>
  <si>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</si>
  <si>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</si>
  <si>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</si>
  <si>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</si>
  <si>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</si>
  <si>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</si>
  <si>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</si>
  <si>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</si>
  <si>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</si>
  <si>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</si>
  <si>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</si>
  <si>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</si>
  <si>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</si>
  <si>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</si>
  <si>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</si>
  <si>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</si>
  <si>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</si>
  <si>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</si>
  <si>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</si>
  <si>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</si>
  <si>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</si>
  <si>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</si>
  <si>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</si>
  <si>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</si>
  <si>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</si>
  <si>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</si>
  <si>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</si>
  <si>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</si>
  <si>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</si>
  <si>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</si>
  <si>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</si>
  <si>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</si>
  <si>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</si>
  <si>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</si>
  <si>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</si>
  <si>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</si>
  <si>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</si>
  <si>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</si>
  <si>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</si>
  <si>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</si>
  <si>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</si>
  <si>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</si>
  <si>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</si>
  <si>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</si>
  <si>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</si>
  <si>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</si>
  <si>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</si>
  <si>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</si>
  <si>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</si>
  <si>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</si>
  <si>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</si>
  <si>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</si>
  <si>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</si>
  <si>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</si>
  <si>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</si>
  <si>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</si>
  <si>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</si>
  <si>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</si>
  <si>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</si>
  <si>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</si>
  <si>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</si>
  <si>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</si>
  <si>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</si>
  <si>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</si>
  <si>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</si>
  <si>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</si>
  <si>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</si>
  <si>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</si>
  <si>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</si>
  <si>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</si>
  <si>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</si>
  <si>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</si>
  <si>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</si>
  <si>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</si>
  <si>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</si>
  <si>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</si>
  <si>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</si>
  <si>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</si>
  <si>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</si>
  <si>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</si>
  <si>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</si>
  <si>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</si>
  <si>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</si>
  <si>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</si>
  <si>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</si>
  <si>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</si>
  <si>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</si>
  <si>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</si>
  <si>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</si>
  <si>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</si>
  <si>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</si>
  <si>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</si>
  <si>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</si>
  <si>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</si>
  <si>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</si>
  <si>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</si>
  <si>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</si>
  <si>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</si>
  <si>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</si>
  <si>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</si>
  <si>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</si>
  <si>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</si>
  <si>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</si>
  <si>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</si>
  <si>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</si>
  <si>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</si>
  <si>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</si>
  <si>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</si>
  <si>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</si>
  <si>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</si>
  <si>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</si>
  <si>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</si>
  <si>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</si>
  <si>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</si>
  <si>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</si>
  <si>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</si>
  <si>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</si>
  <si>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</si>
  <si>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</si>
  <si>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</si>
  <si>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</si>
  <si>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</si>
  <si>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</si>
  <si>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</si>
  <si>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</si>
  <si>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</si>
  <si>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</si>
  <si>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</si>
  <si>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</si>
  <si>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</si>
  <si>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</si>
  <si>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</si>
  <si>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</si>
  <si>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</si>
  <si>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</si>
  <si>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</si>
  <si>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</si>
  <si>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</si>
  <si>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</si>
  <si>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</si>
  <si>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</si>
  <si>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</si>
  <si>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</si>
  <si>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</si>
  <si>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</si>
  <si>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</si>
  <si>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</si>
  <si>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</si>
  <si>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</si>
  <si>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</si>
  <si>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</si>
  <si>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</si>
  <si>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</si>
  <si>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</si>
  <si>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</si>
  <si>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</si>
  <si>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</si>
  <si>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</si>
  <si>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</si>
  <si>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</si>
  <si>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</si>
  <si>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</si>
  <si>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</si>
  <si>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</si>
  <si>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</si>
  <si>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</si>
  <si>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</si>
  <si>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</si>
  <si>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</si>
  <si>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</si>
  <si>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</si>
  <si>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</si>
  <si>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</si>
  <si>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</si>
  <si>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</si>
  <si>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</si>
  <si>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</si>
  <si>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</si>
  <si>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</si>
  <si>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</si>
  <si>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</si>
  <si>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</si>
  <si>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</si>
  <si>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</si>
  <si>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</si>
  <si>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</si>
  <si>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</si>
  <si>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</si>
  <si>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</si>
  <si>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</si>
  <si>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</si>
  <si>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</si>
  <si>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</si>
  <si>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</si>
  <si>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</si>
  <si>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</si>
  <si>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</si>
  <si>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</si>
  <si>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</si>
  <si>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</si>
  <si>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</si>
  <si>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</si>
  <si>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</si>
  <si>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</si>
  <si>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</si>
  <si>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</si>
  <si>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</si>
  <si>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</si>
  <si>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</si>
  <si>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</si>
  <si>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</si>
  <si>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</si>
  <si>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</si>
  <si>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</si>
  <si>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</si>
  <si>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</si>
  <si>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</si>
  <si>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</si>
  <si>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</si>
  <si>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</si>
  <si>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</si>
  <si>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</si>
  <si>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</si>
  <si>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</si>
  <si>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</si>
  <si>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</si>
  <si>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</si>
  <si>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</si>
  <si>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</si>
  <si>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</si>
  <si>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</si>
  <si>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</si>
  <si>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</si>
  <si>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</si>
  <si>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</si>
  <si>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</si>
  <si>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</si>
  <si>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</si>
  <si>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</si>
  <si>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</si>
  <si>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</si>
  <si>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</si>
  <si>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</si>
  <si>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</si>
  <si>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</si>
  <si>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</si>
  <si>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</si>
  <si>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</si>
  <si>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</si>
  <si>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</si>
  <si>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</si>
  <si>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</si>
  <si>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</si>
  <si>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</si>
  <si>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</si>
  <si>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</si>
  <si>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</si>
  <si>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</si>
  <si>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</si>
  <si>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</si>
  <si>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</si>
  <si>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</si>
  <si>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</si>
  <si>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</si>
  <si>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</si>
  <si>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</si>
  <si>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</si>
  <si>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</si>
  <si>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</si>
  <si>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</si>
  <si>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</si>
  <si>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</si>
  <si>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</si>
  <si>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</si>
  <si>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</si>
  <si>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</si>
  <si>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</si>
  <si>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</si>
  <si>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</si>
  <si>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</si>
  <si>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</si>
  <si>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</si>
  <si>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</si>
  <si>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</si>
  <si>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</si>
  <si>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</si>
  <si>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</si>
  <si>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</si>
  <si>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</si>
  <si>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</si>
  <si>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</si>
  <si>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</si>
  <si>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</si>
  <si>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</si>
  <si>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</si>
  <si>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</si>
  <si>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</si>
  <si>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</si>
  <si>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</si>
  <si>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</si>
  <si>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</si>
  <si>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</si>
  <si>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</si>
  <si>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</si>
  <si>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</si>
  <si>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</si>
  <si>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</si>
  <si>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</si>
  <si>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</si>
  <si>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</si>
  <si>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</si>
  <si>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</si>
  <si>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</si>
  <si>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</si>
  <si>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</si>
  <si>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</si>
  <si>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</si>
  <si>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</si>
  <si>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</si>
  <si>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</si>
  <si>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</si>
  <si>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</si>
  <si>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</si>
  <si>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</si>
  <si>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</si>
  <si>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</si>
  <si>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</si>
  <si>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</si>
  <si>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</si>
  <si>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</si>
  <si>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</si>
  <si>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</si>
  <si>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</si>
  <si>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</si>
  <si>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</si>
  <si>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</si>
  <si>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</si>
  <si>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</si>
  <si>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</si>
  <si>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</si>
  <si>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</si>
  <si>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</si>
  <si>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</si>
  <si>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</si>
  <si>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</si>
  <si>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</si>
  <si>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</si>
  <si>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</si>
  <si>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</si>
  <si>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</si>
  <si>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</si>
  <si>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</si>
  <si>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</si>
  <si>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</si>
  <si>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</si>
  <si>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</si>
  <si>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</si>
  <si>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</si>
  <si>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</si>
  <si>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</si>
  <si>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</si>
  <si>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</si>
  <si>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</si>
  <si>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</si>
  <si>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</si>
  <si>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</si>
  <si>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</si>
  <si>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</si>
  <si>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</si>
  <si>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</si>
  <si>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</si>
  <si>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</si>
  <si>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</si>
  <si>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</si>
  <si>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</si>
  <si>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</si>
  <si>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</si>
  <si>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</si>
  <si>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</si>
  <si>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</si>
  <si>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</si>
  <si>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</si>
  <si>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</si>
  <si>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</si>
  <si>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</si>
  <si>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</si>
  <si>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</si>
  <si>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</si>
  <si>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</si>
  <si>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</si>
  <si>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</si>
  <si>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</si>
  <si>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</si>
  <si>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</si>
  <si>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</si>
  <si>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</si>
  <si>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</si>
  <si>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</si>
  <si>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</si>
  <si>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</si>
  <si>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</si>
  <si>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</si>
  <si>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</si>
  <si>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</si>
  <si>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</si>
  <si>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</si>
  <si>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</si>
  <si>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</si>
  <si>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</si>
  <si>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</si>
  <si>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</si>
  <si>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</si>
  <si>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</si>
  <si>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</si>
  <si>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</si>
  <si>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</si>
  <si>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</si>
  <si>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</si>
  <si>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</si>
  <si>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</si>
  <si>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</si>
  <si>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</si>
  <si>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</si>
  <si>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</si>
  <si>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</si>
  <si>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</si>
  <si>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</si>
  <si>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</si>
  <si>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</si>
  <si>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</si>
  <si>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</si>
  <si>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</si>
  <si>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</si>
  <si>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</si>
  <si>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</si>
  <si>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</si>
  <si>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</si>
  <si>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</si>
  <si>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</si>
  <si>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</si>
  <si>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</si>
  <si>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</si>
  <si>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</si>
  <si>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</si>
  <si>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</si>
  <si>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</si>
  <si>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</si>
  <si>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</si>
  <si>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</si>
  <si>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</si>
  <si>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</si>
  <si>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</si>
  <si>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</si>
  <si>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</si>
  <si>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</si>
  <si>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</si>
  <si>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</si>
  <si>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</si>
  <si>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</si>
  <si>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</si>
  <si>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</si>
  <si>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</si>
  <si>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</si>
  <si>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</si>
  <si>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</si>
  <si>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</si>
  <si>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</si>
  <si>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</si>
  <si>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</si>
  <si>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</si>
  <si>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</si>
  <si>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</si>
  <si>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</si>
  <si>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</si>
  <si>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</si>
  <si>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</si>
  <si>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</si>
  <si>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</si>
  <si>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</si>
  <si>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</si>
  <si>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</si>
  <si>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</si>
  <si>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</si>
  <si>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</si>
  <si>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</si>
  <si>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</si>
  <si>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</si>
  <si>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</si>
  <si>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</si>
  <si>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</si>
  <si>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</si>
  <si>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</si>
  <si>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</si>
  <si>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</si>
  <si>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</si>
  <si>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</si>
  <si>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</si>
  <si>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</si>
  <si>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</si>
  <si>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</si>
  <si>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</si>
  <si>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</si>
  <si>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</si>
  <si>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</si>
  <si>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</si>
  <si>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</si>
  <si>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</si>
  <si>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</si>
  <si>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</si>
  <si>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</si>
  <si>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</si>
  <si>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</si>
  <si>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</si>
  <si>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</si>
  <si>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</si>
  <si>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</si>
  <si>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</si>
  <si>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</si>
  <si>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</si>
  <si>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</si>
  <si>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</si>
  <si>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</si>
  <si>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</si>
  <si>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</si>
  <si>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</si>
  <si>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</si>
  <si>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</si>
  <si>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</si>
  <si>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</si>
  <si>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</si>
  <si>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</si>
  <si>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</si>
  <si>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</si>
  <si>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</si>
  <si>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</si>
  <si>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</si>
  <si>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</si>
  <si>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</si>
  <si>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</si>
  <si>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</si>
  <si>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</si>
  <si>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</si>
  <si>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</si>
  <si>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</si>
  <si>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</si>
  <si>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</si>
  <si>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</si>
  <si>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</si>
  <si>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</si>
  <si>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</si>
  <si>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</si>
  <si>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</si>
  <si>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</si>
  <si>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</si>
  <si>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</si>
  <si>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</si>
  <si>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</si>
  <si>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</si>
  <si>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</si>
  <si>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</si>
  <si>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</si>
  <si>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</si>
  <si>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</si>
  <si>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</si>
  <si>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</si>
  <si>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</si>
  <si>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</si>
  <si>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</si>
  <si>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</si>
  <si>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</si>
  <si>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</si>
  <si>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</si>
  <si>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</si>
  <si>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</si>
  <si>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</si>
  <si>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</si>
  <si>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</si>
  <si>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</si>
  <si>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</si>
  <si>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</si>
  <si>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</si>
  <si>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</si>
  <si>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</si>
  <si>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</si>
  <si>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</si>
  <si>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</si>
  <si>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</si>
  <si>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</si>
  <si>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</si>
  <si>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</si>
  <si>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</si>
  <si>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</si>
  <si>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</si>
  <si>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</si>
  <si>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</si>
  <si>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</si>
  <si>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</si>
  <si>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</si>
  <si>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</si>
  <si>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</si>
  <si>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</si>
  <si>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</si>
  <si>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</si>
  <si>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</si>
  <si>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</si>
  <si>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</si>
  <si>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</si>
  <si>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</si>
  <si>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</si>
  <si>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</si>
  <si>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</si>
  <si>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</si>
  <si>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</si>
  <si>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</si>
  <si>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</si>
  <si>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</si>
  <si>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</si>
  <si>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</si>
  <si>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</si>
  <si>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</si>
  <si>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</si>
  <si>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</si>
  <si>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</si>
  <si>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</si>
  <si>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</si>
  <si>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</si>
  <si>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</si>
  <si>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</si>
  <si>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</si>
  <si>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</si>
  <si>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</si>
  <si>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</si>
  <si>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</si>
  <si>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</si>
  <si>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</si>
  <si>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</si>
  <si>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</si>
  <si>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</si>
  <si>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</si>
  <si>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</si>
  <si>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</si>
  <si>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</si>
  <si>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</si>
  <si>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</si>
  <si>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</si>
  <si>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</si>
  <si>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</si>
  <si>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</si>
  <si>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</si>
  <si>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</si>
  <si>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</si>
  <si>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</si>
  <si>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</si>
  <si>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</si>
  <si>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</si>
  <si>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</si>
  <si>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</si>
  <si>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</si>
  <si>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</si>
  <si>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</si>
  <si>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</si>
  <si>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</si>
  <si>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</si>
  <si>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</si>
  <si>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</si>
  <si>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</si>
  <si>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</si>
  <si>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</si>
  <si>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</si>
  <si>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</si>
  <si>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</si>
  <si>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</si>
  <si>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</si>
  <si>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</si>
  <si>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</si>
  <si>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</si>
  <si>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</si>
  <si>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</si>
  <si>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</si>
  <si>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</si>
  <si>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</si>
  <si>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</si>
  <si>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</si>
  <si>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</si>
  <si>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</si>
  <si>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</si>
  <si>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</si>
  <si>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</si>
  <si>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</si>
  <si>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</si>
  <si>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</si>
  <si>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</si>
  <si>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</si>
  <si>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</si>
  <si>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</si>
  <si>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</si>
  <si>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</si>
  <si>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</si>
  <si>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</si>
  <si>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</si>
  <si>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</si>
  <si>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</si>
  <si>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</si>
  <si>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</si>
  <si>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</si>
  <si>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</si>
  <si>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</si>
  <si>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</si>
  <si>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</si>
  <si>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</si>
  <si>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</si>
  <si>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</si>
  <si>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</si>
  <si>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</si>
  <si>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</si>
  <si>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</si>
  <si>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</si>
  <si>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</si>
  <si>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</si>
  <si>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</si>
  <si>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</si>
  <si>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</si>
  <si>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</si>
  <si>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</si>
  <si>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</si>
  <si>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</si>
  <si>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</si>
  <si>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</si>
  <si>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</si>
  <si>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</si>
  <si>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</si>
  <si>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</si>
  <si>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</si>
  <si>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</si>
  <si>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</si>
  <si>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</si>
  <si>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</si>
  <si>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</si>
  <si>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</si>
  <si>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</si>
  <si>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</si>
  <si>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</si>
  <si>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</si>
  <si>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</si>
  <si>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</si>
  <si>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</si>
  <si>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</si>
  <si>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</si>
  <si>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</si>
  <si>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</si>
  <si>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</si>
  <si>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</si>
  <si>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</si>
  <si>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</si>
  <si>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</si>
  <si>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</si>
  <si>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</si>
  <si>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</si>
  <si>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</si>
  <si>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</si>
  <si>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</si>
  <si>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</si>
  <si>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</si>
  <si>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</si>
  <si>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</si>
  <si>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</si>
  <si>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</si>
  <si>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</si>
  <si>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</si>
  <si>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</si>
  <si>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</si>
  <si>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</si>
  <si>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</si>
  <si>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</si>
  <si>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</si>
  <si>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</si>
  <si>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</si>
  <si>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</si>
  <si>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</si>
  <si>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</si>
  <si>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</si>
  <si>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</si>
  <si>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</si>
  <si>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</si>
  <si>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</si>
  <si>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</si>
  <si>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</si>
  <si>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</si>
  <si>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</si>
  <si>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</si>
  <si>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</si>
  <si>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</si>
  <si>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</si>
  <si>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</si>
  <si>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</si>
  <si>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</si>
  <si>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</si>
  <si>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</si>
  <si>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</si>
  <si>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</si>
  <si>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</si>
  <si>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</si>
  <si>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</si>
  <si>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</si>
  <si>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</si>
  <si>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</si>
  <si>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</si>
  <si>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</si>
  <si>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</si>
  <si>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</si>
  <si>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</si>
  <si>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</si>
  <si>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</si>
  <si>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</si>
  <si>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</si>
  <si>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</si>
  <si>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</si>
  <si>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</si>
  <si>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</si>
  <si>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</si>
  <si>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</si>
  <si>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</si>
  <si>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</si>
  <si>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</si>
  <si>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</si>
  <si>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</si>
  <si>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</si>
  <si>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</si>
  <si>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</si>
  <si>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</si>
  <si>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</si>
  <si>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</si>
  <si>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</si>
  <si>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</si>
  <si>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</si>
  <si>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</si>
  <si>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</si>
  <si>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</si>
  <si>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</si>
  <si>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</si>
  <si>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</si>
  <si>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</si>
  <si>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</si>
  <si>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</si>
  <si>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</si>
  <si>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</si>
  <si>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</si>
  <si>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</si>
  <si>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</si>
  <si>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</si>
  <si>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</si>
  <si>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</si>
  <si>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</si>
  <si>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</si>
  <si>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</si>
  <si>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</si>
  <si>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</si>
  <si>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</si>
  <si>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</si>
  <si>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</si>
  <si>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</si>
  <si>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</si>
  <si>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</si>
  <si>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</si>
  <si>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</si>
  <si>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</si>
  <si>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</si>
  <si>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</si>
  <si>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</si>
  <si>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</si>
  <si>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</si>
  <si>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</si>
  <si>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</si>
  <si>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</si>
  <si>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</si>
  <si>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</si>
  <si>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</si>
  <si>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</si>
  <si>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</si>
  <si>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</si>
  <si>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</si>
  <si>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</si>
  <si>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</si>
  <si>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</si>
  <si>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</si>
  <si>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</si>
  <si>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</si>
  <si>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</si>
  <si>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</si>
  <si>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</si>
  <si>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</si>
  <si>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</si>
  <si>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</si>
  <si>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</si>
  <si>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</si>
  <si>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</si>
  <si>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</si>
  <si>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</si>
  <si>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</si>
  <si>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</si>
  <si>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</si>
  <si>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</si>
  <si>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</si>
  <si>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</si>
  <si>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</si>
  <si>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</si>
  <si>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</si>
  <si>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</si>
  <si>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</si>
  <si>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</si>
  <si>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</si>
  <si>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</si>
  <si>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</si>
  <si>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</si>
  <si>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</si>
  <si>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</si>
  <si>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</si>
  <si>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</si>
  <si>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</si>
  <si>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</si>
  <si>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</si>
  <si>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</si>
  <si>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</si>
  <si>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</si>
  <si>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</si>
  <si>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</si>
  <si>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</si>
  <si>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</si>
  <si>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</si>
  <si>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</si>
  <si>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</si>
  <si>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</si>
  <si>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</si>
  <si>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</si>
  <si>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</si>
  <si>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</si>
  <si>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</si>
  <si>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</si>
  <si>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</si>
  <si>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</si>
  <si>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</si>
  <si>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</si>
  <si>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</si>
  <si>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</si>
  <si>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</si>
  <si>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</si>
  <si>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</si>
  <si>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</si>
  <si>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</si>
  <si>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</si>
  <si>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</si>
  <si>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</si>
  <si>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</si>
  <si>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</si>
  <si>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</si>
  <si>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</si>
  <si>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</si>
  <si>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</si>
  <si>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</si>
  <si>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</si>
  <si>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</si>
  <si>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</si>
  <si>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</si>
  <si>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</si>
  <si>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</si>
  <si>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</si>
  <si>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</si>
  <si>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</si>
  <si>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</si>
  <si>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</si>
  <si>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</si>
  <si>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</si>
  <si>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</si>
  <si>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</si>
  <si>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</si>
  <si>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</si>
  <si>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</si>
  <si>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</si>
  <si>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</si>
  <si>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</si>
  <si>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</si>
  <si>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</si>
  <si>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</si>
  <si>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</si>
  <si>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</si>
  <si>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</si>
  <si>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</si>
  <si>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</si>
  <si>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</si>
  <si>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</si>
  <si>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</si>
  <si>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</si>
  <si>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</si>
  <si>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</si>
  <si>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</si>
  <si>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</si>
  <si>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</si>
  <si>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</si>
  <si>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</si>
  <si>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</si>
  <si>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</si>
  <si>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</si>
  <si>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</si>
  <si>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</si>
  <si>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</si>
  <si>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</si>
  <si>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</si>
  <si>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</si>
  <si>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</si>
  <si>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</si>
  <si>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</si>
  <si>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</si>
  <si>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</si>
  <si>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</si>
  <si>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</si>
  <si>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</si>
  <si>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</si>
  <si>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</si>
  <si>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</si>
  <si>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</si>
  <si>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</si>
  <si>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</si>
  <si>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</si>
  <si>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</si>
  <si>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</si>
  <si>
    <t>价值时点</t>
  </si>
  <si>
    <t>法定最高/出让年限</t>
  </si>
  <si>
    <t>不同年限间价值的换算</t>
  </si>
  <si>
    <t>年限</t>
  </si>
  <si>
    <t>N</t>
  </si>
  <si>
    <t>n</t>
  </si>
  <si>
    <t>已知V（N），求取V（n）</t>
    <phoneticPr fontId="3" type="noConversion"/>
  </si>
  <si>
    <t>已知V（n），求取V（N）</t>
    <phoneticPr fontId="3" type="noConversion"/>
  </si>
  <si>
    <t>终止日期</t>
  </si>
  <si>
    <t>剩余土地使用年限</t>
  </si>
  <si>
    <t>年期修正系数</t>
  </si>
  <si>
    <t>报酬率-土地</t>
  </si>
  <si>
    <t>K(N)</t>
  </si>
  <si>
    <t>K(n)</t>
  </si>
  <si>
    <t>Y（N）</t>
  </si>
  <si>
    <t>Y（n）</t>
  </si>
  <si>
    <t>V（N）</t>
  </si>
  <si>
    <t>V（n）</t>
  </si>
  <si>
    <t>V（N）</t>
    <phoneticPr fontId="3" type="noConversion"/>
  </si>
  <si>
    <t>V（n）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</si>
</sst>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1" fontId="58" fillId="5" borderId="1" xfId="2" applyNumberFormat="1"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0" fontId="160" fillId="0" borderId="0" xfId="0" applyFont="1" applyAlignment="1"/>
    <xf numFmtId="0" fontId="282" fillId="5" borderId="26" xfId="0" applyFont="1" applyFill="1" applyBorder="1" applyAlignment="1">
      <alignment vertical="center"/>
    </xf>
    <xf numFmtId="0" fontId="84" fillId="5" borderId="1" xfId="0" applyFont="1" applyFill="1" applyBorder="1" applyAlignment="1">
      <alignment horizontal="center"/>
    </xf>
    <xf numFmtId="0" fontId="84" fillId="5" borderId="43" xfId="0" applyFont="1" applyFill="1" applyBorder="1" applyAlignment="1">
      <alignment horizontal="center"/>
    </xf>
    <xf numFmtId="0" fontId="144" fillId="5" borderId="0" xfId="0" applyFont="1" applyFill="1" applyBorder="1" applyAlignment="1">
      <alignment horizontal="left"/>
    </xf>
    <xf numFmtId="0" fontId="84" fillId="5" borderId="6" xfId="0" applyFont="1" applyFill="1" applyBorder="1" applyAlignment="1">
      <alignment horizontal="center"/>
    </xf>
    <xf numFmtId="0" fontId="84" fillId="5" borderId="44" xfId="0" applyFont="1" applyFill="1" applyBorder="1" applyAlignment="1">
      <alignment horizontal="center"/>
    </xf>
    <xf numFmtId="184" fontId="71" fillId="0" borderId="34"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160" fillId="5" borderId="39" xfId="0" applyFont="1" applyFill="1" applyBorder="1" applyAlignment="1">
      <alignment vertical="center"/>
    </xf>
    <xf numFmtId="0" fontId="149" fillId="0" borderId="6" xfId="0" applyFont="1" applyBorder="1" applyAlignment="1" applyProtection="1">
      <alignment horizontal="center"/>
      <protection locked="0"/>
    </xf>
    <xf numFmtId="0" fontId="149" fillId="0" borderId="44" xfId="0" applyFont="1" applyBorder="1" applyAlignment="1" applyProtection="1">
      <alignment horizontal="center"/>
      <protection locked="0"/>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5" borderId="44" xfId="0" applyFont="1" applyFill="1" applyBorder="1" applyAlignment="1">
      <alignment horizontal="center"/>
    </xf>
    <xf numFmtId="0" fontId="160" fillId="5" borderId="0" xfId="0" applyFont="1" applyFill="1" applyAlignment="1"/>
    <xf numFmtId="0" fontId="149" fillId="5" borderId="46" xfId="0" applyFont="1" applyFill="1" applyBorder="1" applyAlignment="1">
      <alignment horizontal="center"/>
    </xf>
    <xf numFmtId="180" fontId="52" fillId="5" borderId="6" xfId="0" applyNumberFormat="1" applyFont="1" applyFill="1" applyBorder="1" applyAlignment="1" applyProtection="1">
      <alignment horizontal="center" vertical="center" wrapText="1"/>
    </xf>
    <xf numFmtId="180" fontId="84" fillId="5" borderId="44" xfId="2" applyNumberFormat="1" applyFont="1" applyFill="1" applyBorder="1" applyAlignment="1" applyProtection="1">
      <alignment horizontal="center" vertical="center"/>
    </xf>
    <xf numFmtId="0" fontId="160" fillId="0" borderId="0" xfId="0" applyFont="1" applyAlignment="1">
      <alignment vertical="center"/>
    </xf>
    <xf numFmtId="0" fontId="160" fillId="5" borderId="36" xfId="0" applyFont="1" applyFill="1" applyBorder="1" applyAlignment="1"/>
    <xf numFmtId="0" fontId="149" fillId="5" borderId="0" xfId="0" applyFont="1" applyFill="1" applyAlignment="1"/>
    <xf numFmtId="0" fontId="149" fillId="0" borderId="0" xfId="0" applyFont="1" applyAlignment="1"/>
    <xf numFmtId="181" fontId="84" fillId="5" borderId="44" xfId="2" applyNumberFormat="1" applyFont="1" applyFill="1" applyBorder="1" applyAlignment="1" applyProtection="1">
      <alignment horizontal="center" vertical="center"/>
    </xf>
    <xf numFmtId="0" fontId="58" fillId="5" borderId="37" xfId="0" applyFont="1" applyFill="1" applyBorder="1" applyAlignment="1">
      <alignment horizontal="right" vertical="center"/>
    </xf>
    <xf numFmtId="0" fontId="52" fillId="5" borderId="7" xfId="0" applyFont="1" applyFill="1" applyBorder="1" applyAlignment="1" applyProtection="1">
      <alignment horizontal="center" vertical="center" wrapText="1"/>
    </xf>
    <xf numFmtId="182" fontId="149" fillId="0" borderId="12" xfId="0" applyNumberFormat="1" applyFont="1" applyFill="1" applyBorder="1" applyAlignment="1" applyProtection="1">
      <alignment horizontal="center" vertical="center"/>
      <protection locked="0"/>
    </xf>
    <xf numFmtId="182" fontId="149" fillId="0" borderId="46" xfId="0" applyNumberFormat="1" applyFont="1" applyFill="1" applyBorder="1" applyAlignment="1" applyProtection="1">
      <alignment horizontal="center" vertical="center"/>
      <protection locked="0"/>
    </xf>
    <xf numFmtId="0" fontId="58" fillId="5" borderId="38" xfId="0" applyFont="1" applyFill="1" applyBorder="1" applyAlignment="1">
      <alignment horizontal="right" vertical="center"/>
    </xf>
    <xf numFmtId="0" fontId="84" fillId="5" borderId="7" xfId="0" applyFont="1" applyFill="1" applyBorder="1" applyAlignment="1"/>
    <xf numFmtId="0" fontId="84" fillId="5" borderId="46" xfId="0" applyFont="1" applyFill="1" applyBorder="1" applyAlignment="1"/>
    <xf numFmtId="182" fontId="149" fillId="0" borderId="6" xfId="0" applyNumberFormat="1" applyFont="1" applyBorder="1" applyAlignment="1" applyProtection="1">
      <alignment horizontal="center"/>
      <protection locked="0"/>
    </xf>
    <xf numFmtId="182" fontId="149" fillId="0" borderId="44" xfId="0" applyNumberFormat="1" applyFont="1" applyBorder="1" applyAlignment="1" applyProtection="1">
      <alignment horizontal="center"/>
      <protection locked="0"/>
    </xf>
    <xf numFmtId="0" fontId="160" fillId="0" borderId="0" xfId="4" applyFont="1"/>
    <xf numFmtId="0" fontId="153" fillId="0" borderId="7" xfId="0" applyFont="1" applyFill="1" applyBorder="1" applyAlignment="1" applyProtection="1">
      <alignment horizont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41299</v>
          </cell>
          <cell r="D14">
            <v>23460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5680</v>
      </c>
    </row>
    <row r="47" spans="1:2">
      <c r="A47" s="2877" t="s">
        <v>2721</v>
      </c>
      <c r="B47" s="2878">
        <f ca="1">'预评函-2'!Q5</f>
        <v>3787</v>
      </c>
    </row>
    <row r="48" spans="1:2">
      <c r="A48" s="2877" t="s">
        <v>2722</v>
      </c>
      <c r="B48" s="2878">
        <f ca="1">'预评函-2'!R5</f>
        <v>38639</v>
      </c>
    </row>
    <row r="49" spans="1:2">
      <c r="A49" s="2877" t="s">
        <v>2738</v>
      </c>
      <c r="B49" s="2878" t="str">
        <f>'预评函-2'!A6</f>
        <v>抵押价格</v>
      </c>
    </row>
    <row r="50" spans="1:2">
      <c r="A50" s="2877" t="s">
        <v>2723</v>
      </c>
      <c r="B50" s="2878">
        <f ca="1">'预评函-2'!R6</f>
        <v>38639</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24" t="str">
        <f>IF(B10="北京市","北京市",C10)&amp;F10&amp;B16&amp;"国有建设用地使用权"&amp;B9&amp;"预评估"</f>
        <v>重庆两江新区航悦项目E01-04-02出让国有建设用地使用权抵押价格预评估</v>
      </c>
      <c r="C1" s="3325"/>
      <c r="D1" s="3325"/>
      <c r="E1" s="3325"/>
      <c r="F1" s="3325"/>
      <c r="G1" s="3325"/>
      <c r="H1" s="3325"/>
      <c r="I1" s="3326"/>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30"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31"/>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27"/>
      <c r="C12" s="3328"/>
      <c r="D12" s="3329"/>
      <c r="E12" s="1697" t="s">
        <v>2062</v>
      </c>
      <c r="F12" s="3345" t="s">
        <v>2886</v>
      </c>
      <c r="G12" s="3346"/>
      <c r="H12" s="3346"/>
      <c r="I12" s="3347"/>
      <c r="J12" s="1692"/>
      <c r="K12" s="1772"/>
      <c r="L12" s="1721"/>
      <c r="M12" s="1721"/>
      <c r="N12" s="1692"/>
      <c r="O12" s="1693"/>
      <c r="P12" s="1692"/>
      <c r="Q12" s="1692"/>
      <c r="R12" s="1692"/>
      <c r="S12" s="1692"/>
      <c r="T12" s="1692"/>
      <c r="U12" s="1692"/>
    </row>
    <row r="13" spans="1:21">
      <c r="A13" s="1685" t="s">
        <v>2060</v>
      </c>
      <c r="B13" s="3327"/>
      <c r="C13" s="3328"/>
      <c r="D13" s="3329"/>
      <c r="E13" s="1697" t="s">
        <v>2062</v>
      </c>
      <c r="F13" s="3345" t="s">
        <v>2887</v>
      </c>
      <c r="G13" s="3346"/>
      <c r="H13" s="3346"/>
      <c r="I13" s="3347"/>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42"/>
      <c r="E20" s="3343"/>
      <c r="F20" s="3343"/>
      <c r="G20" s="3343"/>
      <c r="H20" s="3343"/>
      <c r="I20" s="3344"/>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332" t="s">
        <v>1999</v>
      </c>
      <c r="F21" s="3333"/>
      <c r="G21" s="3333"/>
      <c r="H21" s="3333"/>
      <c r="I21" s="3334"/>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332" t="s">
        <v>2888</v>
      </c>
      <c r="F22" s="3333"/>
      <c r="G22" s="3333"/>
      <c r="H22" s="3333"/>
      <c r="I22" s="3334"/>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35" t="s">
        <v>1967</v>
      </c>
      <c r="C24" s="3336"/>
      <c r="D24" s="3337" t="s">
        <v>1968</v>
      </c>
      <c r="E24" s="3338"/>
      <c r="F24" s="1706" t="s">
        <v>1969</v>
      </c>
      <c r="G24" s="1692"/>
      <c r="H24" s="1692"/>
      <c r="I24" s="1705"/>
      <c r="J24" s="1692"/>
      <c r="K24" s="3323"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09" t="s">
        <v>2002</v>
      </c>
      <c r="B31" s="1762" t="s">
        <v>2003</v>
      </c>
      <c r="C31" s="3348" t="s">
        <v>3000</v>
      </c>
      <c r="D31" s="3349"/>
      <c r="E31" s="1692"/>
      <c r="F31" s="1692"/>
      <c r="G31" s="1692"/>
      <c r="H31" s="1692"/>
      <c r="I31" s="1705"/>
      <c r="J31" s="1692"/>
      <c r="K31" s="2457"/>
      <c r="L31" s="1692"/>
      <c r="M31" s="1692"/>
      <c r="N31" s="1692"/>
      <c r="O31" s="1692"/>
      <c r="P31" s="1692"/>
      <c r="Q31" s="1692"/>
      <c r="R31" s="1692"/>
      <c r="S31" s="1692"/>
      <c r="T31" s="1692"/>
      <c r="U31" s="1692"/>
    </row>
    <row r="32" spans="1:21">
      <c r="A32" s="3309"/>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09"/>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10"/>
      <c r="B34" s="1659" t="s">
        <v>2006</v>
      </c>
      <c r="C34" s="3311"/>
      <c r="D34" s="3312"/>
      <c r="E34" s="1692"/>
      <c r="F34" s="1692"/>
      <c r="G34" s="1692"/>
      <c r="H34" s="1692"/>
      <c r="I34" s="1705"/>
      <c r="J34" s="1692"/>
      <c r="K34" s="2457"/>
      <c r="L34" s="1692"/>
      <c r="M34" s="1692"/>
      <c r="N34" s="1692"/>
      <c r="O34" s="1692"/>
      <c r="P34" s="1692"/>
      <c r="Q34" s="1692"/>
      <c r="R34" s="1692"/>
      <c r="S34" s="1692"/>
      <c r="T34" s="1692"/>
      <c r="U34" s="1692"/>
    </row>
    <row r="35" spans="1:21">
      <c r="A35" s="3313" t="s">
        <v>846</v>
      </c>
      <c r="B35" s="1720" t="s">
        <v>3003</v>
      </c>
      <c r="C35" s="1774" t="str">
        <f>IF(B35="场地平整","——","具体情况：")</f>
        <v>——</v>
      </c>
      <c r="D35" s="3315"/>
      <c r="E35" s="3316"/>
      <c r="F35" s="3316"/>
      <c r="G35" s="3316"/>
      <c r="H35" s="3316"/>
      <c r="I35" s="3317"/>
      <c r="J35" s="1692"/>
      <c r="K35" s="1773"/>
      <c r="L35" s="1721"/>
      <c r="M35" s="1721"/>
      <c r="N35" s="1692"/>
      <c r="O35" s="1693"/>
      <c r="P35" s="1692"/>
      <c r="Q35" s="1692"/>
      <c r="R35" s="1692"/>
      <c r="S35" s="1692"/>
      <c r="T35" s="1692"/>
      <c r="U35" s="1692"/>
    </row>
    <row r="36" spans="1:21">
      <c r="A36" s="3309"/>
      <c r="B36" s="3318" t="s">
        <v>2055</v>
      </c>
      <c r="C36" s="3319"/>
      <c r="D36" s="1790" t="s">
        <v>3004</v>
      </c>
      <c r="E36" s="3320"/>
      <c r="F36" s="3320"/>
      <c r="G36" s="1685" t="str">
        <f>IF(B35="场地未平整","估价结果处理","")</f>
        <v/>
      </c>
      <c r="H36" s="3321"/>
      <c r="I36" s="3321"/>
      <c r="J36" s="1692"/>
      <c r="K36" s="1773"/>
      <c r="L36" s="1721"/>
      <c r="M36" s="1721"/>
      <c r="N36" s="1692"/>
      <c r="O36" s="1693"/>
      <c r="P36" s="1692"/>
      <c r="Q36" s="1692"/>
      <c r="R36" s="1692"/>
      <c r="S36" s="1692"/>
      <c r="T36" s="1692"/>
      <c r="U36" s="1692"/>
    </row>
    <row r="37" spans="1:21" ht="31.2">
      <c r="A37" s="3309"/>
      <c r="B37" s="3339"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09"/>
      <c r="B38" s="3340"/>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10"/>
      <c r="B39" s="334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22" t="s">
        <v>1986</v>
      </c>
      <c r="T40" s="1729" t="str">
        <f>NUMBERSTRING(7-K40,1)&amp;"通"</f>
        <v>七通</v>
      </c>
      <c r="U40" s="1692"/>
    </row>
    <row r="41" spans="1:21">
      <c r="A41" s="1661"/>
      <c r="B41" s="3314" t="s">
        <v>1720</v>
      </c>
      <c r="C41" s="3314"/>
      <c r="D41" s="3314"/>
      <c r="E41" s="331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22"/>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46.8">
      <c r="A3" s="3350"/>
      <c r="B3" s="3350"/>
      <c r="C3" s="3350"/>
      <c r="D3" s="3351"/>
      <c r="E3" s="335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61" t="s">
        <v>202</v>
      </c>
      <c r="B2" s="3361"/>
      <c r="C2" s="3361"/>
      <c r="D2" s="1974" t="s">
        <v>203</v>
      </c>
      <c r="E2" s="106" t="s">
        <v>204</v>
      </c>
      <c r="F2" s="1983"/>
      <c r="G2" s="1198"/>
      <c r="H2" s="1199"/>
      <c r="I2" s="1200" t="s">
        <v>856</v>
      </c>
      <c r="J2" s="1983"/>
      <c r="K2" s="1983"/>
      <c r="L2" s="1983"/>
    </row>
    <row r="3" spans="1:16" ht="15" thickBot="1">
      <c r="A3" s="3362" t="s">
        <v>205</v>
      </c>
      <c r="B3" s="3362"/>
      <c r="C3" s="3362"/>
      <c r="D3" s="107">
        <f>'数据-基础表'!AY6</f>
        <v>68029</v>
      </c>
      <c r="E3" s="107">
        <f>'数据-基础表'!AZ5</f>
        <v>102043.5</v>
      </c>
      <c r="F3" s="1983"/>
      <c r="G3" s="280" t="s">
        <v>857</v>
      </c>
      <c r="H3" s="275" t="s">
        <v>858</v>
      </c>
      <c r="I3" s="1975">
        <f>ROUND('数据-基础表'!B3/'数据-基础表'!A3,2)</f>
        <v>1.5</v>
      </c>
      <c r="J3" s="1983"/>
      <c r="K3" s="1983"/>
      <c r="L3" s="1983"/>
    </row>
    <row r="4" spans="1:16" ht="14.4">
      <c r="A4" s="3363"/>
      <c r="B4" s="3364"/>
      <c r="C4" s="3365"/>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6" t="s">
        <v>229</v>
      </c>
      <c r="C5" s="336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66" t="s">
        <v>207</v>
      </c>
      <c r="C6" s="3366"/>
      <c r="D6" s="111">
        <f>ROUND($D$3*E6/$E$3,2)</f>
        <v>13605.8</v>
      </c>
      <c r="E6" s="112">
        <f>E3-E5</f>
        <v>20408.699999999997</v>
      </c>
      <c r="F6" s="1983"/>
      <c r="G6" s="1201"/>
      <c r="H6" s="275" t="s">
        <v>859</v>
      </c>
      <c r="I6" s="1975">
        <f>ROUND(F31/D31,2)</f>
        <v>1.5</v>
      </c>
      <c r="J6" s="1983"/>
      <c r="K6" s="1983"/>
      <c r="L6" s="1983"/>
    </row>
    <row r="7" spans="1:16" ht="14.4">
      <c r="A7" s="3358"/>
      <c r="B7" s="3359"/>
      <c r="C7" s="3360"/>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52" t="s">
        <v>2564</v>
      </c>
      <c r="L16" s="3353"/>
      <c r="M16" s="3353"/>
      <c r="N16" s="3353"/>
      <c r="O16" s="3353"/>
      <c r="P16" s="3354"/>
    </row>
    <row r="17" spans="1:19" ht="14.4">
      <c r="A17" s="121" t="s">
        <v>215</v>
      </c>
      <c r="B17" s="122" t="s">
        <v>216</v>
      </c>
      <c r="C17" s="2297" t="s">
        <v>2313</v>
      </c>
      <c r="D17" s="108" t="s">
        <v>203</v>
      </c>
      <c r="E17" s="124" t="s">
        <v>204</v>
      </c>
      <c r="F17" s="125"/>
      <c r="G17" s="1365"/>
      <c r="H17" s="970" t="s">
        <v>217</v>
      </c>
      <c r="I17" s="971" t="s">
        <v>2312</v>
      </c>
      <c r="J17" s="1983"/>
      <c r="K17" s="3355" t="s">
        <v>2565</v>
      </c>
      <c r="L17" s="3356"/>
      <c r="M17" s="3357"/>
      <c r="N17" s="3355" t="s">
        <v>2566</v>
      </c>
      <c r="O17" s="3356"/>
      <c r="P17" s="3357"/>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8" sqref="L8"/>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2800</v>
      </c>
      <c r="M6" s="177">
        <f t="shared" ref="M6:M14" si="0">ROUND(K6*L6/10000,0)</f>
        <v>22858</v>
      </c>
      <c r="N6" s="3025">
        <v>0</v>
      </c>
      <c r="O6" s="177">
        <f>IF($N$5="成新度","——",ROUND(M6*N6,0))</f>
        <v>0</v>
      </c>
      <c r="P6" s="178">
        <f>IF($N$5="成新度","——",M6-O6)</f>
        <v>22858</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2800</v>
      </c>
      <c r="M7" s="177">
        <f t="shared" si="0"/>
        <v>5714</v>
      </c>
      <c r="N7" s="3025">
        <v>0</v>
      </c>
      <c r="O7" s="177">
        <f t="shared" ref="O7:O14" si="3">IF($N$5="成新度","——",ROUND(M7*N7,0))</f>
        <v>0</v>
      </c>
      <c r="P7" s="178">
        <f t="shared" ref="P7:P14" si="4">IF($N$5="成新度","——",M7-O7)</f>
        <v>5714</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2800</v>
      </c>
      <c r="M16" s="206">
        <f>SUM(M6:M14)</f>
        <v>28572</v>
      </c>
      <c r="N16" s="207">
        <f>ROUND(SUMPRODUCT(M6:M14,N6:N14)/M16,3)</f>
        <v>0</v>
      </c>
      <c r="O16" s="206">
        <f>SUM(O6:O14)</f>
        <v>0</v>
      </c>
      <c r="P16" s="206">
        <f>SUM(P6:P14)</f>
        <v>28572</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7" t="s">
        <v>1663</v>
      </c>
      <c r="B1" s="3368"/>
      <c r="C1" s="3368"/>
      <c r="D1" s="3368"/>
      <c r="E1" s="3368"/>
      <c r="F1" s="3368"/>
      <c r="G1" s="3368"/>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20" sqref="C20"/>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62099</v>
      </c>
      <c r="C5" s="3043">
        <f ca="1">ROUND(B5*10000/$B$1,0)</f>
        <v>3787</v>
      </c>
      <c r="D5" s="3043">
        <f ca="1">ROUND(B5*10000/$B$2,0)</f>
        <v>5680</v>
      </c>
      <c r="E5" s="3044"/>
      <c r="F5" s="3044"/>
    </row>
    <row r="6" spans="1:12" ht="15.6">
      <c r="A6" s="3043" t="s">
        <v>2849</v>
      </c>
      <c r="B6" s="3043">
        <f ca="1">SUM(G14:G23)</f>
        <v>62099</v>
      </c>
      <c r="C6" s="3043">
        <f t="shared" ref="C6:C8" ca="1" si="0">ROUND(B6*10000/$B$1,0)</f>
        <v>3787</v>
      </c>
      <c r="D6" s="3043">
        <f t="shared" ref="D6:D8" ca="1" si="1">ROUND(B6*10000/$B$2,0)</f>
        <v>5680</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102043.5</v>
      </c>
      <c r="C14" s="3047">
        <f>结果表!K38</f>
        <v>68029</v>
      </c>
      <c r="D14" s="3047">
        <f ca="1">结果表!C42</f>
        <v>38639</v>
      </c>
      <c r="E14" s="3047">
        <f ca="1">ROUND(D14*10000/B14,0)</f>
        <v>3787</v>
      </c>
      <c r="F14" s="3047">
        <f ca="1">ROUND(D14*10000/C14,0)</f>
        <v>5680</v>
      </c>
      <c r="G14" s="3047">
        <f ca="1">结果表!C44</f>
        <v>38639</v>
      </c>
      <c r="H14" s="3047" t="str">
        <f>结果表!C45</f>
        <v>——</v>
      </c>
      <c r="I14" s="3047" t="str">
        <f>结果表!C46</f>
        <v>——</v>
      </c>
      <c r="J14" s="3220" t="s">
        <v>3317</v>
      </c>
      <c r="K14">
        <f>ROUND(B14/C14,2)</f>
        <v>1.5</v>
      </c>
      <c r="L14">
        <f ca="1">ROUND(D14/C14*666.67,0)</f>
        <v>379</v>
      </c>
    </row>
    <row r="15" spans="1:12" ht="15.6">
      <c r="A15" s="3050" t="s">
        <v>2858</v>
      </c>
      <c r="B15" s="3051">
        <f>[1]系统读取表!$B$14</f>
        <v>61948.5</v>
      </c>
      <c r="C15" s="3051">
        <f>[2]系统读取表!$C$14</f>
        <v>41299</v>
      </c>
      <c r="D15" s="3051">
        <f ca="1">[2]系统读取表!$D$14</f>
        <v>23460</v>
      </c>
      <c r="E15" s="3047">
        <f t="shared" ref="E15:E23" ca="1" si="2">ROUND(D15*10000/B15,0)</f>
        <v>3787</v>
      </c>
      <c r="F15" s="3047">
        <f t="shared" ref="F15:F23" ca="1" si="3">ROUND(D15*10000/C15,0)</f>
        <v>5681</v>
      </c>
      <c r="G15" s="3048">
        <f ca="1">D15</f>
        <v>23460</v>
      </c>
      <c r="H15" s="3048"/>
      <c r="I15" s="3051"/>
      <c r="J15" s="3220" t="s">
        <v>3318</v>
      </c>
      <c r="K15">
        <f t="shared" ref="K15:K18" si="4">ROUND(B15/C15,2)</f>
        <v>1.5</v>
      </c>
      <c r="L15">
        <f t="shared" ref="L15:L18" ca="1" si="5">ROUND(D15/C15*666.67,0)</f>
        <v>379</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SheetLayoutView="80" zoomScalePageLayoutView="80" workbookViewId="0">
      <selection activeCell="E27" sqref="E27"/>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05" t="str">
        <f>项目基本情况!K2</f>
        <v>重庆两江新区航悦项目E01-04-02出让国有建设用地使用权</v>
      </c>
      <c r="B2" s="3406"/>
      <c r="C2" s="3407"/>
      <c r="D2" s="3407"/>
      <c r="E2" s="3407"/>
      <c r="F2" s="3407"/>
      <c r="G2" s="3406"/>
      <c r="H2" s="3406"/>
      <c r="I2" s="3408"/>
      <c r="J2" s="2029"/>
      <c r="K2" s="2028"/>
      <c r="L2" s="2028"/>
      <c r="M2" s="2028"/>
      <c r="N2" s="2028"/>
      <c r="O2" s="2028"/>
      <c r="P2" s="2028"/>
      <c r="Q2" s="2028"/>
      <c r="R2" s="2028"/>
      <c r="S2" s="2028"/>
      <c r="T2" s="2028"/>
      <c r="U2" s="2028"/>
      <c r="V2" s="2028"/>
    </row>
    <row r="3" spans="1:22" ht="13.8">
      <c r="A3" s="3398" t="s">
        <v>297</v>
      </c>
      <c r="B3" s="3399"/>
      <c r="C3" s="3399"/>
      <c r="D3" s="3399"/>
      <c r="E3" s="3399"/>
      <c r="F3" s="3399"/>
      <c r="G3" s="3399"/>
      <c r="H3" s="3399"/>
      <c r="I3" s="3399"/>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70" t="s">
        <v>300</v>
      </c>
      <c r="F4" s="3371"/>
      <c r="G4" s="3371"/>
      <c r="H4" s="3371"/>
      <c r="I4" s="340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69" t="s">
        <v>301</v>
      </c>
      <c r="B5" s="3395">
        <v>25</v>
      </c>
      <c r="C5" s="3393"/>
      <c r="D5" s="3397"/>
      <c r="E5" s="261" t="s">
        <v>302</v>
      </c>
      <c r="F5" s="262"/>
      <c r="G5" s="262"/>
      <c r="H5" s="262"/>
      <c r="I5" s="263"/>
      <c r="J5" s="2029"/>
      <c r="K5" s="2028"/>
      <c r="L5" s="2028"/>
      <c r="M5" s="2028"/>
      <c r="N5" s="2028"/>
      <c r="O5" s="2028"/>
      <c r="P5" s="2028"/>
      <c r="Q5" s="2028"/>
      <c r="R5" s="2028"/>
      <c r="S5" s="2028"/>
      <c r="T5" s="2028"/>
      <c r="U5" s="2028"/>
      <c r="V5" s="2028"/>
    </row>
    <row r="6" spans="1:22" ht="13.8">
      <c r="A6" s="3369"/>
      <c r="B6" s="3395"/>
      <c r="C6" s="3396"/>
      <c r="D6" s="3397"/>
      <c r="E6" s="261" t="s">
        <v>303</v>
      </c>
      <c r="F6" s="262"/>
      <c r="G6" s="262"/>
      <c r="H6" s="262"/>
      <c r="I6" s="263"/>
      <c r="J6" s="2029"/>
      <c r="K6" s="2028"/>
      <c r="L6" s="2028"/>
      <c r="M6" s="2028"/>
      <c r="N6" s="2028"/>
      <c r="O6" s="2028"/>
      <c r="P6" s="2028"/>
      <c r="Q6" s="2028"/>
      <c r="R6" s="2028"/>
      <c r="S6" s="2028"/>
      <c r="T6" s="2028"/>
      <c r="U6" s="2028"/>
      <c r="V6" s="2028"/>
    </row>
    <row r="7" spans="1:22" ht="13.8">
      <c r="A7" s="3369"/>
      <c r="B7" s="3395"/>
      <c r="C7" s="3394"/>
      <c r="D7" s="3397"/>
      <c r="E7" s="261" t="s">
        <v>304</v>
      </c>
      <c r="F7" s="262"/>
      <c r="G7" s="262"/>
      <c r="H7" s="262"/>
      <c r="I7" s="263"/>
      <c r="J7" s="2029"/>
      <c r="K7" s="2028"/>
      <c r="L7" s="2028"/>
      <c r="M7" s="2028"/>
      <c r="N7" s="2028"/>
      <c r="O7" s="2028"/>
      <c r="P7" s="2028"/>
      <c r="Q7" s="2028"/>
      <c r="R7" s="2028"/>
      <c r="S7" s="2028"/>
      <c r="T7" s="2028"/>
      <c r="U7" s="2028"/>
      <c r="V7" s="2028"/>
    </row>
    <row r="8" spans="1:22" ht="13.8">
      <c r="A8" s="3369" t="s">
        <v>305</v>
      </c>
      <c r="B8" s="3395">
        <v>15</v>
      </c>
      <c r="C8" s="3393"/>
      <c r="D8" s="3397"/>
      <c r="E8" s="261" t="s">
        <v>306</v>
      </c>
      <c r="F8" s="262"/>
      <c r="G8" s="262"/>
      <c r="H8" s="262"/>
      <c r="I8" s="263"/>
      <c r="J8" s="2029"/>
      <c r="K8" s="2028"/>
      <c r="L8" s="2028"/>
      <c r="M8" s="2028"/>
      <c r="N8" s="2028"/>
      <c r="O8" s="2028"/>
      <c r="P8" s="2028"/>
      <c r="Q8" s="2028"/>
      <c r="R8" s="2028"/>
      <c r="S8" s="2028"/>
      <c r="T8" s="2028"/>
      <c r="U8" s="2028"/>
      <c r="V8" s="2028"/>
    </row>
    <row r="9" spans="1:22" ht="13.8">
      <c r="A9" s="3369"/>
      <c r="B9" s="3395"/>
      <c r="C9" s="3394"/>
      <c r="D9" s="3397"/>
      <c r="E9" s="261" t="s">
        <v>307</v>
      </c>
      <c r="F9" s="262"/>
      <c r="G9" s="262"/>
      <c r="H9" s="262"/>
      <c r="I9" s="263"/>
      <c r="J9" s="2029"/>
      <c r="K9" s="2028"/>
      <c r="L9" s="2028"/>
      <c r="M9" s="2028"/>
      <c r="N9" s="2028"/>
      <c r="O9" s="2028"/>
      <c r="P9" s="2028"/>
      <c r="Q9" s="2028"/>
      <c r="R9" s="2028"/>
      <c r="S9" s="2028"/>
      <c r="T9" s="2028"/>
      <c r="U9" s="2028"/>
      <c r="V9" s="2028"/>
    </row>
    <row r="10" spans="1:22" ht="13.8">
      <c r="A10" s="3369" t="s">
        <v>308</v>
      </c>
      <c r="B10" s="3395">
        <v>15</v>
      </c>
      <c r="C10" s="3393"/>
      <c r="D10" s="3397"/>
      <c r="E10" s="261" t="s">
        <v>309</v>
      </c>
      <c r="F10" s="262"/>
      <c r="G10" s="262"/>
      <c r="H10" s="262"/>
      <c r="I10" s="263"/>
      <c r="J10" s="2029"/>
      <c r="K10" s="2028"/>
      <c r="L10" s="2028"/>
      <c r="M10" s="2028"/>
      <c r="N10" s="2028"/>
      <c r="O10" s="2028"/>
      <c r="P10" s="2028"/>
      <c r="Q10" s="2028"/>
      <c r="R10" s="2028"/>
      <c r="S10" s="2028"/>
      <c r="T10" s="2028"/>
      <c r="U10" s="2028"/>
      <c r="V10" s="2028"/>
    </row>
    <row r="11" spans="1:22" ht="13.8">
      <c r="A11" s="3369"/>
      <c r="B11" s="3395"/>
      <c r="C11" s="3394"/>
      <c r="D11" s="3397"/>
      <c r="E11" s="261" t="s">
        <v>310</v>
      </c>
      <c r="F11" s="262"/>
      <c r="G11" s="262"/>
      <c r="H11" s="262"/>
      <c r="I11" s="263"/>
      <c r="J11" s="2029"/>
      <c r="K11" s="2028"/>
      <c r="L11" s="2028"/>
      <c r="M11" s="2028"/>
      <c r="N11" s="2028"/>
      <c r="O11" s="2028"/>
      <c r="P11" s="2028"/>
      <c r="Q11" s="2028"/>
      <c r="R11" s="2028"/>
      <c r="S11" s="2028"/>
      <c r="T11" s="2028"/>
      <c r="U11" s="2028"/>
      <c r="V11" s="2028"/>
    </row>
    <row r="12" spans="1:22" ht="13.8">
      <c r="A12" s="3369" t="s">
        <v>311</v>
      </c>
      <c r="B12" s="3395">
        <v>15</v>
      </c>
      <c r="C12" s="3393"/>
      <c r="D12" s="3397"/>
      <c r="E12" s="261" t="s">
        <v>312</v>
      </c>
      <c r="F12" s="262"/>
      <c r="G12" s="262"/>
      <c r="H12" s="262"/>
      <c r="I12" s="263"/>
      <c r="J12" s="2029"/>
      <c r="K12" s="2028"/>
      <c r="L12" s="2028"/>
      <c r="M12" s="2028"/>
      <c r="N12" s="2028"/>
      <c r="O12" s="2028"/>
      <c r="P12" s="2028"/>
      <c r="Q12" s="2028"/>
      <c r="R12" s="2028"/>
      <c r="S12" s="2028"/>
      <c r="T12" s="2028"/>
      <c r="U12" s="2028"/>
      <c r="V12" s="2028"/>
    </row>
    <row r="13" spans="1:22" ht="13.8">
      <c r="A13" s="3369"/>
      <c r="B13" s="3395"/>
      <c r="C13" s="3394"/>
      <c r="D13" s="3397"/>
      <c r="E13" s="261" t="s">
        <v>313</v>
      </c>
      <c r="F13" s="262"/>
      <c r="G13" s="262"/>
      <c r="H13" s="262"/>
      <c r="I13" s="263"/>
      <c r="J13" s="2029"/>
      <c r="K13" s="2028"/>
      <c r="L13" s="2028"/>
      <c r="M13" s="2028"/>
      <c r="N13" s="2028"/>
      <c r="O13" s="2028"/>
      <c r="P13" s="2028"/>
      <c r="Q13" s="2028"/>
      <c r="R13" s="2028"/>
      <c r="S13" s="2028"/>
      <c r="T13" s="2028"/>
      <c r="U13" s="2028"/>
      <c r="V13" s="2028"/>
    </row>
    <row r="14" spans="1:22" ht="13.8">
      <c r="A14" s="3369" t="s">
        <v>314</v>
      </c>
      <c r="B14" s="3395">
        <v>30</v>
      </c>
      <c r="C14" s="3393">
        <v>50</v>
      </c>
      <c r="D14" s="3397">
        <v>50</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69"/>
      <c r="B15" s="3395"/>
      <c r="C15" s="3396"/>
      <c r="D15" s="3397"/>
      <c r="E15" s="261" t="s">
        <v>316</v>
      </c>
      <c r="F15" s="262"/>
      <c r="G15" s="262"/>
      <c r="H15" s="262"/>
      <c r="I15" s="263"/>
      <c r="J15" s="2029"/>
      <c r="K15" s="2028"/>
      <c r="L15" s="2028"/>
      <c r="M15" s="2028"/>
      <c r="N15" s="2028"/>
      <c r="O15" s="2028"/>
      <c r="P15" s="2028"/>
      <c r="Q15" s="2028"/>
      <c r="R15" s="2028"/>
      <c r="S15" s="2028"/>
      <c r="T15" s="2028"/>
      <c r="U15" s="2028"/>
      <c r="V15" s="2028"/>
    </row>
    <row r="16" spans="1:22" ht="13.8">
      <c r="A16" s="3369"/>
      <c r="B16" s="3395"/>
      <c r="C16" s="3394"/>
      <c r="D16" s="3397"/>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35899</v>
      </c>
      <c r="D19" s="271">
        <f ca="1">SUMIF(INDIRECT("'"&amp;D4&amp;"'"&amp;"!A:A"),结果表!B19,INDIRECT("'"&amp;D4&amp;"'"&amp;"!B:B"))</f>
        <v>41786</v>
      </c>
      <c r="E19" s="268" t="s">
        <v>322</v>
      </c>
      <c r="F19" s="269" t="s">
        <v>321</v>
      </c>
      <c r="G19" s="272">
        <f ca="1">ROUND(C19*$C$18+D19*$D$18,0)</f>
        <v>38843</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3518</v>
      </c>
      <c r="D20" s="277">
        <f ca="1">SUMIF(INDIRECT("'"&amp;D4&amp;"'"&amp;"!A:A"),结果表!B20,INDIRECT("'"&amp;D4&amp;"'"&amp;"!B:B"))</f>
        <v>4095</v>
      </c>
      <c r="E20" s="274"/>
      <c r="F20" s="275" t="s">
        <v>324</v>
      </c>
      <c r="G20" s="278">
        <f ca="1">ROUND(C20*$C$18+D20*$D$18,0)</f>
        <v>3807</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5277</v>
      </c>
      <c r="D21" s="151">
        <f ca="1">SUMIF(INDIRECT("'"&amp;D4&amp;"'"&amp;"!A:A"),结果表!B21,INDIRECT("'"&amp;D4&amp;"'"&amp;"!B:B"))</f>
        <v>6142</v>
      </c>
      <c r="E21" s="274"/>
      <c r="F21" s="280" t="s">
        <v>326</v>
      </c>
      <c r="G21" s="282">
        <f ca="1">ROUND(C21*$C$18+D21*$D$18,0)</f>
        <v>5710</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0.16398785481489742</v>
      </c>
      <c r="E22" s="284"/>
      <c r="F22" s="285"/>
      <c r="G22" s="286">
        <f ca="1">ROUND(G19/('数据-汇总表'!D3/666.67),0)</f>
        <v>381</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75"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76"/>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出让国有建设用地使用权价格：38639万元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大写金额：人民币叁亿捌仟陆佰叁拾玖万元整</v>
      </c>
      <c r="L26" s="1252"/>
      <c r="M26" s="1252"/>
      <c r="N26" s="1252"/>
      <c r="O26" s="1251"/>
      <c r="P26" s="2028"/>
      <c r="Q26" s="2028"/>
      <c r="R26" s="2028"/>
      <c r="S26" s="2028"/>
      <c r="T26" s="2028"/>
      <c r="U26" s="2028"/>
      <c r="V26" s="2028"/>
      <c r="W26" s="292"/>
      <c r="X26" s="292"/>
      <c r="Y26" s="292"/>
      <c r="Z26" s="292"/>
    </row>
    <row r="27" spans="1:26" ht="17.399999999999999">
      <c r="A27" s="3241" t="s">
        <v>3437</v>
      </c>
      <c r="B27" s="294">
        <f>'数据-汇总表'!D3</f>
        <v>68029</v>
      </c>
      <c r="C27" s="294">
        <v>30</v>
      </c>
      <c r="D27" s="295">
        <f>ROUND(B27*C27/10000,0)</f>
        <v>204</v>
      </c>
      <c r="E27" s="311"/>
      <c r="F27" s="311"/>
      <c r="G27" s="311"/>
      <c r="H27" s="311"/>
      <c r="I27" s="311"/>
      <c r="J27" s="2028"/>
      <c r="K27" s="1258" t="str">
        <f ca="1">"单位面积地价："&amp;M38&amp;"元/平方米"</f>
        <v>单位面积地价：5680元/平方米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楼面地价：3787元/平方米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抵押价格：38639万元</v>
      </c>
      <c r="L29" s="1252"/>
      <c r="M29" s="1252"/>
      <c r="N29" s="1252"/>
      <c r="O29" s="1251"/>
      <c r="P29" s="2028"/>
      <c r="Q29" s="3216">
        <f ca="1">ROUND(G19/'数据-汇总表'!F27*10000,0)</f>
        <v>3807</v>
      </c>
      <c r="V29" s="2028"/>
    </row>
    <row r="30" spans="1:26" ht="18"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大写金额：人民币叁亿捌仟陆佰叁拾玖万元整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38639</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3787</v>
      </c>
      <c r="D33" s="1385" t="s">
        <v>1690</v>
      </c>
      <c r="E33" s="3375"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5680</v>
      </c>
      <c r="D34" s="1387" t="s">
        <v>1690</v>
      </c>
      <c r="E34" s="3416"/>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379</v>
      </c>
      <c r="D35" s="1390" t="s">
        <v>1692</v>
      </c>
      <c r="E35" s="3417"/>
      <c r="F35" s="301" t="s">
        <v>341</v>
      </c>
      <c r="G35" s="982"/>
      <c r="H35" s="981" t="s">
        <v>342</v>
      </c>
      <c r="I35" s="311"/>
      <c r="J35" s="2028"/>
      <c r="K35" s="3390" t="s">
        <v>349</v>
      </c>
      <c r="L35" s="3390" t="s">
        <v>350</v>
      </c>
      <c r="M35" s="1264" t="s">
        <v>351</v>
      </c>
      <c r="N35" s="3390" t="s">
        <v>352</v>
      </c>
      <c r="O35" s="3390" t="s">
        <v>353</v>
      </c>
      <c r="P35" s="2028"/>
      <c r="V35" s="2028"/>
    </row>
    <row r="36" spans="1:26" ht="16.5" customHeight="1">
      <c r="A36" s="303" t="s">
        <v>343</v>
      </c>
      <c r="B36" s="304" t="s">
        <v>332</v>
      </c>
      <c r="C36" s="305" t="s">
        <v>344</v>
      </c>
      <c r="D36" s="305" t="s">
        <v>345</v>
      </c>
      <c r="E36" s="306" t="s">
        <v>346</v>
      </c>
      <c r="F36" s="311"/>
      <c r="G36" s="311"/>
      <c r="H36" s="311"/>
      <c r="I36" s="311"/>
      <c r="J36" s="2030"/>
      <c r="K36" s="3391"/>
      <c r="L36" s="3391"/>
      <c r="M36" s="1266" t="s">
        <v>354</v>
      </c>
      <c r="N36" s="3391"/>
      <c r="O36" s="3391"/>
      <c r="P36" s="2028"/>
      <c r="V36" s="2028"/>
    </row>
    <row r="37" spans="1:26" ht="16.5" customHeight="1" thickBot="1">
      <c r="A37" s="1260" t="s">
        <v>347</v>
      </c>
      <c r="B37" s="307"/>
      <c r="C37" s="294"/>
      <c r="D37" s="294"/>
      <c r="E37" s="295"/>
      <c r="F37" s="311"/>
      <c r="G37" s="311"/>
      <c r="H37" s="311"/>
      <c r="I37" s="311"/>
      <c r="J37" s="2030"/>
      <c r="K37" s="3392"/>
      <c r="L37" s="3392"/>
      <c r="M37" s="1267"/>
      <c r="N37" s="3392"/>
      <c r="O37" s="3392"/>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5680</v>
      </c>
      <c r="N38" s="1269">
        <f ca="1">C33</f>
        <v>3787</v>
      </c>
      <c r="O38" s="1270">
        <f ca="1">C32</f>
        <v>38639</v>
      </c>
      <c r="P38" s="2028"/>
      <c r="V38" s="2028"/>
    </row>
    <row r="39" spans="1:26" ht="16.5" customHeight="1" thickBot="1">
      <c r="A39" s="1265"/>
      <c r="B39" s="308"/>
      <c r="C39" s="309"/>
      <c r="D39" s="309"/>
      <c r="E39" s="310"/>
      <c r="F39" s="311"/>
      <c r="G39" s="311"/>
      <c r="H39" s="311"/>
      <c r="I39" s="311"/>
      <c r="J39" s="2030"/>
      <c r="K39" s="3435" t="str">
        <f>MID(A44,3,LEN(A44)-2)</f>
        <v>抵押价格</v>
      </c>
      <c r="L39" s="3436"/>
      <c r="M39" s="3436"/>
      <c r="N39" s="3437"/>
      <c r="O39" s="1392">
        <f ca="1">C44</f>
        <v>38639</v>
      </c>
      <c r="P39" s="2028"/>
      <c r="V39" s="2028"/>
    </row>
    <row r="40" spans="1:26" ht="18" thickBot="1">
      <c r="A40" s="104" t="s">
        <v>872</v>
      </c>
      <c r="B40" s="311"/>
      <c r="C40" s="311"/>
      <c r="D40" s="311"/>
      <c r="E40" s="311"/>
      <c r="F40" s="311"/>
      <c r="G40" s="311"/>
      <c r="H40" s="311"/>
      <c r="I40" s="311"/>
      <c r="J40" s="2030"/>
      <c r="K40" s="3435" t="str">
        <f t="shared" ref="K40:K41" si="0">MID(A45,3,LEN(A45)-2)</f>
        <v/>
      </c>
      <c r="L40" s="3436"/>
      <c r="M40" s="3436"/>
      <c r="N40" s="3437"/>
      <c r="O40" s="1392" t="str">
        <f>C45</f>
        <v>——</v>
      </c>
      <c r="P40" s="2028"/>
      <c r="V40" s="2028"/>
    </row>
    <row r="41" spans="1:26" ht="16.2" thickBot="1">
      <c r="A41" s="312" t="s">
        <v>355</v>
      </c>
      <c r="B41" s="313"/>
      <c r="C41" s="314" t="s">
        <v>356</v>
      </c>
      <c r="D41" s="315" t="s">
        <v>357</v>
      </c>
      <c r="E41" s="315" t="s">
        <v>358</v>
      </c>
      <c r="F41" s="316" t="s">
        <v>359</v>
      </c>
      <c r="G41" s="311"/>
      <c r="H41" s="311"/>
      <c r="I41" s="311"/>
      <c r="J41" s="2030"/>
      <c r="K41" s="3435" t="str">
        <f t="shared" si="0"/>
        <v/>
      </c>
      <c r="L41" s="3436"/>
      <c r="M41" s="3436"/>
      <c r="N41" s="3437"/>
      <c r="O41" s="1392" t="str">
        <f>C46</f>
        <v>——</v>
      </c>
      <c r="P41" s="2028"/>
      <c r="V41" s="2028"/>
    </row>
    <row r="42" spans="1:26" ht="31.2">
      <c r="A42" s="3377" t="s">
        <v>2068</v>
      </c>
      <c r="B42" s="3378"/>
      <c r="C42" s="264">
        <f ca="1">C32</f>
        <v>38639</v>
      </c>
      <c r="D42" s="317">
        <f ca="1">C33</f>
        <v>3787</v>
      </c>
      <c r="E42" s="317">
        <f ca="1">C34</f>
        <v>5680</v>
      </c>
      <c r="F42" s="318">
        <f ca="1">C35</f>
        <v>379</v>
      </c>
      <c r="G42" s="311"/>
      <c r="H42" s="311"/>
      <c r="I42" s="319"/>
      <c r="J42" s="2030"/>
      <c r="K42" s="1271" t="s">
        <v>360</v>
      </c>
      <c r="L42" s="2047" t="s">
        <v>361</v>
      </c>
      <c r="M42" s="1272" t="s">
        <v>362</v>
      </c>
      <c r="N42" s="2048" t="s">
        <v>363</v>
      </c>
      <c r="O42" s="2049" t="s">
        <v>364</v>
      </c>
      <c r="P42" s="2028"/>
      <c r="V42" s="2028"/>
    </row>
    <row r="43" spans="1:26" ht="30">
      <c r="A43" s="3388" t="s">
        <v>2727</v>
      </c>
      <c r="B43" s="3389"/>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35899</v>
      </c>
      <c r="M43" s="1275">
        <f>C18</f>
        <v>0.5</v>
      </c>
      <c r="N43" s="1276">
        <f ca="1">IF(N42="测算结果/万元",G19,G20)</f>
        <v>38843</v>
      </c>
      <c r="O43" s="1277">
        <f ca="1">IF(O42="最终结果/万元",C32,C33)</f>
        <v>38639</v>
      </c>
      <c r="P43" s="2028"/>
      <c r="V43" s="2028"/>
    </row>
    <row r="44" spans="1:26" ht="30.6" thickBot="1">
      <c r="A44" s="3377" t="str">
        <f>IF(OR(项目基本情况!E8="抵押价格",项目基本情况!E8="已注销及未注销"),"3.抵押价格","——")</f>
        <v>3.抵押价格</v>
      </c>
      <c r="B44" s="3378"/>
      <c r="C44" s="264">
        <f ca="1">IF(A44="——","——",C42-C43)</f>
        <v>38639</v>
      </c>
      <c r="D44" s="317">
        <f ca="1">ROUND(C44*10000/'数据-汇总表'!E3,0)</f>
        <v>3787</v>
      </c>
      <c r="E44" s="317">
        <f ca="1">ROUND(C44*10000/'数据-汇总表'!D3,0)</f>
        <v>5680</v>
      </c>
      <c r="F44" s="318">
        <f ca="1">ROUND(C44/('数据-汇总表'!D3/666.67),0)</f>
        <v>379</v>
      </c>
      <c r="G44" s="311"/>
      <c r="H44" s="311"/>
      <c r="I44" s="319"/>
      <c r="J44" s="2030"/>
      <c r="K44" s="1278" t="str">
        <f>D4</f>
        <v>剩余法-待开发</v>
      </c>
      <c r="L44" s="1279">
        <f ca="1">IF(L42="估价结果/万元",D19,D20)</f>
        <v>41786</v>
      </c>
      <c r="M44" s="1280">
        <f>D18</f>
        <v>0.5</v>
      </c>
      <c r="N44" s="1281"/>
      <c r="O44" s="1282"/>
      <c r="P44" s="2028"/>
      <c r="V44" s="2028"/>
    </row>
    <row r="45" spans="1:26" ht="13.8">
      <c r="A45" s="3383" t="str">
        <f>IF(项目基本情况!E8="已注销及未注销","4.抵押担保权已注销时的抵押价格",IF(项目基本情况!E8="已注销","3.抵押担保权已注销时的抵押价格","——"))</f>
        <v>——</v>
      </c>
      <c r="B45" s="338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79" t="str">
        <f>IF(项目基本情况!E9="抵押净值",IF(A45="——","4.抵押净值","5.抵押净值"),"——")</f>
        <v>——</v>
      </c>
      <c r="B46" s="338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24" t="s">
        <v>373</v>
      </c>
      <c r="B63" s="3425"/>
      <c r="C63" s="3426"/>
      <c r="D63" s="341">
        <f ca="1">ROUND(C42*F63,0)</f>
        <v>38639</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5" t="s">
        <v>377</v>
      </c>
      <c r="B64" s="3386"/>
      <c r="C64" s="3386"/>
      <c r="D64" s="3386"/>
      <c r="E64" s="3386"/>
      <c r="F64" s="3386"/>
      <c r="G64" s="3387"/>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81" t="s">
        <v>385</v>
      </c>
      <c r="B66" s="3382"/>
      <c r="C66" s="3382"/>
      <c r="D66" s="261">
        <f ca="1">IF(H66="情况1",0,IF(H66="情况2",D70,IF(H66="情况3",D71,IF(H66="情况4",D72))))</f>
        <v>2061</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439" t="s">
        <v>384</v>
      </c>
      <c r="M66" s="3440"/>
      <c r="N66" s="2458"/>
      <c r="O66" s="2459"/>
      <c r="P66" s="2460"/>
      <c r="Q66" s="2028"/>
      <c r="R66" s="2028"/>
      <c r="S66" s="2028"/>
      <c r="T66" s="2028"/>
      <c r="U66" s="2028"/>
      <c r="V66" s="2028"/>
    </row>
    <row r="67" spans="1:22" ht="25.5" customHeight="1">
      <c r="A67" s="352" t="s">
        <v>389</v>
      </c>
      <c r="B67" s="3372" t="s">
        <v>390</v>
      </c>
      <c r="C67" s="3372"/>
      <c r="D67" s="353">
        <v>0</v>
      </c>
      <c r="E67" s="41" t="s">
        <v>391</v>
      </c>
      <c r="F67" s="62" t="s">
        <v>21</v>
      </c>
      <c r="G67" s="3427"/>
      <c r="H67" s="311"/>
      <c r="I67" s="1292"/>
      <c r="J67" s="2035"/>
      <c r="K67" s="1976">
        <v>2</v>
      </c>
      <c r="L67" s="3438" t="s">
        <v>388</v>
      </c>
      <c r="M67" s="3438"/>
      <c r="N67" s="1325">
        <f>'数据-取费表'!B2</f>
        <v>43626</v>
      </c>
      <c r="O67" s="1325"/>
      <c r="P67" s="1325"/>
      <c r="Q67" s="2028"/>
      <c r="R67" s="2028"/>
      <c r="S67" s="2028"/>
      <c r="T67" s="2028"/>
      <c r="U67" s="2028"/>
      <c r="V67" s="2028"/>
    </row>
    <row r="68" spans="1:22" ht="25.5" customHeight="1">
      <c r="A68" s="354"/>
      <c r="B68" s="3372" t="s">
        <v>393</v>
      </c>
      <c r="C68" s="3372"/>
      <c r="D68" s="355"/>
      <c r="E68" s="77"/>
      <c r="F68" s="356"/>
      <c r="G68" s="3428"/>
      <c r="H68" s="311"/>
      <c r="I68" s="1292"/>
      <c r="J68" s="2035"/>
      <c r="K68" s="1976">
        <v>3</v>
      </c>
      <c r="L68" s="3438" t="s">
        <v>392</v>
      </c>
      <c r="M68" s="3438"/>
      <c r="N68" s="1293">
        <f ca="1">C42</f>
        <v>38639</v>
      </c>
      <c r="O68" s="1293"/>
      <c r="P68" s="1293"/>
      <c r="Q68" s="2028"/>
      <c r="R68" s="2028"/>
      <c r="S68" s="2028"/>
      <c r="T68" s="2028"/>
      <c r="U68" s="2028"/>
      <c r="V68" s="2028"/>
    </row>
    <row r="69" spans="1:22" ht="12" customHeight="1">
      <c r="A69" s="357"/>
      <c r="B69" s="3372" t="s">
        <v>394</v>
      </c>
      <c r="C69" s="3372"/>
      <c r="D69" s="358"/>
      <c r="E69" s="73"/>
      <c r="F69" s="356"/>
      <c r="G69" s="3429"/>
      <c r="H69" s="311"/>
      <c r="I69" s="1292"/>
      <c r="J69" s="2035"/>
      <c r="K69" s="1294">
        <v>4</v>
      </c>
      <c r="L69" s="3443" t="s">
        <v>2880</v>
      </c>
      <c r="M69" s="3444"/>
      <c r="N69" s="1295">
        <f ca="1">C44</f>
        <v>38639</v>
      </c>
      <c r="O69" s="1295"/>
      <c r="P69" s="1295"/>
      <c r="Q69" s="2028"/>
      <c r="R69" s="2028"/>
      <c r="S69" s="2028"/>
      <c r="T69" s="2028"/>
      <c r="U69" s="2028"/>
      <c r="V69" s="2028"/>
    </row>
    <row r="70" spans="1:22" ht="24" customHeight="1">
      <c r="A70" s="359" t="s">
        <v>395</v>
      </c>
      <c r="B70" s="3372" t="s">
        <v>396</v>
      </c>
      <c r="C70" s="3372"/>
      <c r="D70" s="358">
        <f ca="1">ROUND(D63*'数据-取费表'!B41/(1+'数据-取费表'!C42),0)</f>
        <v>2061</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3" t="s">
        <v>404</v>
      </c>
      <c r="C71" s="3374"/>
      <c r="D71" s="358">
        <f ca="1">ROUND(D63*'数据-取费表'!B41/(1+'数据-取费表'!C42),0)</f>
        <v>2061</v>
      </c>
      <c r="E71" s="17" t="s">
        <v>397</v>
      </c>
      <c r="F71" s="360">
        <f>'数据-取费表'!B41</f>
        <v>5.6000000000000001E-2</v>
      </c>
      <c r="G71" s="361"/>
      <c r="H71" s="311"/>
      <c r="I71" s="1292"/>
      <c r="J71" s="2035"/>
      <c r="K71" s="3059" t="s">
        <v>398</v>
      </c>
      <c r="L71" s="3445" t="s">
        <v>399</v>
      </c>
      <c r="M71" s="3445"/>
      <c r="N71" s="3059" t="s">
        <v>400</v>
      </c>
      <c r="O71" s="3059" t="s">
        <v>401</v>
      </c>
      <c r="P71" s="3059" t="s">
        <v>402</v>
      </c>
      <c r="Q71" s="2028"/>
      <c r="R71" s="2028"/>
      <c r="S71" s="2028"/>
      <c r="T71" s="2028"/>
      <c r="U71" s="2028"/>
      <c r="V71" s="2028"/>
    </row>
    <row r="72" spans="1:22" ht="12" customHeight="1">
      <c r="A72" s="359" t="s">
        <v>406</v>
      </c>
      <c r="B72" s="3373" t="s">
        <v>407</v>
      </c>
      <c r="C72" s="3374"/>
      <c r="D72" s="358">
        <f ca="1">C86</f>
        <v>1949</v>
      </c>
      <c r="E72" s="73" t="s">
        <v>408</v>
      </c>
      <c r="F72" s="360">
        <f>'数据-取费表'!B41</f>
        <v>5.6000000000000001E-2</v>
      </c>
      <c r="G72" s="361"/>
      <c r="H72" s="1298"/>
      <c r="I72" s="1292"/>
      <c r="J72" s="2035"/>
      <c r="K72" s="1976">
        <v>1</v>
      </c>
      <c r="L72" s="3420" t="s">
        <v>405</v>
      </c>
      <c r="M72" s="3420"/>
      <c r="N72" s="1296">
        <f ca="1">D66</f>
        <v>2061</v>
      </c>
      <c r="O72" s="1859" t="str">
        <f>E66</f>
        <v>销售额×税（费）率</v>
      </c>
      <c r="P72" s="1297">
        <f>F66</f>
        <v>5.6000000000000001E-2</v>
      </c>
      <c r="Q72" s="2028"/>
      <c r="R72" s="2028"/>
      <c r="S72" s="2028"/>
      <c r="T72" s="2028"/>
      <c r="U72" s="2028"/>
      <c r="V72" s="2028"/>
    </row>
    <row r="73" spans="1:22" ht="24" customHeight="1">
      <c r="A73" s="3414" t="s">
        <v>410</v>
      </c>
      <c r="B73" s="3382"/>
      <c r="C73" s="3382"/>
      <c r="D73" s="362">
        <f ca="1">IF(H73="个人住宅",0,ROUND(D63*I73,0))</f>
        <v>19</v>
      </c>
      <c r="E73" s="17" t="s">
        <v>411</v>
      </c>
      <c r="F73" s="360">
        <f>IF(H73="正常",I73,"免征")</f>
        <v>5.0000000000000001E-4</v>
      </c>
      <c r="G73" s="361"/>
      <c r="H73" s="191" t="s">
        <v>3008</v>
      </c>
      <c r="I73" s="360">
        <f>'数据-取费表'!B49</f>
        <v>5.0000000000000001E-4</v>
      </c>
      <c r="J73" s="2035"/>
      <c r="K73" s="1976">
        <v>2</v>
      </c>
      <c r="L73" s="3420" t="s">
        <v>409</v>
      </c>
      <c r="M73" s="3420"/>
      <c r="N73" s="1296">
        <f t="shared" ref="N73:P74" ca="1" si="1">D73</f>
        <v>19</v>
      </c>
      <c r="O73" s="1859" t="str">
        <f t="shared" si="1"/>
        <v>销售额×税（费）率</v>
      </c>
      <c r="P73" s="1297">
        <f t="shared" si="1"/>
        <v>5.0000000000000001E-4</v>
      </c>
      <c r="Q73" s="2028"/>
      <c r="R73" s="2028"/>
      <c r="S73" s="2028"/>
      <c r="T73" s="2028"/>
      <c r="U73" s="2028"/>
      <c r="V73" s="2028"/>
    </row>
    <row r="74" spans="1:22" ht="25.2">
      <c r="A74" s="3414" t="s">
        <v>414</v>
      </c>
      <c r="B74" s="3382"/>
      <c r="C74" s="3382"/>
      <c r="D74" s="362">
        <f ca="1">IF(H74="个人住宅",D75,D76)</f>
        <v>0</v>
      </c>
      <c r="E74" s="17" t="s">
        <v>415</v>
      </c>
      <c r="F74" s="360" t="str">
        <f>IF(H74="正常",F76,"免征")</f>
        <v>——</v>
      </c>
      <c r="G74" s="983" t="s">
        <v>416</v>
      </c>
      <c r="H74" s="363" t="s">
        <v>412</v>
      </c>
      <c r="I74" s="42"/>
      <c r="J74" s="2035"/>
      <c r="K74" s="1976">
        <v>3</v>
      </c>
      <c r="L74" s="3420" t="s">
        <v>413</v>
      </c>
      <c r="M74" s="3420"/>
      <c r="N74" s="1296">
        <f t="shared" ca="1" si="1"/>
        <v>0</v>
      </c>
      <c r="O74" s="1859" t="str">
        <f t="shared" si="1"/>
        <v>增值额×税（费）率</v>
      </c>
      <c r="P74" s="1299" t="str">
        <f t="shared" si="1"/>
        <v>——</v>
      </c>
      <c r="Q74" s="2028"/>
      <c r="R74" s="2028"/>
      <c r="S74" s="2028"/>
      <c r="T74" s="2028"/>
      <c r="U74" s="2028"/>
      <c r="V74" s="2028"/>
    </row>
    <row r="75" spans="1:22" ht="13.2">
      <c r="A75" s="359" t="s">
        <v>417</v>
      </c>
      <c r="B75" s="3370" t="s">
        <v>418</v>
      </c>
      <c r="C75" s="3400"/>
      <c r="D75" s="364">
        <v>0</v>
      </c>
      <c r="E75" s="41" t="s">
        <v>419</v>
      </c>
      <c r="F75" s="365"/>
      <c r="G75" s="361"/>
      <c r="H75" s="42"/>
      <c r="I75" s="42"/>
      <c r="J75" s="2035"/>
      <c r="K75" s="3052" t="str">
        <f>IF(H77="非个人房产","",4)</f>
        <v/>
      </c>
      <c r="L75" s="3420" t="str">
        <f>IF(H77="非个人房产","——","个人所得税")</f>
        <v>——</v>
      </c>
      <c r="M75" s="3420"/>
      <c r="N75" s="1300" t="str">
        <f>D77</f>
        <v>——</v>
      </c>
      <c r="O75" s="1872" t="str">
        <f>E77</f>
        <v>——</v>
      </c>
      <c r="P75" s="1301" t="str">
        <f>F77</f>
        <v>——</v>
      </c>
      <c r="Q75" s="2028"/>
      <c r="R75" s="2028"/>
      <c r="S75" s="2028"/>
      <c r="T75" s="2028"/>
      <c r="U75" s="2028"/>
      <c r="V75" s="2028"/>
    </row>
    <row r="76" spans="1:22" ht="25.2">
      <c r="A76" s="359" t="s">
        <v>395</v>
      </c>
      <c r="B76" s="3370" t="s">
        <v>421</v>
      </c>
      <c r="C76" s="3371"/>
      <c r="D76" s="362">
        <f ca="1">IF(H76="转让取得",C99,C115)</f>
        <v>0</v>
      </c>
      <c r="E76" s="17" t="s">
        <v>422</v>
      </c>
      <c r="F76" s="53" t="s">
        <v>21</v>
      </c>
      <c r="G76" s="361"/>
      <c r="H76" s="363" t="s">
        <v>423</v>
      </c>
      <c r="I76" s="42"/>
      <c r="J76" s="2035"/>
      <c r="K76" s="3052" t="str">
        <f>IF(项目基本情况!K6="上海银行",IF(K75="",4,K75+1),"")</f>
        <v/>
      </c>
      <c r="L76" s="3431" t="str">
        <f>IF(项目基本情况!K6="上海银行","其他处置费用","")</f>
        <v/>
      </c>
      <c r="M76" s="3432"/>
      <c r="N76" s="1296" t="str">
        <f>IF(项目基本情况!K6="上海银行",N89,"")</f>
        <v/>
      </c>
      <c r="O76" s="3433" t="str">
        <f>IF(项目基本情况!K6="上海银行","包含处置中涉及的律师、诉讼、拍卖、评估等费用","")</f>
        <v/>
      </c>
      <c r="P76" s="3434"/>
      <c r="Q76" s="2028"/>
      <c r="R76" s="2028"/>
      <c r="S76" s="2028"/>
      <c r="T76" s="2028"/>
      <c r="U76" s="2028"/>
      <c r="V76" s="2028"/>
    </row>
    <row r="77" spans="1:22" ht="24.6" thickBot="1">
      <c r="A77" s="3422" t="s">
        <v>425</v>
      </c>
      <c r="B77" s="3423"/>
      <c r="C77" s="3423"/>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421">
        <f>IF(AND(K75="",K76=""),4,IF(项目基本情况!K6="上海银行",K76+1,K75+1))</f>
        <v>4</v>
      </c>
      <c r="L77" s="3420" t="s">
        <v>2881</v>
      </c>
      <c r="M77" s="3058" t="s">
        <v>420</v>
      </c>
      <c r="N77" s="1302"/>
      <c r="O77" s="1303">
        <f ca="1">SUMIF(N72:N76,"&lt;9e307")</f>
        <v>2080</v>
      </c>
      <c r="P77" s="1304"/>
      <c r="Q77" s="3056">
        <f ca="1">O77/N69</f>
        <v>5.3831620901162038E-2</v>
      </c>
      <c r="R77" s="2028"/>
      <c r="S77" s="2028"/>
      <c r="T77" s="2028"/>
      <c r="U77" s="2028"/>
      <c r="V77" s="2028"/>
    </row>
    <row r="78" spans="1:22" ht="12" customHeight="1">
      <c r="A78" s="1305"/>
      <c r="B78" s="311"/>
      <c r="C78" s="311"/>
      <c r="D78" s="311"/>
      <c r="E78" s="42"/>
      <c r="F78" s="42"/>
      <c r="G78" s="42"/>
      <c r="H78" s="1003"/>
      <c r="I78" s="311"/>
      <c r="J78" s="2035"/>
      <c r="K78" s="3421"/>
      <c r="L78" s="3420"/>
      <c r="M78" s="3058" t="s">
        <v>424</v>
      </c>
      <c r="N78" s="1302"/>
      <c r="O78" s="1303" t="str">
        <f ca="1">NUMBERSTRING(INT(O77*10000),2)&amp;"元整"</f>
        <v>贰仟零捌拾万元整</v>
      </c>
      <c r="P78" s="1304"/>
      <c r="Q78" s="2028"/>
      <c r="R78" s="2028"/>
      <c r="S78" s="2028"/>
      <c r="T78" s="2028"/>
      <c r="U78" s="2028"/>
      <c r="V78" s="2028"/>
    </row>
    <row r="79" spans="1:22" ht="13.8" thickBot="1">
      <c r="A79" s="3415" t="s">
        <v>426</v>
      </c>
      <c r="B79" s="3415"/>
      <c r="C79" s="3415"/>
      <c r="D79" s="3415"/>
      <c r="E79" s="3415"/>
      <c r="F79" s="42"/>
      <c r="G79" s="42"/>
      <c r="H79" s="1003"/>
      <c r="I79" s="311"/>
      <c r="J79" s="2035"/>
      <c r="K79" s="3441">
        <f>K77+1</f>
        <v>5</v>
      </c>
      <c r="L79" s="3420" t="s">
        <v>2882</v>
      </c>
      <c r="M79" s="3058" t="s">
        <v>420</v>
      </c>
      <c r="N79" s="1302"/>
      <c r="O79" s="1303">
        <f ca="1">N69-O77</f>
        <v>36559</v>
      </c>
      <c r="P79" s="1304"/>
      <c r="Q79" s="2028"/>
      <c r="R79" s="2028"/>
      <c r="S79" s="2028"/>
      <c r="T79" s="2028"/>
      <c r="U79" s="2028"/>
      <c r="V79" s="2028"/>
    </row>
    <row r="80" spans="1:22" ht="26.4">
      <c r="A80" s="3410" t="s">
        <v>427</v>
      </c>
      <c r="B80" s="3411"/>
      <c r="C80" s="994"/>
      <c r="D80" s="994" t="s">
        <v>428</v>
      </c>
      <c r="E80" s="370" t="s">
        <v>429</v>
      </c>
      <c r="F80" s="42"/>
      <c r="G80" s="42"/>
      <c r="H80" s="1003"/>
      <c r="I80" s="311"/>
      <c r="J80" s="2028"/>
      <c r="K80" s="3442"/>
      <c r="L80" s="3420"/>
      <c r="M80" s="3058" t="s">
        <v>424</v>
      </c>
      <c r="N80" s="1302"/>
      <c r="O80" s="1303" t="str">
        <f ca="1">NUMBERSTRING(INT(O79*10000),2)&amp;"元整"</f>
        <v>叁亿陆仟伍佰伍拾玖万元整</v>
      </c>
      <c r="P80" s="1304"/>
      <c r="Q80" s="2028"/>
      <c r="R80" s="2028"/>
      <c r="S80" s="2028"/>
      <c r="T80" s="2028"/>
      <c r="U80" s="2028"/>
      <c r="V80" s="2028"/>
    </row>
    <row r="81" spans="1:26" ht="13.8" thickBot="1">
      <c r="A81" s="381" t="s">
        <v>1822</v>
      </c>
      <c r="B81" s="371" t="s">
        <v>430</v>
      </c>
      <c r="C81" s="372">
        <f ca="1">ROUND((C82+C83)/(1+'数据-取费表'!C42),0)</f>
        <v>36799</v>
      </c>
      <c r="D81" s="373"/>
      <c r="E81" s="374"/>
      <c r="F81" s="42"/>
      <c r="G81" s="42"/>
      <c r="H81" s="1003"/>
      <c r="I81" s="311"/>
      <c r="J81" s="2028"/>
      <c r="K81" s="3052">
        <f>K79+1</f>
        <v>6</v>
      </c>
      <c r="L81" s="3418" t="s">
        <v>2883</v>
      </c>
      <c r="M81" s="3419"/>
      <c r="N81" s="1306"/>
      <c r="O81" s="1307">
        <f ca="1">ROUND(O79*10000/'数据-汇总表'!E3,0)</f>
        <v>3583</v>
      </c>
      <c r="P81" s="1308"/>
      <c r="Q81" s="2028"/>
      <c r="R81" s="2028"/>
      <c r="S81" s="2028"/>
      <c r="T81" s="2028"/>
      <c r="U81" s="2028"/>
      <c r="V81" s="2028"/>
    </row>
    <row r="82" spans="1:26" ht="13.8" thickTop="1">
      <c r="A82" s="375" t="s">
        <v>1823</v>
      </c>
      <c r="B82" s="376" t="s">
        <v>431</v>
      </c>
      <c r="C82" s="377">
        <f ca="1">D63</f>
        <v>38639</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430" t="s">
        <v>2871</v>
      </c>
      <c r="L83" s="3064" t="s">
        <v>2872</v>
      </c>
      <c r="M83" s="3054">
        <f ca="1">IF(N69&gt;10000,N69*0.5%,IF(AND(N69&gt;1000,N69&lt;=10000),N69*1%,IF(AND(N69&gt;100,N69&lt;=1000),N69*3%,IF(AND(N69&gt;10,N69&lt;=100),N69*5%,N69*8%))))</f>
        <v>193.19499999999999</v>
      </c>
      <c r="N83" s="53">
        <f ca="1">ROUND(M83,1)</f>
        <v>193.2</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430"/>
      <c r="L84" s="3064" t="s">
        <v>2873</v>
      </c>
      <c r="M84" s="3054">
        <f ca="1">IF(N69&gt;2000,N69*0.5%,IF(AND(N69&gt;1000,N69&lt;=2000),N69*0.6%,IF(AND(N69&gt;500,N69&lt;=1000),N69*0.7%,IF(AND(N69&gt;200,N69&lt;=500),N69*0.8%,IF(AND(N69&gt;100,N69&lt;=200),N69*0.9%,IF(AND(N69&gt;50,N69&lt;=100),N69*1%,IF(AND(N69&gt;20,N69&lt;=50),N69*1.5%,IF(AND(N69&gt;10,N69&lt;=20),N69*2%,IF(AND(N69&gt;1,N69&lt;=10),N69*2.5%)))))))))</f>
        <v>193.19499999999999</v>
      </c>
      <c r="N84" s="53">
        <f t="shared" ref="N84:N85" ca="1" si="2">ROUND(M84,1)</f>
        <v>193.2</v>
      </c>
      <c r="O84" s="2028" t="s">
        <v>2874</v>
      </c>
      <c r="P84" s="2028"/>
      <c r="Q84" s="2028"/>
      <c r="R84" s="2028"/>
      <c r="S84" s="2028"/>
      <c r="T84" s="2028"/>
      <c r="U84" s="2028"/>
      <c r="V84" s="2028"/>
    </row>
    <row r="85" spans="1:26" ht="13.2">
      <c r="A85" s="381" t="s">
        <v>1826</v>
      </c>
      <c r="B85" s="382" t="s">
        <v>434</v>
      </c>
      <c r="C85" s="385">
        <f ca="1">C81-C84</f>
        <v>34799</v>
      </c>
      <c r="D85" s="378" t="s">
        <v>19</v>
      </c>
      <c r="E85" s="379"/>
      <c r="F85" s="42"/>
      <c r="G85" s="42"/>
      <c r="H85" s="1003"/>
      <c r="I85" s="311"/>
      <c r="J85" s="2028"/>
      <c r="K85" s="3430"/>
      <c r="L85" s="3064" t="s">
        <v>2875</v>
      </c>
      <c r="M85" s="3054">
        <f ca="1">IF(N69&gt;1000,N69*0.1%,IF(AND(N69&gt;500,N69&lt;=1000),N69*0.5%,IF(AND(N69&gt;50,N69&lt;=500),N69*1%,IF(AND(N69&gt;1,N69&lt;=50),N69*1.5%))))</f>
        <v>38.639000000000003</v>
      </c>
      <c r="N85" s="53">
        <f t="shared" ca="1" si="2"/>
        <v>38.6</v>
      </c>
      <c r="O85" s="2028" t="s">
        <v>2874</v>
      </c>
      <c r="P85" s="2028"/>
      <c r="Q85" s="2028"/>
      <c r="R85" s="2028"/>
      <c r="S85" s="2028"/>
      <c r="T85" s="2028"/>
      <c r="U85" s="2028"/>
      <c r="V85" s="2028"/>
    </row>
    <row r="86" spans="1:26" ht="13.8" thickBot="1">
      <c r="A86" s="386" t="s">
        <v>1827</v>
      </c>
      <c r="B86" s="387" t="s">
        <v>435</v>
      </c>
      <c r="C86" s="388">
        <f ca="1">IF(C85&lt;=0,0,ROUND(C85*D86,0))</f>
        <v>1949</v>
      </c>
      <c r="D86" s="389">
        <f>'数据-取费表'!B41</f>
        <v>5.6000000000000001E-2</v>
      </c>
      <c r="E86" s="390"/>
      <c r="F86" s="42"/>
      <c r="G86" s="42"/>
      <c r="H86" s="1003"/>
      <c r="I86" s="311"/>
      <c r="J86" s="2028"/>
      <c r="K86" s="3430"/>
      <c r="L86" s="3064" t="s">
        <v>2876</v>
      </c>
      <c r="M86" s="3054">
        <f ca="1">N69*0.5%</f>
        <v>193.19499999999999</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30"/>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11.113900000000001</v>
      </c>
      <c r="N87" s="53">
        <f ca="1">ROUND(M87*0.9,1)</f>
        <v>10</v>
      </c>
      <c r="O87" s="3057"/>
      <c r="P87" s="311"/>
      <c r="Q87" s="2028"/>
      <c r="R87" s="2028"/>
      <c r="S87" s="2028"/>
      <c r="T87" s="2028"/>
      <c r="U87" s="2028"/>
      <c r="V87" s="2028"/>
      <c r="W87" s="292"/>
      <c r="X87" s="292"/>
      <c r="Y87" s="292"/>
      <c r="Z87" s="292"/>
    </row>
    <row r="88" spans="1:26" s="1314" customFormat="1" ht="14.4" thickBot="1">
      <c r="A88" s="3412" t="s">
        <v>436</v>
      </c>
      <c r="B88" s="3413"/>
      <c r="C88" s="3413"/>
      <c r="D88" s="3413"/>
      <c r="E88" s="3413"/>
      <c r="F88" s="3413"/>
      <c r="G88" s="3413"/>
      <c r="H88" s="3413"/>
      <c r="I88" s="1315"/>
      <c r="J88" s="2036"/>
      <c r="K88" s="3430"/>
      <c r="L88" s="3064" t="s">
        <v>2879</v>
      </c>
      <c r="M88" s="3054">
        <f ca="1">IF(N69&gt;10000,N69*0.5%,IF(AND(N69&gt;5000,N69&lt;=10000),N69*1%,IF(AND(N69&gt;1000,N69&lt;=5000),N69*2%,IF(AND(N69&gt;200,N69&lt;=1000),N69*3%,N69*5%))))</f>
        <v>193.19499999999999</v>
      </c>
      <c r="N88" s="53">
        <f ca="1">ROUND(M88,1)</f>
        <v>193.2</v>
      </c>
      <c r="O88" s="3057"/>
      <c r="P88" s="11"/>
      <c r="Q88" s="2033"/>
      <c r="R88" s="2033"/>
      <c r="S88" s="2033"/>
      <c r="T88" s="2033"/>
      <c r="U88" s="2033"/>
      <c r="V88" s="2033"/>
      <c r="W88" s="2037"/>
      <c r="X88" s="2037"/>
      <c r="Y88" s="2037"/>
      <c r="Z88" s="2037"/>
    </row>
    <row r="89" spans="1:26" s="1314" customFormat="1" ht="13.8">
      <c r="A89" s="3410" t="s">
        <v>427</v>
      </c>
      <c r="B89" s="3411"/>
      <c r="C89" s="994"/>
      <c r="D89" s="994" t="s">
        <v>428</v>
      </c>
      <c r="E89" s="391" t="s">
        <v>437</v>
      </c>
      <c r="F89" s="392"/>
      <c r="G89" s="392"/>
      <c r="H89" s="393"/>
      <c r="I89" s="1316"/>
      <c r="J89" s="2038"/>
      <c r="K89" s="3430"/>
      <c r="L89" s="3064" t="s">
        <v>27</v>
      </c>
      <c r="M89" s="3055"/>
      <c r="N89" s="53">
        <f ca="1">ROUND(SUM(N83:N88),0)</f>
        <v>629</v>
      </c>
      <c r="O89" s="3065">
        <f ca="1">N89/N69</f>
        <v>1.6278889205207175E-2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36799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3" t="s">
        <v>446</v>
      </c>
      <c r="F94" s="3372"/>
      <c r="G94" s="3372"/>
      <c r="H94" s="340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401" t="s">
        <v>2428</v>
      </c>
      <c r="F96" s="3402"/>
      <c r="G96" s="3402"/>
      <c r="H96" s="340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34017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12.227534148094895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19437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12" t="s">
        <v>453</v>
      </c>
      <c r="B101" s="3413"/>
      <c r="C101" s="3413"/>
      <c r="D101" s="3413"/>
      <c r="E101" s="3413"/>
      <c r="F101" s="3413"/>
      <c r="G101" s="3413"/>
      <c r="H101" s="341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410" t="s">
        <v>427</v>
      </c>
      <c r="B102" s="3411"/>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36799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04" t="s">
        <v>461</v>
      </c>
      <c r="F109" s="3402"/>
      <c r="G109" s="3402"/>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04" t="s">
        <v>463</v>
      </c>
      <c r="F110" s="3402"/>
      <c r="G110" s="3402"/>
      <c r="H110" s="340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401" t="s">
        <v>2428</v>
      </c>
      <c r="F111" s="3402"/>
      <c r="G111" s="3402"/>
      <c r="H111" s="340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04" t="s">
        <v>2452</v>
      </c>
      <c r="F112" s="3402"/>
      <c r="G112" s="3402"/>
      <c r="H112" s="340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-8772</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M52" sqref="M52"/>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35899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55" t="s">
        <v>521</v>
      </c>
      <c r="D6" s="3456"/>
      <c r="E6" s="3455" t="s">
        <v>522</v>
      </c>
      <c r="F6" s="3456"/>
      <c r="G6" s="3455" t="s">
        <v>523</v>
      </c>
      <c r="H6" s="3456"/>
      <c r="I6" s="3455" t="s">
        <v>524</v>
      </c>
      <c r="J6" s="3456"/>
      <c r="K6" s="514" t="s">
        <v>525</v>
      </c>
      <c r="L6" s="2133"/>
      <c r="M6" s="2132"/>
      <c r="N6" s="2132"/>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30" ht="67.2" customHeight="1">
      <c r="A7" s="515"/>
      <c r="B7" s="516"/>
      <c r="C7" s="3473" t="s">
        <v>3154</v>
      </c>
      <c r="D7" s="3472"/>
      <c r="E7" s="3471" t="str">
        <f>土地案例!A19</f>
        <v>两江新区龙兴组团H分区H13-1/01、H16-1/01、H17-1/01、H17-2/01、H19-1/01、H26-1/01号宗地</v>
      </c>
      <c r="F7" s="3472"/>
      <c r="G7" s="3471" t="str">
        <f>土地案例!A20</f>
        <v>两江新区龙兴组团H分区H23-1/01、H18-2/01、H20-1/01、H21-1/01、H26-2/01、H26-3/01、H26-4/01、H28-3/01、H29-1/01号宗地</v>
      </c>
      <c r="H7" s="3472"/>
      <c r="I7" s="3471" t="str">
        <f>土地案例!A25</f>
        <v>两江新区龙兴组团K、H分区K27-1/01、K29-1/01、*K30-3/01、K31-1/01、K31-8/01、K33-2/01、H25-2/01号宗地</v>
      </c>
      <c r="J7" s="3472"/>
      <c r="K7" s="514"/>
      <c r="L7" s="2133"/>
      <c r="M7" s="2132"/>
      <c r="N7" s="2132"/>
      <c r="O7" s="2134"/>
      <c r="P7" s="3459"/>
      <c r="Q7" s="3460"/>
      <c r="R7" s="3465"/>
      <c r="S7" s="3466"/>
      <c r="T7" s="3465"/>
      <c r="U7" s="3466"/>
      <c r="V7" s="3450"/>
      <c r="W7" s="3450"/>
      <c r="X7" s="1566"/>
      <c r="Y7" s="3465"/>
      <c r="Z7" s="3466"/>
      <c r="AA7" s="3453"/>
      <c r="AB7" s="3453"/>
      <c r="AC7" s="3453"/>
    </row>
    <row r="8" spans="1:30" ht="21.6" thickBot="1">
      <c r="A8" s="515"/>
      <c r="B8" s="516"/>
      <c r="C8" s="3474" t="s">
        <v>3155</v>
      </c>
      <c r="D8" s="3475"/>
      <c r="E8" s="3476" t="str">
        <f>C8</f>
        <v>重庆两江新区</v>
      </c>
      <c r="F8" s="3475"/>
      <c r="G8" s="3469" t="str">
        <f>E8</f>
        <v>重庆两江新区</v>
      </c>
      <c r="H8" s="3470"/>
      <c r="I8" s="3469" t="str">
        <f>E8</f>
        <v>重庆两江新区</v>
      </c>
      <c r="J8" s="3470"/>
      <c r="K8" s="514" t="s">
        <v>527</v>
      </c>
      <c r="L8" s="2133"/>
      <c r="M8" s="2132"/>
      <c r="N8" s="2132"/>
      <c r="O8" s="2134"/>
      <c r="P8" s="3461"/>
      <c r="Q8" s="3462"/>
      <c r="R8" s="3465"/>
      <c r="S8" s="3466"/>
      <c r="T8" s="3467"/>
      <c r="U8" s="3468"/>
      <c r="V8" s="3450"/>
      <c r="W8" s="3450"/>
      <c r="X8" s="1566"/>
      <c r="Y8" s="3467"/>
      <c r="Z8" s="3468"/>
      <c r="AA8" s="3454"/>
      <c r="AB8" s="3454"/>
      <c r="AC8" s="3454"/>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82" t="s">
        <v>529</v>
      </c>
      <c r="Q9" s="3484"/>
      <c r="R9" s="1567" t="s">
        <v>8</v>
      </c>
      <c r="S9" s="1568">
        <f t="shared" ref="S9:S17" si="0">F9</f>
        <v>95</v>
      </c>
      <c r="T9" s="1567" t="s">
        <v>8</v>
      </c>
      <c r="U9" s="1568">
        <f t="shared" ref="U9:U17" si="1">H9</f>
        <v>95</v>
      </c>
      <c r="V9" s="1567" t="s">
        <v>8</v>
      </c>
      <c r="W9" s="1568">
        <f t="shared" ref="W9:W17" si="2">J9</f>
        <v>95</v>
      </c>
      <c r="X9" s="1569"/>
      <c r="Y9" s="3482" t="s">
        <v>529</v>
      </c>
      <c r="Z9" s="3483"/>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82" t="s">
        <v>532</v>
      </c>
      <c r="Q10" s="3483"/>
      <c r="R10" s="1567" t="s">
        <v>8</v>
      </c>
      <c r="S10" s="1568">
        <f t="shared" si="0"/>
        <v>100</v>
      </c>
      <c r="T10" s="1567" t="s">
        <v>8</v>
      </c>
      <c r="U10" s="1568">
        <f t="shared" si="1"/>
        <v>100</v>
      </c>
      <c r="V10" s="1567" t="s">
        <v>8</v>
      </c>
      <c r="W10" s="1568">
        <f t="shared" si="2"/>
        <v>100</v>
      </c>
      <c r="X10" s="1569"/>
      <c r="Y10" s="3482" t="s">
        <v>532</v>
      </c>
      <c r="Z10" s="3483"/>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49"/>
      <c r="Q12" s="1151" t="str">
        <f t="shared" si="6"/>
        <v>土地使用年限（年）</v>
      </c>
      <c r="R12" s="1567" t="s">
        <v>8</v>
      </c>
      <c r="S12" s="1568">
        <f t="shared" si="0"/>
        <v>103</v>
      </c>
      <c r="T12" s="1567" t="s">
        <v>8</v>
      </c>
      <c r="U12" s="1568">
        <f t="shared" si="1"/>
        <v>103</v>
      </c>
      <c r="V12" s="1567" t="s">
        <v>8</v>
      </c>
      <c r="W12" s="1568">
        <f t="shared" si="2"/>
        <v>103</v>
      </c>
      <c r="X12" s="1569"/>
      <c r="Y12" s="3395"/>
      <c r="Z12" s="1150" t="str">
        <f t="shared" si="7"/>
        <v>土地使用年限（年）</v>
      </c>
      <c r="AA12" s="1570">
        <f t="shared" si="3"/>
        <v>0.970873786407767</v>
      </c>
      <c r="AB12" s="1570">
        <f t="shared" si="4"/>
        <v>0.970873786407767</v>
      </c>
      <c r="AC12" s="1570">
        <f t="shared" si="5"/>
        <v>0.970873786407767</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49"/>
      <c r="Q13" s="1151" t="str">
        <f t="shared" si="6"/>
        <v>容积率</v>
      </c>
      <c r="R13" s="1567" t="s">
        <v>8</v>
      </c>
      <c r="S13" s="1568">
        <f t="shared" si="0"/>
        <v>100</v>
      </c>
      <c r="T13" s="1567" t="s">
        <v>8</v>
      </c>
      <c r="U13" s="1568">
        <f t="shared" si="1"/>
        <v>101</v>
      </c>
      <c r="V13" s="1567" t="s">
        <v>8</v>
      </c>
      <c r="W13" s="1568">
        <f t="shared" si="2"/>
        <v>100</v>
      </c>
      <c r="X13" s="1569"/>
      <c r="Y13" s="3395"/>
      <c r="Z13" s="1150" t="str">
        <f t="shared" si="7"/>
        <v>容积率</v>
      </c>
      <c r="AA13" s="1570">
        <f t="shared" si="3"/>
        <v>1</v>
      </c>
      <c r="AB13" s="1570">
        <f t="shared" si="4"/>
        <v>0.99009900990099009</v>
      </c>
      <c r="AC13" s="1570">
        <f t="shared" si="5"/>
        <v>1</v>
      </c>
    </row>
    <row r="14" spans="1:30" s="1220" customFormat="1" ht="21"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49"/>
      <c r="Q14" s="1151" t="str">
        <f t="shared" si="6"/>
        <v>配建</v>
      </c>
      <c r="R14" s="1567" t="s">
        <v>8</v>
      </c>
      <c r="S14" s="1568">
        <f t="shared" si="0"/>
        <v>100</v>
      </c>
      <c r="T14" s="1567" t="s">
        <v>8</v>
      </c>
      <c r="U14" s="1568">
        <f t="shared" si="1"/>
        <v>100</v>
      </c>
      <c r="V14" s="1567" t="s">
        <v>8</v>
      </c>
      <c r="W14" s="1568">
        <f t="shared" si="2"/>
        <v>100</v>
      </c>
      <c r="X14" s="1569"/>
      <c r="Y14" s="3395"/>
      <c r="Z14" s="1150" t="str">
        <f t="shared" si="7"/>
        <v>配建</v>
      </c>
      <c r="AA14" s="1570">
        <f>D14/F14</f>
        <v>1</v>
      </c>
      <c r="AB14" s="1570">
        <f>D14/H14</f>
        <v>1</v>
      </c>
      <c r="AC14" s="1570">
        <f>D14/J14</f>
        <v>1</v>
      </c>
    </row>
    <row r="15" spans="1:30" ht="21"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49"/>
      <c r="Q15" s="1151">
        <f t="shared" si="6"/>
        <v>0</v>
      </c>
      <c r="R15" s="1567" t="s">
        <v>8</v>
      </c>
      <c r="S15" s="1568">
        <f t="shared" si="0"/>
        <v>100</v>
      </c>
      <c r="T15" s="1567" t="s">
        <v>8</v>
      </c>
      <c r="U15" s="1568">
        <f t="shared" si="1"/>
        <v>100</v>
      </c>
      <c r="V15" s="1567" t="s">
        <v>8</v>
      </c>
      <c r="W15" s="1568">
        <f t="shared" si="2"/>
        <v>100</v>
      </c>
      <c r="X15" s="1569"/>
      <c r="Y15" s="3395"/>
      <c r="Z15" s="1150">
        <f t="shared" si="7"/>
        <v>0</v>
      </c>
      <c r="AA15" s="1570">
        <f>D15/F15</f>
        <v>1</v>
      </c>
      <c r="AB15" s="1570">
        <f>D15/H15</f>
        <v>1</v>
      </c>
      <c r="AC15" s="1570">
        <f>D15/J15</f>
        <v>1</v>
      </c>
    </row>
    <row r="16" spans="1:30" ht="21.6"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49"/>
      <c r="Q16" s="1151" t="str">
        <f t="shared" si="6"/>
        <v>是否有自持</v>
      </c>
      <c r="R16" s="1567" t="s">
        <v>8</v>
      </c>
      <c r="S16" s="1568">
        <f t="shared" si="0"/>
        <v>100</v>
      </c>
      <c r="T16" s="1567" t="s">
        <v>8</v>
      </c>
      <c r="U16" s="1568">
        <f t="shared" si="1"/>
        <v>95</v>
      </c>
      <c r="V16" s="1567" t="s">
        <v>8</v>
      </c>
      <c r="W16" s="1568">
        <f t="shared" si="2"/>
        <v>100</v>
      </c>
      <c r="X16" s="1569"/>
      <c r="Y16" s="3395"/>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85" t="s">
        <v>539</v>
      </c>
      <c r="Q17" s="1571" t="str">
        <f t="shared" si="6"/>
        <v>居住社区成熟度</v>
      </c>
      <c r="R17" s="1572" t="s">
        <v>8</v>
      </c>
      <c r="S17" s="1573">
        <f t="shared" si="0"/>
        <v>100</v>
      </c>
      <c r="T17" s="1572" t="s">
        <v>8</v>
      </c>
      <c r="U17" s="1573">
        <f t="shared" si="1"/>
        <v>100</v>
      </c>
      <c r="V17" s="1572" t="s">
        <v>8</v>
      </c>
      <c r="W17" s="1573">
        <f t="shared" si="2"/>
        <v>98</v>
      </c>
      <c r="X17" s="1566"/>
      <c r="Y17" s="3485"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86"/>
      <c r="Q18" s="1571"/>
      <c r="R18" s="1572"/>
      <c r="S18" s="1573"/>
      <c r="T18" s="1572"/>
      <c r="U18" s="1573"/>
      <c r="V18" s="1572"/>
      <c r="W18" s="1573"/>
      <c r="X18" s="1566"/>
      <c r="Y18" s="3486"/>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86"/>
      <c r="Q19" s="1571" t="str">
        <f>B19</f>
        <v>商业繁华度</v>
      </c>
      <c r="R19" s="1572" t="s">
        <v>8</v>
      </c>
      <c r="S19" s="1573">
        <f>F19</f>
        <v>102</v>
      </c>
      <c r="T19" s="1572" t="s">
        <v>8</v>
      </c>
      <c r="U19" s="1573">
        <f>H19</f>
        <v>102</v>
      </c>
      <c r="V19" s="1572" t="s">
        <v>8</v>
      </c>
      <c r="W19" s="1573">
        <f>J19</f>
        <v>100</v>
      </c>
      <c r="X19" s="1566"/>
      <c r="Y19" s="3486"/>
      <c r="Z19" s="1574" t="str">
        <f>Q19</f>
        <v>商业繁华度</v>
      </c>
      <c r="AA19" s="1575">
        <f t="shared" si="3"/>
        <v>0.98039215686274506</v>
      </c>
      <c r="AB19" s="1575">
        <f t="shared" si="4"/>
        <v>0.98039215686274506</v>
      </c>
      <c r="AC19" s="1575">
        <f t="shared" si="5"/>
        <v>1</v>
      </c>
    </row>
    <row r="20" spans="1:29" ht="21">
      <c r="A20" s="532"/>
      <c r="B20" s="566"/>
      <c r="C20" s="554" t="s">
        <v>3420</v>
      </c>
      <c r="D20" s="563"/>
      <c r="E20" s="554" t="s">
        <v>3061</v>
      </c>
      <c r="F20" s="559"/>
      <c r="G20" s="554" t="s">
        <v>3061</v>
      </c>
      <c r="H20" s="555"/>
      <c r="I20" s="558" t="s">
        <v>3420</v>
      </c>
      <c r="J20" s="555"/>
      <c r="K20" s="531"/>
      <c r="L20" s="2142"/>
      <c r="M20" s="2132"/>
      <c r="N20" s="2132"/>
      <c r="O20" s="2141"/>
      <c r="P20" s="3486"/>
      <c r="Q20" s="1571"/>
      <c r="R20" s="1572"/>
      <c r="S20" s="1573"/>
      <c r="T20" s="1572"/>
      <c r="U20" s="1573"/>
      <c r="V20" s="1572"/>
      <c r="W20" s="1573"/>
      <c r="X20" s="1566"/>
      <c r="Y20" s="3486"/>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86"/>
      <c r="Q21" s="1571" t="str">
        <f>B21</f>
        <v>办公集聚程度</v>
      </c>
      <c r="R21" s="1572" t="s">
        <v>8</v>
      </c>
      <c r="S21" s="1573">
        <f>F21</f>
        <v>100</v>
      </c>
      <c r="T21" s="1572" t="s">
        <v>8</v>
      </c>
      <c r="U21" s="1573">
        <f>H21</f>
        <v>100</v>
      </c>
      <c r="V21" s="1572" t="s">
        <v>8</v>
      </c>
      <c r="W21" s="1573">
        <f>J21</f>
        <v>100</v>
      </c>
      <c r="X21" s="1566"/>
      <c r="Y21" s="3486"/>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86"/>
      <c r="Q22" s="1571"/>
      <c r="R22" s="1572"/>
      <c r="S22" s="1573"/>
      <c r="T22" s="1572"/>
      <c r="U22" s="1573"/>
      <c r="V22" s="1572"/>
      <c r="W22" s="1573"/>
      <c r="X22" s="1566"/>
      <c r="Y22" s="3486"/>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86"/>
      <c r="Q23" s="1571" t="str">
        <f>B23</f>
        <v>交通便捷度</v>
      </c>
      <c r="R23" s="1572" t="s">
        <v>8</v>
      </c>
      <c r="S23" s="1573">
        <f>F23</f>
        <v>102</v>
      </c>
      <c r="T23" s="1572" t="s">
        <v>8</v>
      </c>
      <c r="U23" s="1573">
        <f>H23</f>
        <v>102</v>
      </c>
      <c r="V23" s="1572" t="s">
        <v>8</v>
      </c>
      <c r="W23" s="1573">
        <f>J23</f>
        <v>100</v>
      </c>
      <c r="X23" s="1566"/>
      <c r="Y23" s="3486"/>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86"/>
      <c r="Q24" s="1571"/>
      <c r="R24" s="1572"/>
      <c r="S24" s="1573"/>
      <c r="T24" s="1572"/>
      <c r="U24" s="1573"/>
      <c r="V24" s="1572"/>
      <c r="W24" s="1573"/>
      <c r="X24" s="1566"/>
      <c r="Y24" s="3486"/>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86"/>
      <c r="Q25" s="1571" t="str">
        <f t="shared" ref="Q25:Q39" si="8">B25</f>
        <v>区域土地利用方向</v>
      </c>
      <c r="R25" s="1572" t="s">
        <v>8</v>
      </c>
      <c r="S25" s="1573">
        <f>F25</f>
        <v>100</v>
      </c>
      <c r="T25" s="1572" t="s">
        <v>8</v>
      </c>
      <c r="U25" s="1573">
        <f>H25</f>
        <v>100</v>
      </c>
      <c r="V25" s="1572" t="s">
        <v>8</v>
      </c>
      <c r="W25" s="1573">
        <f>J25</f>
        <v>100</v>
      </c>
      <c r="X25" s="1566"/>
      <c r="Y25" s="3486"/>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86"/>
      <c r="Q26" s="1571"/>
      <c r="R26" s="1572"/>
      <c r="S26" s="1573"/>
      <c r="T26" s="1572"/>
      <c r="U26" s="1573"/>
      <c r="V26" s="1572"/>
      <c r="W26" s="1573"/>
      <c r="X26" s="1566"/>
      <c r="Y26" s="3486"/>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86"/>
      <c r="Q27" s="1571" t="str">
        <f t="shared" si="8"/>
        <v>自然及人文环境状况</v>
      </c>
      <c r="R27" s="1572" t="s">
        <v>8</v>
      </c>
      <c r="S27" s="1573">
        <f>F27</f>
        <v>102</v>
      </c>
      <c r="T27" s="1572" t="s">
        <v>8</v>
      </c>
      <c r="U27" s="1573">
        <f>H27</f>
        <v>102</v>
      </c>
      <c r="V27" s="1572" t="s">
        <v>8</v>
      </c>
      <c r="W27" s="1573">
        <f>J27</f>
        <v>102</v>
      </c>
      <c r="X27" s="1566"/>
      <c r="Y27" s="3486"/>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86"/>
      <c r="Q28" s="1571"/>
      <c r="R28" s="1572"/>
      <c r="S28" s="1573"/>
      <c r="T28" s="1572"/>
      <c r="U28" s="1573"/>
      <c r="V28" s="1572"/>
      <c r="W28" s="1573"/>
      <c r="X28" s="1566"/>
      <c r="Y28" s="3486"/>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86"/>
      <c r="Q29" s="1151" t="str">
        <f t="shared" si="8"/>
        <v>公共配套设施</v>
      </c>
      <c r="R29" s="1567" t="s">
        <v>8</v>
      </c>
      <c r="S29" s="1568">
        <f>F29</f>
        <v>102</v>
      </c>
      <c r="T29" s="1567" t="s">
        <v>8</v>
      </c>
      <c r="U29" s="1568">
        <f>H29</f>
        <v>102</v>
      </c>
      <c r="V29" s="1567" t="s">
        <v>8</v>
      </c>
      <c r="W29" s="1568">
        <f>J29</f>
        <v>98</v>
      </c>
      <c r="X29" s="1569"/>
      <c r="Y29" s="3486"/>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3420</v>
      </c>
      <c r="J30" s="555"/>
      <c r="K30" s="531"/>
      <c r="L30" s="2135"/>
      <c r="M30" s="2132"/>
      <c r="N30" s="2132"/>
      <c r="O30" s="2137"/>
      <c r="P30" s="3486"/>
      <c r="Q30" s="1151"/>
      <c r="R30" s="1567"/>
      <c r="S30" s="1568"/>
      <c r="T30" s="1567"/>
      <c r="U30" s="1568"/>
      <c r="V30" s="1567"/>
      <c r="W30" s="1568"/>
      <c r="X30" s="1569"/>
      <c r="Y30" s="3486"/>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86"/>
      <c r="Q31" s="2578" t="str">
        <f t="shared" ref="Q31" si="9">B31</f>
        <v>基础设施水平</v>
      </c>
      <c r="R31" s="1567" t="s">
        <v>8</v>
      </c>
      <c r="S31" s="1568">
        <f>F31</f>
        <v>100</v>
      </c>
      <c r="T31" s="1567" t="s">
        <v>8</v>
      </c>
      <c r="U31" s="1568">
        <f>H31</f>
        <v>100</v>
      </c>
      <c r="V31" s="1567" t="s">
        <v>8</v>
      </c>
      <c r="W31" s="1568">
        <f>J31</f>
        <v>100</v>
      </c>
      <c r="X31" s="1569"/>
      <c r="Y31" s="3486"/>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86"/>
      <c r="Q32" s="2578"/>
      <c r="R32" s="1567"/>
      <c r="S32" s="1568"/>
      <c r="T32" s="1567"/>
      <c r="U32" s="1568"/>
      <c r="V32" s="1567"/>
      <c r="W32" s="1568"/>
      <c r="X32" s="1569"/>
      <c r="Y32" s="3486"/>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8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6"/>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86"/>
      <c r="Q34" s="1571" t="str">
        <f t="shared" si="8"/>
        <v>毗邻道路的类型与等级</v>
      </c>
      <c r="R34" s="1572" t="s">
        <v>8</v>
      </c>
      <c r="S34" s="1573">
        <f t="shared" si="10"/>
        <v>100</v>
      </c>
      <c r="T34" s="1572" t="s">
        <v>8</v>
      </c>
      <c r="U34" s="1573">
        <f t="shared" si="11"/>
        <v>100</v>
      </c>
      <c r="V34" s="1572" t="s">
        <v>8</v>
      </c>
      <c r="W34" s="1573">
        <f t="shared" si="12"/>
        <v>100</v>
      </c>
      <c r="X34" s="1566"/>
      <c r="Y34" s="3486"/>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86"/>
      <c r="Q35" s="1571"/>
      <c r="R35" s="1572"/>
      <c r="S35" s="1573"/>
      <c r="T35" s="1572"/>
      <c r="U35" s="1573"/>
      <c r="V35" s="1572"/>
      <c r="W35" s="1573"/>
      <c r="X35" s="1566"/>
      <c r="Y35" s="3486"/>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86"/>
      <c r="Q36" s="1571" t="str">
        <f t="shared" si="8"/>
        <v>土地级别</v>
      </c>
      <c r="R36" s="1572" t="s">
        <v>8</v>
      </c>
      <c r="S36" s="1573">
        <f t="shared" si="10"/>
        <v>100</v>
      </c>
      <c r="T36" s="1572" t="s">
        <v>8</v>
      </c>
      <c r="U36" s="1573">
        <f t="shared" si="11"/>
        <v>100</v>
      </c>
      <c r="V36" s="1572" t="s">
        <v>8</v>
      </c>
      <c r="W36" s="1573">
        <f t="shared" si="12"/>
        <v>100</v>
      </c>
      <c r="X36" s="1566"/>
      <c r="Y36" s="3486"/>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86"/>
      <c r="Q37" s="1571">
        <f t="shared" si="8"/>
        <v>111</v>
      </c>
      <c r="R37" s="1572" t="s">
        <v>8</v>
      </c>
      <c r="S37" s="1573">
        <f t="shared" si="10"/>
        <v>100</v>
      </c>
      <c r="T37" s="1572" t="s">
        <v>8</v>
      </c>
      <c r="U37" s="1573">
        <f t="shared" si="11"/>
        <v>100</v>
      </c>
      <c r="V37" s="1572" t="s">
        <v>8</v>
      </c>
      <c r="W37" s="1573">
        <f t="shared" si="12"/>
        <v>100</v>
      </c>
      <c r="X37" s="1566"/>
      <c r="Y37" s="3486"/>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87" t="s">
        <v>549</v>
      </c>
      <c r="Q38" s="1571">
        <f t="shared" si="8"/>
        <v>111</v>
      </c>
      <c r="R38" s="1572" t="s">
        <v>8</v>
      </c>
      <c r="S38" s="1573">
        <f t="shared" si="10"/>
        <v>100</v>
      </c>
      <c r="T38" s="1572" t="s">
        <v>8</v>
      </c>
      <c r="U38" s="1573">
        <f t="shared" si="11"/>
        <v>100</v>
      </c>
      <c r="V38" s="1572" t="s">
        <v>8</v>
      </c>
      <c r="W38" s="1573">
        <f t="shared" si="12"/>
        <v>100</v>
      </c>
      <c r="X38" s="1566"/>
      <c r="Y38" s="3488"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88"/>
      <c r="Q39" s="1571">
        <f t="shared" si="8"/>
        <v>111</v>
      </c>
      <c r="R39" s="1576" t="s">
        <v>8</v>
      </c>
      <c r="S39" s="1577">
        <f t="shared" si="10"/>
        <v>100</v>
      </c>
      <c r="T39" s="1576" t="s">
        <v>8</v>
      </c>
      <c r="U39" s="1577">
        <f t="shared" si="11"/>
        <v>100</v>
      </c>
      <c r="V39" s="1576" t="s">
        <v>8</v>
      </c>
      <c r="W39" s="1577">
        <f t="shared" si="12"/>
        <v>100</v>
      </c>
      <c r="X39" s="1578"/>
      <c r="Y39" s="3488"/>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88"/>
      <c r="Q40" s="1571" t="str">
        <f>B40</f>
        <v>宗地面积</v>
      </c>
      <c r="R40" s="1572" t="s">
        <v>8</v>
      </c>
      <c r="S40" s="1573">
        <f t="shared" si="10"/>
        <v>102</v>
      </c>
      <c r="T40" s="1572" t="s">
        <v>8</v>
      </c>
      <c r="U40" s="1573">
        <f t="shared" si="11"/>
        <v>102</v>
      </c>
      <c r="V40" s="1572" t="s">
        <v>8</v>
      </c>
      <c r="W40" s="1573">
        <f t="shared" si="12"/>
        <v>102</v>
      </c>
      <c r="X40" s="1566"/>
      <c r="Y40" s="3488"/>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88"/>
      <c r="Q41" s="1571" t="str">
        <f t="shared" ref="Q41:Q47" si="14">B41</f>
        <v>宗地形状</v>
      </c>
      <c r="R41" s="1572" t="s">
        <v>8</v>
      </c>
      <c r="S41" s="1573">
        <f t="shared" si="10"/>
        <v>100</v>
      </c>
      <c r="T41" s="1572" t="s">
        <v>8</v>
      </c>
      <c r="U41" s="1573">
        <f t="shared" si="11"/>
        <v>100</v>
      </c>
      <c r="V41" s="1572" t="s">
        <v>8</v>
      </c>
      <c r="W41" s="1573">
        <f t="shared" si="12"/>
        <v>100</v>
      </c>
      <c r="X41" s="1566"/>
      <c r="Y41" s="3488"/>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88"/>
      <c r="Q42" s="1571" t="str">
        <f t="shared" si="14"/>
        <v>临街宽度及深度</v>
      </c>
      <c r="R42" s="1572" t="s">
        <v>8</v>
      </c>
      <c r="S42" s="1573">
        <f t="shared" si="10"/>
        <v>100</v>
      </c>
      <c r="T42" s="1572" t="s">
        <v>8</v>
      </c>
      <c r="U42" s="1573">
        <f t="shared" si="11"/>
        <v>100</v>
      </c>
      <c r="V42" s="1572" t="s">
        <v>8</v>
      </c>
      <c r="W42" s="1573">
        <f t="shared" si="12"/>
        <v>100</v>
      </c>
      <c r="X42" s="1566"/>
      <c r="Y42" s="3488"/>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88"/>
      <c r="Q43" s="1571" t="str">
        <f t="shared" si="14"/>
        <v>宗地开发程度</v>
      </c>
      <c r="R43" s="1567" t="s">
        <v>8</v>
      </c>
      <c r="S43" s="1568">
        <f t="shared" si="10"/>
        <v>100</v>
      </c>
      <c r="T43" s="1567" t="s">
        <v>8</v>
      </c>
      <c r="U43" s="1568">
        <f t="shared" si="11"/>
        <v>100</v>
      </c>
      <c r="V43" s="1567" t="s">
        <v>8</v>
      </c>
      <c r="W43" s="1568">
        <f t="shared" si="12"/>
        <v>100</v>
      </c>
      <c r="X43" s="1569"/>
      <c r="Y43" s="3488"/>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88" t="s">
        <v>549</v>
      </c>
      <c r="Q44" s="1571" t="str">
        <f t="shared" si="14"/>
        <v>工程地质条件</v>
      </c>
      <c r="R44" s="1572" t="s">
        <v>8</v>
      </c>
      <c r="S44" s="1573">
        <f t="shared" si="10"/>
        <v>100</v>
      </c>
      <c r="T44" s="1572" t="s">
        <v>8</v>
      </c>
      <c r="U44" s="1573">
        <f t="shared" si="11"/>
        <v>100</v>
      </c>
      <c r="V44" s="1572" t="s">
        <v>8</v>
      </c>
      <c r="W44" s="1573">
        <f t="shared" si="12"/>
        <v>100</v>
      </c>
      <c r="X44" s="1566"/>
      <c r="Y44" s="3488"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88"/>
      <c r="Q45" s="1571">
        <f t="shared" si="14"/>
        <v>111</v>
      </c>
      <c r="R45" s="1572" t="s">
        <v>8</v>
      </c>
      <c r="S45" s="1573">
        <f t="shared" si="10"/>
        <v>100</v>
      </c>
      <c r="T45" s="1572" t="s">
        <v>8</v>
      </c>
      <c r="U45" s="1573">
        <f t="shared" si="11"/>
        <v>100</v>
      </c>
      <c r="V45" s="1572" t="s">
        <v>8</v>
      </c>
      <c r="W45" s="1573">
        <f t="shared" si="12"/>
        <v>100</v>
      </c>
      <c r="X45" s="1566"/>
      <c r="Y45" s="3488"/>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88"/>
      <c r="Q46" s="1571">
        <f t="shared" si="14"/>
        <v>111</v>
      </c>
      <c r="R46" s="1572" t="s">
        <v>8</v>
      </c>
      <c r="S46" s="1573">
        <f t="shared" si="10"/>
        <v>100</v>
      </c>
      <c r="T46" s="1572" t="s">
        <v>8</v>
      </c>
      <c r="U46" s="1573">
        <f t="shared" si="11"/>
        <v>100</v>
      </c>
      <c r="V46" s="1572" t="s">
        <v>8</v>
      </c>
      <c r="W46" s="1573">
        <f t="shared" si="12"/>
        <v>100</v>
      </c>
      <c r="X46" s="1566"/>
      <c r="Y46" s="3488"/>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88"/>
      <c r="Q47" s="1571">
        <f t="shared" si="14"/>
        <v>111</v>
      </c>
      <c r="R47" s="1576" t="s">
        <v>8</v>
      </c>
      <c r="S47" s="1577">
        <f t="shared" si="10"/>
        <v>100</v>
      </c>
      <c r="T47" s="1576" t="s">
        <v>8</v>
      </c>
      <c r="U47" s="1577">
        <f t="shared" si="11"/>
        <v>100</v>
      </c>
      <c r="V47" s="1576" t="s">
        <v>8</v>
      </c>
      <c r="W47" s="1577">
        <f t="shared" si="12"/>
        <v>100</v>
      </c>
      <c r="X47" s="1578"/>
      <c r="Y47" s="3488"/>
      <c r="Z47" s="1579">
        <f t="shared" si="13"/>
        <v>111</v>
      </c>
      <c r="AA47" s="1575">
        <f t="shared" si="3"/>
        <v>1</v>
      </c>
      <c r="AB47" s="1575">
        <f t="shared" si="4"/>
        <v>1</v>
      </c>
      <c r="AC47" s="1575">
        <f t="shared" si="5"/>
        <v>1</v>
      </c>
    </row>
    <row r="48" spans="1:29" ht="21">
      <c r="A48" s="607" t="s">
        <v>555</v>
      </c>
      <c r="B48" s="608" t="s">
        <v>3034</v>
      </c>
      <c r="C48" s="609" t="s">
        <v>1</v>
      </c>
      <c r="D48" s="610"/>
      <c r="E48" s="611">
        <f>年期修正表!H14</f>
        <v>3703</v>
      </c>
      <c r="F48" s="612"/>
      <c r="G48" s="613">
        <f>年期修正表!J14</f>
        <v>3908</v>
      </c>
      <c r="H48" s="614"/>
      <c r="I48" s="611">
        <f>年期修正表!L14</f>
        <v>3280</v>
      </c>
      <c r="J48" s="614"/>
      <c r="K48" s="1340"/>
      <c r="L48" s="2144"/>
      <c r="M48" s="2132"/>
      <c r="N48" s="2132"/>
      <c r="O48" s="2145"/>
      <c r="P48" s="3449" t="str">
        <f>A48</f>
        <v>成交单价</v>
      </c>
      <c r="Q48" s="3449"/>
      <c r="R48" s="3450">
        <f>E48</f>
        <v>3703</v>
      </c>
      <c r="S48" s="3450"/>
      <c r="T48" s="3450">
        <f>G48</f>
        <v>3908</v>
      </c>
      <c r="U48" s="3450"/>
      <c r="V48" s="3450">
        <f>I48</f>
        <v>3280</v>
      </c>
      <c r="W48" s="3450"/>
      <c r="X48" s="1558"/>
      <c r="Y48" s="1580"/>
      <c r="Z48" s="1558"/>
      <c r="AA48" s="1558"/>
      <c r="AB48" s="1558"/>
      <c r="AC48" s="1558"/>
    </row>
    <row r="49" spans="1:29" ht="21.6" thickBot="1">
      <c r="A49" s="615" t="s">
        <v>2690</v>
      </c>
      <c r="B49" s="616"/>
      <c r="C49" s="617">
        <f>R50</f>
        <v>3518</v>
      </c>
      <c r="D49" s="618"/>
      <c r="E49" s="617">
        <f>R49</f>
        <v>3428</v>
      </c>
      <c r="F49" s="619"/>
      <c r="G49" s="620">
        <f>T49</f>
        <v>3770</v>
      </c>
      <c r="H49" s="618"/>
      <c r="I49" s="617">
        <f>V49</f>
        <v>3355</v>
      </c>
      <c r="J49" s="618"/>
      <c r="K49" s="1341"/>
      <c r="L49" s="2144"/>
      <c r="M49" s="2132"/>
      <c r="N49" s="2132"/>
      <c r="O49" s="2145"/>
      <c r="P49" s="3449" t="str">
        <f>A49</f>
        <v>比较价格（元/平方米）</v>
      </c>
      <c r="Q49" s="3449"/>
      <c r="R49" s="3451">
        <f>ROUND(PRODUCT(R48,AA9:AA47),0)</f>
        <v>3428</v>
      </c>
      <c r="S49" s="3451"/>
      <c r="T49" s="3451">
        <f>ROUND(PRODUCT(T48,AB9:AB47),0)</f>
        <v>3770</v>
      </c>
      <c r="U49" s="3451"/>
      <c r="V49" s="3451">
        <f>ROUND(PRODUCT(V48,AC9:AC47),0)</f>
        <v>3355</v>
      </c>
      <c r="W49" s="3451"/>
      <c r="X49" s="1558"/>
      <c r="Y49" s="1558"/>
      <c r="Z49" s="1558"/>
      <c r="AA49" s="1558"/>
      <c r="AB49" s="1558"/>
      <c r="AC49" s="1558"/>
    </row>
    <row r="50" spans="1:29" ht="21.6" thickBot="1">
      <c r="A50" s="621" t="s">
        <v>2930</v>
      </c>
      <c r="B50" s="622"/>
      <c r="C50" s="623">
        <f>R50</f>
        <v>3518</v>
      </c>
      <c r="D50" s="623"/>
      <c r="E50" s="623"/>
      <c r="F50" s="623"/>
      <c r="G50" s="623"/>
      <c r="H50" s="623"/>
      <c r="I50" s="623"/>
      <c r="J50" s="623"/>
      <c r="K50" s="1342"/>
      <c r="L50" s="2144"/>
      <c r="M50" s="2132"/>
      <c r="N50" s="2132"/>
      <c r="O50" s="2145"/>
      <c r="P50" s="3446" t="str">
        <f>A50</f>
        <v>估价对象XX用房的比较价格（楼面单价，元/平方米）</v>
      </c>
      <c r="Q50" s="3447"/>
      <c r="R50" s="3448">
        <f>ROUND(AVERAGE(R49:V49),0)</f>
        <v>3518</v>
      </c>
      <c r="S50" s="3448"/>
      <c r="T50" s="3448"/>
      <c r="U50" s="3448"/>
      <c r="V50" s="3448"/>
      <c r="W50" s="3448"/>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8.0221703617269435E-2</v>
      </c>
      <c r="F53" s="627" t="str">
        <f>IF(OR(E53&gt;=0.3,E53&lt;=-0.3),"超过30%","")</f>
        <v/>
      </c>
      <c r="G53" s="626">
        <f>IF(G48&lt;G49,G49/G48-1,G48/G49-1)</f>
        <v>3.6604774535809126E-2</v>
      </c>
      <c r="H53" s="627" t="str">
        <f>IF(OR(G53&gt;=0.3,G53&lt;=-0.3),"超过30%","")</f>
        <v/>
      </c>
      <c r="I53" s="626">
        <f>IF(I48&lt;I49,I49/I48-1,I48/I49-1)</f>
        <v>2.2865853658536661E-2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9.9766627771295191E-2</v>
      </c>
      <c r="F54" s="627" t="str">
        <f>IF(OR(E54&gt;=0.2,E54&lt;=-0.2),"超过20%","")</f>
        <v/>
      </c>
      <c r="G54" s="626">
        <f>IF(G49&lt;I49,I49/G49-1,G49/I49-1)</f>
        <v>0.1236959761549925</v>
      </c>
      <c r="H54" s="627" t="str">
        <f>IF(OR(G54&gt;=0.2,G54&lt;=-0.2),"超过20%","")</f>
        <v/>
      </c>
      <c r="I54" s="626">
        <f>IF(I49&lt;E49,E49/I49-1,I49/E49-1)</f>
        <v>2.1758569299552999E-2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5.5360518498514644E-2</v>
      </c>
      <c r="F55" s="627" t="str">
        <f>IF(OR(E55&gt;=0.3,E55&lt;=-0.3),"超过30%","")</f>
        <v/>
      </c>
      <c r="G55" s="626">
        <f>IF(G48&lt;I48,I48/G48-1,G48/I48-1)</f>
        <v>0.19146341463414629</v>
      </c>
      <c r="H55" s="627" t="str">
        <f>IF(OR(G55&gt;=0.3,G55&lt;=-0.3),"超过30%","")</f>
        <v/>
      </c>
      <c r="I55" s="626">
        <f>IF(I48&lt;E48,E48/I48-1,I48/E48-1)</f>
        <v>0.12896341463414629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77" t="s">
        <v>2281</v>
      </c>
      <c r="H57" s="3478"/>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3518</v>
      </c>
      <c r="C58" s="635">
        <v>1</v>
      </c>
      <c r="D58" s="2228">
        <v>1</v>
      </c>
      <c r="E58" s="635">
        <f>'数据-汇总表'!E8+'数据-汇总表'!E9</f>
        <v>102043.5</v>
      </c>
      <c r="F58" s="636">
        <f t="shared" ref="F58:F67" si="15">ROUND(B58*E58/10000,0)</f>
        <v>35899</v>
      </c>
      <c r="G58" s="3479"/>
      <c r="H58" s="348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81"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8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8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8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35899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F23" sqref="F23"/>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185438</v>
      </c>
      <c r="L3">
        <f ca="1">ROUND(K3/$K$15*$L$15,0)</f>
        <v>11453</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113236</v>
      </c>
      <c r="L4" s="3230">
        <f t="shared" ref="L4:L14" ca="1" si="1">ROUND(K4/$K$15*$L$15,0)</f>
        <v>6994</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68743</v>
      </c>
      <c r="L5" s="3230">
        <f t="shared" ca="1" si="1"/>
        <v>4246</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33624</v>
      </c>
      <c r="L6">
        <f t="shared" ca="1" si="1"/>
        <v>2077</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96786</v>
      </c>
      <c r="L7">
        <f t="shared" ca="1" si="1"/>
        <v>5978</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10786</v>
      </c>
      <c r="L8">
        <f t="shared" ca="1" si="1"/>
        <v>666</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4541</v>
      </c>
      <c r="L9">
        <f t="shared" ca="1" si="1"/>
        <v>280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6370</v>
      </c>
      <c r="L10">
        <f t="shared" ca="1" si="1"/>
        <v>393</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11809</v>
      </c>
      <c r="L11">
        <f t="shared" ca="1" si="1"/>
        <v>729</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6681</v>
      </c>
      <c r="L12">
        <f t="shared" ca="1" si="1"/>
        <v>413</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52952</v>
      </c>
      <c r="L13" s="3230">
        <f t="shared" ca="1" si="1"/>
        <v>3270</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37962</v>
      </c>
      <c r="L14">
        <f t="shared" ca="1" si="1"/>
        <v>2345</v>
      </c>
    </row>
    <row r="15" spans="1:21">
      <c r="A15" s="3489" t="s">
        <v>3354</v>
      </c>
      <c r="B15" s="3489"/>
      <c r="C15" s="3489"/>
      <c r="D15" s="3223">
        <f>SUM(D3:D14)</f>
        <v>375252</v>
      </c>
      <c r="E15" s="3223"/>
      <c r="F15" s="3223"/>
      <c r="H15" s="3223">
        <f>SUM(H3:H14)</f>
        <v>394579.20000000001</v>
      </c>
      <c r="I15" s="3223">
        <f>SUM(I3:I14)</f>
        <v>168298.8</v>
      </c>
      <c r="J15" s="3223">
        <f>SUM(J3:J14)</f>
        <v>562878</v>
      </c>
      <c r="K15" s="3223">
        <f ca="1">SUM(K3:K14)</f>
        <v>628928</v>
      </c>
      <c r="L15" s="3223">
        <f ca="1">结果表!G19</f>
        <v>38843</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81" t="str">
        <f>项目基本情况!B1</f>
        <v>重庆两江新区航悦项目E01-04-02出让国有建设用地使用权抵押价格预评估</v>
      </c>
      <c r="C37" s="3281"/>
      <c r="D37" s="3281"/>
      <c r="E37" s="3281"/>
      <c r="F37" s="3281"/>
      <c r="G37" s="3281"/>
      <c r="H37" s="3281"/>
      <c r="I37" s="328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90" t="s">
        <v>2375</v>
      </c>
      <c r="B1" s="3490" t="s">
        <v>3382</v>
      </c>
      <c r="C1" s="3490" t="s">
        <v>3383</v>
      </c>
      <c r="D1" s="3490" t="s">
        <v>3384</v>
      </c>
      <c r="E1" s="3490" t="s">
        <v>2945</v>
      </c>
      <c r="F1" s="3490"/>
      <c r="G1" s="3490"/>
      <c r="H1" s="3232"/>
      <c r="I1" s="3491" t="s">
        <v>3409</v>
      </c>
    </row>
    <row r="2" spans="1:10">
      <c r="A2" s="3490"/>
      <c r="B2" s="3490"/>
      <c r="C2" s="3490"/>
      <c r="D2" s="3490"/>
      <c r="E2" s="3232" t="s">
        <v>922</v>
      </c>
      <c r="F2" s="3232" t="s">
        <v>3024</v>
      </c>
      <c r="G2" s="3232" t="s">
        <v>24</v>
      </c>
      <c r="H2" s="3231" t="s">
        <v>3411</v>
      </c>
      <c r="I2" s="349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C4" workbookViewId="0">
      <selection activeCell="H25" sqref="H25"/>
    </sheetView>
  </sheetViews>
  <sheetFormatPr defaultRowHeight="14.4"/>
  <cols>
    <col min="2" max="2" width="17.109375" customWidth="1"/>
    <col min="4" max="4" width="12.77734375" customWidth="1"/>
  </cols>
  <sheetData>
    <row r="1" spans="1:12" ht="15" thickBot="1">
      <c r="A1" s="3242" t="s">
        <v>3438</v>
      </c>
      <c r="B1" s="3253">
        <v>43626</v>
      </c>
      <c r="C1" s="3246"/>
      <c r="D1" s="3246"/>
      <c r="E1" s="3246"/>
      <c r="F1" s="3246"/>
      <c r="G1" s="3246"/>
    </row>
    <row r="2" spans="1:12" ht="43.2">
      <c r="A2" s="3243" t="s">
        <v>3439</v>
      </c>
      <c r="B2" s="1228" t="s">
        <v>3446</v>
      </c>
      <c r="C2" s="3263" t="s">
        <v>3447</v>
      </c>
      <c r="D2" s="1228" t="s">
        <v>3448</v>
      </c>
      <c r="E2" s="3271" t="s">
        <v>3449</v>
      </c>
      <c r="F2" s="3246"/>
      <c r="G2" s="3246"/>
    </row>
    <row r="3" spans="1:12">
      <c r="A3" s="3244">
        <v>40</v>
      </c>
      <c r="B3" s="3254">
        <f>项目基本情况!E17</f>
        <v>56430</v>
      </c>
      <c r="C3" s="174">
        <f>ROUNDDOWN(MIN((B3-$B$1)/365,A3),2)</f>
        <v>35.07</v>
      </c>
      <c r="D3" s="175">
        <f>IF(ISERROR(ROUND(POWER(1+E3,A3-C3)*(POWER(1+E3,C3)-1)/(POWER(1+E3,A3)-1),3)),0,ROUND(POWER(1+E3,A3-C3)*(POWER(1+E3,C3)-1)/(POWER(1+E3,A3)-1),3))</f>
        <v>0.95199999999999996</v>
      </c>
      <c r="E3" s="3272">
        <f>'数据-取费表'!H16</f>
        <v>4.7E-2</v>
      </c>
      <c r="F3" s="3246"/>
      <c r="G3" s="3246"/>
    </row>
    <row r="4" spans="1:12">
      <c r="A4" s="3244">
        <v>50</v>
      </c>
      <c r="B4" s="3254">
        <f>项目基本情况!D17</f>
        <v>60083</v>
      </c>
      <c r="C4" s="174">
        <f>ROUNDDOWN(MIN((B4-$B$1)/365,A4),2)</f>
        <v>45.08</v>
      </c>
      <c r="D4" s="175">
        <f>IF(ISERROR(ROUND(POWER(1+E4,A4-C4)*(POWER(1+E4,C4)-1)/(POWER(1+E4,A4)-1),3)),0,ROUND(POWER(1+E4,A4-C4)*(POWER(1+E4,C4)-1)/(POWER(1+E4,A4)-1),3))</f>
        <v>0.97199999999999998</v>
      </c>
      <c r="E4" s="3272">
        <f>E3</f>
        <v>4.7E-2</v>
      </c>
      <c r="F4" s="3246"/>
      <c r="G4" s="3246"/>
    </row>
    <row r="5" spans="1:12" ht="15" thickBot="1">
      <c r="A5" s="3245">
        <v>70</v>
      </c>
      <c r="B5" s="3254">
        <v>63735</v>
      </c>
      <c r="C5" s="3264">
        <f>ROUNDDOWN(MIN((B5-$B$1)/365,A5),2)</f>
        <v>55.09</v>
      </c>
      <c r="D5" s="3269">
        <f>IF(ISERROR(ROUND(POWER(1+E5,A5-C5)*(POWER(1+E5,C5)-1)/(POWER(1+E5,A5)-1),3)),0,ROUND(POWER(1+E5,A5-C5)*(POWER(1+E5,C5)-1)/(POWER(1+E5,A5)-1),3))</f>
        <v>0.95899999999999996</v>
      </c>
      <c r="E5" s="3273">
        <f>E4</f>
        <v>4.7E-2</v>
      </c>
      <c r="F5" s="3246"/>
      <c r="G5" s="3246"/>
    </row>
    <row r="6" spans="1:12" ht="15" thickBot="1">
      <c r="A6" s="3246"/>
      <c r="B6" s="3246"/>
      <c r="C6" s="3246"/>
      <c r="D6" s="3246"/>
      <c r="E6" s="3246"/>
      <c r="F6" s="3246"/>
      <c r="G6" s="3246"/>
    </row>
    <row r="7" spans="1:12" ht="15" thickBot="1">
      <c r="A7" s="3247" t="s">
        <v>3440</v>
      </c>
      <c r="B7" s="3255"/>
      <c r="C7" s="3265"/>
      <c r="D7" s="3265"/>
      <c r="E7" s="3265"/>
      <c r="F7" s="3265"/>
      <c r="G7" s="3265"/>
    </row>
    <row r="8" spans="1:12" ht="15" thickBot="1">
      <c r="A8" s="3492" t="s">
        <v>3441</v>
      </c>
      <c r="B8" s="3493"/>
      <c r="C8" s="3266"/>
      <c r="D8" s="3270" t="s">
        <v>3449</v>
      </c>
      <c r="E8" s="3266"/>
      <c r="F8" s="3274" t="s">
        <v>3448</v>
      </c>
      <c r="G8" s="3246"/>
    </row>
    <row r="9" spans="1:12">
      <c r="A9" s="3248" t="s">
        <v>3442</v>
      </c>
      <c r="B9" s="3256">
        <v>50</v>
      </c>
      <c r="C9" s="3251" t="s">
        <v>3452</v>
      </c>
      <c r="D9" s="3277">
        <f>E4</f>
        <v>4.7E-2</v>
      </c>
      <c r="E9" s="3251" t="s">
        <v>3450</v>
      </c>
      <c r="F9" s="3275">
        <f>1-(1/(POWER(1+D9,B9)))</f>
        <v>0.89938426222333701</v>
      </c>
      <c r="G9" s="3246"/>
    </row>
    <row r="10" spans="1:12" ht="15" thickBot="1">
      <c r="A10" s="3249" t="s">
        <v>3443</v>
      </c>
      <c r="B10" s="3257">
        <v>40</v>
      </c>
      <c r="C10" s="3252" t="s">
        <v>3453</v>
      </c>
      <c r="D10" s="3278">
        <f>E3</f>
        <v>4.7E-2</v>
      </c>
      <c r="E10" s="3252" t="s">
        <v>3451</v>
      </c>
      <c r="F10" s="3276">
        <f>1-(1/(POWER(1+D10,B10)))</f>
        <v>0.84073045739372287</v>
      </c>
      <c r="G10" s="3279"/>
    </row>
    <row r="11" spans="1:12" ht="15" thickBot="1">
      <c r="A11" s="3250" t="s">
        <v>3444</v>
      </c>
      <c r="B11" s="3258"/>
      <c r="C11" s="3258"/>
      <c r="D11" s="3258"/>
      <c r="E11" s="3258"/>
      <c r="F11" s="3258"/>
      <c r="G11" s="3246"/>
    </row>
    <row r="12" spans="1:12">
      <c r="A12" s="3248" t="s">
        <v>3456</v>
      </c>
      <c r="B12" s="3259">
        <f>L12</f>
        <v>3066.05</v>
      </c>
      <c r="C12" s="3246"/>
      <c r="D12" s="3246"/>
      <c r="E12" s="3268"/>
      <c r="F12" s="3268"/>
      <c r="G12" s="3246"/>
      <c r="H12" s="611">
        <f>土地案例!AK19</f>
        <v>3461.44</v>
      </c>
      <c r="I12" s="612"/>
      <c r="J12" s="613">
        <f>土地案例!AK20</f>
        <v>3653.23</v>
      </c>
      <c r="K12" s="614"/>
      <c r="L12" s="611">
        <f>土地案例!AK25</f>
        <v>3066.05</v>
      </c>
    </row>
    <row r="13" spans="1:12" ht="15" thickBot="1">
      <c r="A13" s="3249" t="s">
        <v>3457</v>
      </c>
      <c r="B13" s="3260">
        <f>ROUND(B12*F10/F9,2)</f>
        <v>2866.1</v>
      </c>
      <c r="C13" s="3267">
        <f>ROUND(F10/F9,4)</f>
        <v>0.93479999999999996</v>
      </c>
      <c r="D13" s="3246"/>
      <c r="E13" s="3268"/>
      <c r="F13" s="3268"/>
      <c r="G13" s="3246"/>
    </row>
    <row r="14" spans="1:12" ht="15" thickBot="1">
      <c r="A14" s="3250" t="s">
        <v>3445</v>
      </c>
      <c r="B14" s="3261"/>
      <c r="C14" s="3268"/>
      <c r="D14" s="3246"/>
      <c r="E14" s="3246"/>
      <c r="F14" s="3246"/>
      <c r="G14" s="3246"/>
      <c r="H14">
        <v>3703</v>
      </c>
      <c r="J14">
        <v>3908</v>
      </c>
      <c r="L14">
        <v>3280</v>
      </c>
    </row>
    <row r="15" spans="1:12">
      <c r="A15" s="3251" t="s">
        <v>3455</v>
      </c>
      <c r="B15" s="3280">
        <f>B12</f>
        <v>3066.05</v>
      </c>
      <c r="C15" s="3268"/>
      <c r="D15" s="3246"/>
      <c r="E15" s="3246"/>
      <c r="F15" s="3246"/>
      <c r="G15" s="3246"/>
    </row>
    <row r="16" spans="1:12" ht="15" thickBot="1">
      <c r="A16" s="3252" t="s">
        <v>3454</v>
      </c>
      <c r="B16" s="3262">
        <f>ROUND(B15*F9/F10,2)</f>
        <v>3279.95</v>
      </c>
      <c r="C16" s="3267">
        <f>ROUND(F9/F10,4)</f>
        <v>1.0698000000000001</v>
      </c>
      <c r="D16" s="3246"/>
      <c r="E16" s="3246"/>
      <c r="F16" s="3246"/>
      <c r="G16" s="3246"/>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55" zoomScaleNormal="55" workbookViewId="0">
      <selection activeCell="AI52" sqref="AI52"/>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41786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4095</v>
      </c>
      <c r="C3" s="2104"/>
      <c r="D3" s="2104"/>
      <c r="E3" s="2104"/>
      <c r="F3" s="2104"/>
      <c r="G3" s="2104"/>
      <c r="H3" s="2104"/>
      <c r="I3" s="2104"/>
      <c r="J3" s="2104"/>
      <c r="K3" s="2104"/>
    </row>
    <row r="4" spans="1:31" s="2041" customFormat="1" ht="18" customHeight="1">
      <c r="A4" s="426" t="s">
        <v>467</v>
      </c>
      <c r="B4" s="427">
        <f ca="1">ROUND(B2*10000/IF(B1="",'数据-汇总表'!D3,INDIRECT("'数据-取费表'!R"&amp;$K$1)),0)</f>
        <v>6142</v>
      </c>
      <c r="C4" s="428"/>
      <c r="D4" s="422"/>
      <c r="E4" s="422"/>
      <c r="F4" s="422"/>
      <c r="G4" s="422"/>
      <c r="H4" s="422"/>
      <c r="I4" s="422"/>
      <c r="J4" s="422"/>
      <c r="K4" s="422"/>
    </row>
    <row r="5" spans="1:31" s="2041" customFormat="1" ht="18" customHeight="1" thickBot="1">
      <c r="A5" s="429"/>
      <c r="B5" s="430">
        <f ca="1">ROUND(B2/(IF(B1="",'数据-汇总表'!D3,INDIRECT("'数据-取费表'!R"&amp;$K$1))/666.67),0)</f>
        <v>409</v>
      </c>
      <c r="C5" s="431" t="s">
        <v>468</v>
      </c>
      <c r="D5" s="422"/>
      <c r="E5" s="422"/>
      <c r="F5" s="422"/>
      <c r="G5" s="422"/>
      <c r="H5" s="422"/>
      <c r="I5" s="422"/>
      <c r="J5" s="422"/>
      <c r="K5" s="422"/>
    </row>
    <row r="6" spans="1:31" s="2111" customFormat="1" ht="16.5" customHeight="1">
      <c r="A6" s="2828" t="s">
        <v>1841</v>
      </c>
      <c r="B6" s="2829"/>
      <c r="C6" s="2830">
        <f ca="1">SUM(C10:K10)</f>
        <v>113235</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11716</v>
      </c>
      <c r="D8" s="2834">
        <f>'不动产比较法-洋房'!B3</f>
        <v>10942</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23910</v>
      </c>
      <c r="D10" s="3027">
        <f>'不动产比较法-洋房'!B2</f>
        <v>89325</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28572</v>
      </c>
      <c r="D13" s="2844"/>
      <c r="E13" s="2845"/>
      <c r="F13" s="2846"/>
      <c r="G13" s="2812"/>
      <c r="H13" s="2813"/>
      <c r="I13" s="2813"/>
      <c r="J13" s="2813"/>
      <c r="K13" s="2814"/>
    </row>
    <row r="14" spans="1:31" s="2116" customFormat="1" ht="13.5" customHeight="1">
      <c r="A14" s="2842" t="s">
        <v>1848</v>
      </c>
      <c r="B14" s="2843" t="s">
        <v>479</v>
      </c>
      <c r="C14" s="53">
        <f ca="1">ROUND(C13*F14,0)</f>
        <v>1429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1829</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429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34300</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766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2978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2978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6039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50327</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50327</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6610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6610</v>
      </c>
      <c r="D35" s="1628"/>
      <c r="E35" s="2864"/>
      <c r="F35" s="1629"/>
      <c r="G35" s="2822"/>
      <c r="H35" s="2823"/>
      <c r="I35" s="2823"/>
      <c r="J35" s="2823"/>
      <c r="K35" s="2824"/>
    </row>
    <row r="36" spans="1:11" s="2085" customFormat="1" ht="13.5" customHeight="1" thickBot="1">
      <c r="A36" s="284" t="s">
        <v>1843</v>
      </c>
      <c r="B36" s="2826"/>
      <c r="C36" s="2865">
        <f ca="1">ROUND((C6-C30-C33)/(1+D30+D33),0)</f>
        <v>41786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28572</v>
      </c>
      <c r="D13" s="451"/>
      <c r="E13" s="365"/>
      <c r="F13" s="452"/>
      <c r="G13" s="444"/>
      <c r="H13" s="447"/>
      <c r="I13" s="447"/>
      <c r="J13" s="447"/>
      <c r="K13" s="448"/>
    </row>
    <row r="14" spans="1:41" s="2116" customFormat="1" ht="13.5" customHeight="1">
      <c r="A14" s="1632" t="s">
        <v>1848</v>
      </c>
      <c r="B14" s="449" t="s">
        <v>479</v>
      </c>
      <c r="C14" s="53">
        <f ca="1">ROUND(C13*F14,0)</f>
        <v>1429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1829</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429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34300</v>
      </c>
      <c r="D18" s="461"/>
      <c r="E18" s="462"/>
      <c r="F18" s="462"/>
      <c r="G18" s="1327" t="s">
        <v>2432</v>
      </c>
      <c r="H18" s="447"/>
      <c r="I18" s="447"/>
      <c r="J18" s="447"/>
      <c r="K18" s="448"/>
    </row>
    <row r="19" spans="1:14" s="2119" customFormat="1" ht="13.5" customHeight="1">
      <c r="A19" s="1633" t="s">
        <v>1853</v>
      </c>
      <c r="B19" s="459" t="s">
        <v>492</v>
      </c>
      <c r="C19" s="460">
        <f ca="1">ROUND(C18*F19,0)</f>
        <v>686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2522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2522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5598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5598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46748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55" t="s">
        <v>521</v>
      </c>
      <c r="D6" s="3456"/>
      <c r="E6" s="3496" t="s">
        <v>522</v>
      </c>
      <c r="F6" s="3497"/>
      <c r="G6" s="3455" t="s">
        <v>523</v>
      </c>
      <c r="H6" s="3456"/>
      <c r="I6" s="3455" t="s">
        <v>524</v>
      </c>
      <c r="J6" s="3456"/>
      <c r="K6" s="514" t="s">
        <v>525</v>
      </c>
      <c r="L6" s="2133"/>
      <c r="M6" s="2134"/>
      <c r="N6" s="2134"/>
      <c r="O6" s="2134"/>
      <c r="P6" s="3457" t="s">
        <v>526</v>
      </c>
      <c r="Q6" s="3458"/>
      <c r="R6" s="3463" t="s">
        <v>522</v>
      </c>
      <c r="S6" s="3464"/>
      <c r="T6" s="3463" t="s">
        <v>523</v>
      </c>
      <c r="U6" s="3464"/>
      <c r="V6" s="3450" t="s">
        <v>524</v>
      </c>
      <c r="W6" s="3450"/>
      <c r="X6" s="1566"/>
      <c r="Y6" s="3463" t="s">
        <v>526</v>
      </c>
      <c r="Z6" s="3464"/>
      <c r="AA6" s="3452" t="s">
        <v>522</v>
      </c>
      <c r="AB6" s="3453" t="s">
        <v>523</v>
      </c>
      <c r="AC6" s="3452" t="s">
        <v>524</v>
      </c>
    </row>
    <row r="7" spans="1:29">
      <c r="A7" s="515"/>
      <c r="B7" s="516"/>
      <c r="C7" s="3471" t="s">
        <v>2924</v>
      </c>
      <c r="D7" s="3472"/>
      <c r="E7" s="3498" t="s">
        <v>2925</v>
      </c>
      <c r="F7" s="3499"/>
      <c r="G7" s="3471" t="s">
        <v>2926</v>
      </c>
      <c r="H7" s="3472"/>
      <c r="I7" s="3471" t="s">
        <v>2927</v>
      </c>
      <c r="J7" s="3472"/>
      <c r="K7" s="514"/>
      <c r="L7" s="2133"/>
      <c r="M7" s="2134"/>
      <c r="N7" s="2134"/>
      <c r="O7" s="2134"/>
      <c r="P7" s="3459"/>
      <c r="Q7" s="3460"/>
      <c r="R7" s="3465"/>
      <c r="S7" s="3466"/>
      <c r="T7" s="3465"/>
      <c r="U7" s="3466"/>
      <c r="V7" s="3450"/>
      <c r="W7" s="3450"/>
      <c r="X7" s="1566"/>
      <c r="Y7" s="3465"/>
      <c r="Z7" s="3466"/>
      <c r="AA7" s="3453"/>
      <c r="AB7" s="3453"/>
      <c r="AC7" s="3453"/>
    </row>
    <row r="8" spans="1:29" ht="15" thickBot="1">
      <c r="A8" s="517"/>
      <c r="B8" s="518"/>
      <c r="C8" s="3469" t="s">
        <v>2928</v>
      </c>
      <c r="D8" s="3470"/>
      <c r="E8" s="3494" t="s">
        <v>2928</v>
      </c>
      <c r="F8" s="3495"/>
      <c r="G8" s="3469" t="s">
        <v>2928</v>
      </c>
      <c r="H8" s="3470"/>
      <c r="I8" s="3469" t="s">
        <v>2928</v>
      </c>
      <c r="J8" s="3470"/>
      <c r="K8" s="514" t="s">
        <v>527</v>
      </c>
      <c r="L8" s="2133"/>
      <c r="M8" s="2134"/>
      <c r="N8" s="2134"/>
      <c r="O8" s="2134"/>
      <c r="P8" s="3461"/>
      <c r="Q8" s="3462"/>
      <c r="R8" s="3465"/>
      <c r="S8" s="3466"/>
      <c r="T8" s="3467"/>
      <c r="U8" s="3468"/>
      <c r="V8" s="3450"/>
      <c r="W8" s="3450"/>
      <c r="X8" s="1566"/>
      <c r="Y8" s="3467"/>
      <c r="Z8" s="3468"/>
      <c r="AA8" s="3454"/>
      <c r="AB8" s="3454"/>
      <c r="AC8" s="3454"/>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82" t="s">
        <v>529</v>
      </c>
      <c r="Q9" s="3484"/>
      <c r="R9" s="1567" t="s">
        <v>8</v>
      </c>
      <c r="S9" s="1568">
        <f t="shared" ref="S9:S17" si="0">F9</f>
        <v>0</v>
      </c>
      <c r="T9" s="1567" t="s">
        <v>8</v>
      </c>
      <c r="U9" s="1568">
        <f t="shared" ref="U9:U17" si="1">H9</f>
        <v>0</v>
      </c>
      <c r="V9" s="1567" t="s">
        <v>8</v>
      </c>
      <c r="W9" s="1568">
        <f t="shared" ref="W9:W17" si="2">J9</f>
        <v>0</v>
      </c>
      <c r="X9" s="1569"/>
      <c r="Y9" s="3482" t="s">
        <v>529</v>
      </c>
      <c r="Z9" s="3483"/>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82" t="s">
        <v>532</v>
      </c>
      <c r="Q10" s="3483"/>
      <c r="R10" s="1567" t="s">
        <v>8</v>
      </c>
      <c r="S10" s="1568">
        <f t="shared" si="0"/>
        <v>0</v>
      </c>
      <c r="T10" s="1567" t="s">
        <v>8</v>
      </c>
      <c r="U10" s="1568">
        <f t="shared" si="1"/>
        <v>0</v>
      </c>
      <c r="V10" s="1567" t="s">
        <v>8</v>
      </c>
      <c r="W10" s="1568">
        <f t="shared" si="2"/>
        <v>0</v>
      </c>
      <c r="X10" s="1569"/>
      <c r="Y10" s="3482" t="s">
        <v>532</v>
      </c>
      <c r="Z10" s="3483"/>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49" t="s">
        <v>534</v>
      </c>
      <c r="Q11" s="1151" t="str">
        <f t="shared" ref="Q11:Q17" si="6">B11</f>
        <v>用途</v>
      </c>
      <c r="R11" s="1567" t="s">
        <v>8</v>
      </c>
      <c r="S11" s="1568">
        <f t="shared" si="0"/>
        <v>100</v>
      </c>
      <c r="T11" s="1567" t="s">
        <v>8</v>
      </c>
      <c r="U11" s="1568">
        <f t="shared" si="1"/>
        <v>100</v>
      </c>
      <c r="V11" s="1567" t="s">
        <v>8</v>
      </c>
      <c r="W11" s="1568">
        <f t="shared" si="2"/>
        <v>100</v>
      </c>
      <c r="X11" s="1569"/>
      <c r="Y11" s="3395"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49"/>
      <c r="Q12" s="1151" t="str">
        <f t="shared" si="6"/>
        <v>土地使用年限（年）</v>
      </c>
      <c r="R12" s="1567" t="s">
        <v>8</v>
      </c>
      <c r="S12" s="1568">
        <f t="shared" si="0"/>
        <v>103</v>
      </c>
      <c r="T12" s="1567" t="s">
        <v>8</v>
      </c>
      <c r="U12" s="1568">
        <f t="shared" si="1"/>
        <v>103</v>
      </c>
      <c r="V12" s="1567" t="s">
        <v>8</v>
      </c>
      <c r="W12" s="1568">
        <f t="shared" si="2"/>
        <v>103</v>
      </c>
      <c r="X12" s="1569"/>
      <c r="Y12" s="3395"/>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49"/>
      <c r="Q13" s="1151" t="str">
        <f t="shared" si="6"/>
        <v>容积率</v>
      </c>
      <c r="R13" s="1567" t="s">
        <v>8</v>
      </c>
      <c r="S13" s="1568" t="e">
        <f t="shared" si="0"/>
        <v>#N/A</v>
      </c>
      <c r="T13" s="1567" t="s">
        <v>8</v>
      </c>
      <c r="U13" s="1568" t="e">
        <f t="shared" si="1"/>
        <v>#N/A</v>
      </c>
      <c r="V13" s="1567" t="s">
        <v>8</v>
      </c>
      <c r="W13" s="1568" t="e">
        <f t="shared" si="2"/>
        <v>#N/A</v>
      </c>
      <c r="X13" s="1569"/>
      <c r="Y13" s="3395"/>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49"/>
      <c r="Q15" s="1151">
        <f t="shared" si="6"/>
        <v>111</v>
      </c>
      <c r="R15" s="1567" t="s">
        <v>8</v>
      </c>
      <c r="S15" s="1568">
        <f t="shared" si="0"/>
        <v>100</v>
      </c>
      <c r="T15" s="1567" t="s">
        <v>8</v>
      </c>
      <c r="U15" s="1568">
        <f t="shared" si="1"/>
        <v>100</v>
      </c>
      <c r="V15" s="1567" t="s">
        <v>8</v>
      </c>
      <c r="W15" s="1568">
        <f t="shared" si="2"/>
        <v>100</v>
      </c>
      <c r="X15" s="1569"/>
      <c r="Y15" s="3395"/>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49"/>
      <c r="Q16" s="1151">
        <f t="shared" si="6"/>
        <v>111</v>
      </c>
      <c r="R16" s="1567" t="s">
        <v>8</v>
      </c>
      <c r="S16" s="1568">
        <f t="shared" si="0"/>
        <v>100</v>
      </c>
      <c r="T16" s="1567" t="s">
        <v>8</v>
      </c>
      <c r="U16" s="1568">
        <f t="shared" si="1"/>
        <v>100</v>
      </c>
      <c r="V16" s="1567" t="s">
        <v>8</v>
      </c>
      <c r="W16" s="1568">
        <f t="shared" si="2"/>
        <v>100</v>
      </c>
      <c r="X16" s="1569"/>
      <c r="Y16" s="3395"/>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85" t="s">
        <v>539</v>
      </c>
      <c r="Q17" s="1571" t="str">
        <f t="shared" si="6"/>
        <v>产业集聚程度</v>
      </c>
      <c r="R17" s="1572" t="s">
        <v>8</v>
      </c>
      <c r="S17" s="1573">
        <f t="shared" si="0"/>
        <v>100</v>
      </c>
      <c r="T17" s="1572" t="s">
        <v>8</v>
      </c>
      <c r="U17" s="1573">
        <f t="shared" si="1"/>
        <v>100</v>
      </c>
      <c r="V17" s="1572" t="s">
        <v>8</v>
      </c>
      <c r="W17" s="1573">
        <f t="shared" si="2"/>
        <v>100</v>
      </c>
      <c r="X17" s="1566"/>
      <c r="Y17" s="3485"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86"/>
      <c r="Q18" s="1571"/>
      <c r="R18" s="1572"/>
      <c r="S18" s="1573"/>
      <c r="T18" s="1572"/>
      <c r="U18" s="1573"/>
      <c r="V18" s="1572"/>
      <c r="W18" s="1573"/>
      <c r="X18" s="1566"/>
      <c r="Y18" s="3486"/>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86"/>
      <c r="Q19" s="1571" t="str">
        <f>B19</f>
        <v>交通便捷度</v>
      </c>
      <c r="R19" s="1572" t="s">
        <v>8</v>
      </c>
      <c r="S19" s="1573">
        <f>F19</f>
        <v>100</v>
      </c>
      <c r="T19" s="1572" t="s">
        <v>8</v>
      </c>
      <c r="U19" s="1573">
        <f>H19</f>
        <v>100</v>
      </c>
      <c r="V19" s="1572" t="s">
        <v>8</v>
      </c>
      <c r="W19" s="1573">
        <f>J19</f>
        <v>100</v>
      </c>
      <c r="X19" s="1566"/>
      <c r="Y19" s="3486"/>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86"/>
      <c r="Q20" s="1571"/>
      <c r="R20" s="1572"/>
      <c r="S20" s="1573"/>
      <c r="T20" s="1572"/>
      <c r="U20" s="1573"/>
      <c r="V20" s="1572"/>
      <c r="W20" s="1573"/>
      <c r="X20" s="1566"/>
      <c r="Y20" s="3486"/>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86"/>
      <c r="Q21" s="1571" t="str">
        <f t="shared" ref="Q21:Q35" si="8">B21</f>
        <v>区域土地利用方向</v>
      </c>
      <c r="R21" s="1572" t="s">
        <v>8</v>
      </c>
      <c r="S21" s="1573">
        <f>F21</f>
        <v>100</v>
      </c>
      <c r="T21" s="1572" t="s">
        <v>8</v>
      </c>
      <c r="U21" s="1573">
        <f>H21</f>
        <v>100</v>
      </c>
      <c r="V21" s="1572" t="s">
        <v>8</v>
      </c>
      <c r="W21" s="1573">
        <f>J21</f>
        <v>100</v>
      </c>
      <c r="X21" s="1566"/>
      <c r="Y21" s="348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86"/>
      <c r="Q22" s="1571"/>
      <c r="R22" s="1572"/>
      <c r="S22" s="1573"/>
      <c r="T22" s="1572"/>
      <c r="U22" s="1573"/>
      <c r="V22" s="1572"/>
      <c r="W22" s="1573"/>
      <c r="X22" s="1566"/>
      <c r="Y22" s="3486"/>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86"/>
      <c r="Q23" s="1571" t="str">
        <f t="shared" si="8"/>
        <v>环境状况</v>
      </c>
      <c r="R23" s="1572" t="s">
        <v>8</v>
      </c>
      <c r="S23" s="1573">
        <f>F23</f>
        <v>100</v>
      </c>
      <c r="T23" s="1572" t="s">
        <v>8</v>
      </c>
      <c r="U23" s="1573">
        <f>H23</f>
        <v>100</v>
      </c>
      <c r="V23" s="1572" t="s">
        <v>8</v>
      </c>
      <c r="W23" s="1573">
        <f>J23</f>
        <v>100</v>
      </c>
      <c r="X23" s="1566"/>
      <c r="Y23" s="348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86"/>
      <c r="Q24" s="1571"/>
      <c r="R24" s="1572"/>
      <c r="S24" s="1573"/>
      <c r="T24" s="1572"/>
      <c r="U24" s="1573"/>
      <c r="V24" s="1572"/>
      <c r="W24" s="1573"/>
      <c r="X24" s="1566"/>
      <c r="Y24" s="3486"/>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86"/>
      <c r="Q25" s="1151" t="str">
        <f t="shared" si="8"/>
        <v>公共配套设施</v>
      </c>
      <c r="R25" s="1567" t="s">
        <v>8</v>
      </c>
      <c r="S25" s="1568">
        <f>F25</f>
        <v>100</v>
      </c>
      <c r="T25" s="1567" t="s">
        <v>8</v>
      </c>
      <c r="U25" s="1568">
        <f>H25</f>
        <v>100</v>
      </c>
      <c r="V25" s="1567" t="s">
        <v>8</v>
      </c>
      <c r="W25" s="1568">
        <f>J25</f>
        <v>100</v>
      </c>
      <c r="X25" s="1569"/>
      <c r="Y25" s="3486"/>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86"/>
      <c r="Q26" s="1151"/>
      <c r="R26" s="1567"/>
      <c r="S26" s="1568"/>
      <c r="T26" s="1567"/>
      <c r="U26" s="1568"/>
      <c r="V26" s="1567"/>
      <c r="W26" s="1568"/>
      <c r="X26" s="1569"/>
      <c r="Y26" s="3486"/>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86"/>
      <c r="Q27" s="2578" t="str">
        <f t="shared" ref="Q27" si="9">B27</f>
        <v>基础设施水平</v>
      </c>
      <c r="R27" s="1567" t="s">
        <v>8</v>
      </c>
      <c r="S27" s="1568">
        <f>F27</f>
        <v>100</v>
      </c>
      <c r="T27" s="1567" t="s">
        <v>8</v>
      </c>
      <c r="U27" s="1568">
        <f>H27</f>
        <v>100</v>
      </c>
      <c r="V27" s="1567" t="s">
        <v>8</v>
      </c>
      <c r="W27" s="1568">
        <f>J27</f>
        <v>100</v>
      </c>
      <c r="X27" s="1569"/>
      <c r="Y27" s="3486"/>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86"/>
      <c r="Q28" s="2578"/>
      <c r="R28" s="1567"/>
      <c r="S28" s="1568"/>
      <c r="T28" s="1567"/>
      <c r="U28" s="1568"/>
      <c r="V28" s="1567"/>
      <c r="W28" s="1568"/>
      <c r="X28" s="1569"/>
      <c r="Y28" s="3486"/>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8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6"/>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86"/>
      <c r="Q30" s="1571" t="str">
        <f t="shared" si="8"/>
        <v>毗邻道路的类型与等级</v>
      </c>
      <c r="R30" s="1572" t="s">
        <v>8</v>
      </c>
      <c r="S30" s="1573">
        <f t="shared" si="10"/>
        <v>100</v>
      </c>
      <c r="T30" s="1572" t="s">
        <v>8</v>
      </c>
      <c r="U30" s="1573">
        <f t="shared" si="11"/>
        <v>100</v>
      </c>
      <c r="V30" s="1572" t="s">
        <v>8</v>
      </c>
      <c r="W30" s="1573">
        <f t="shared" si="12"/>
        <v>100</v>
      </c>
      <c r="X30" s="1566"/>
      <c r="Y30" s="348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86"/>
      <c r="Q31" s="1571"/>
      <c r="R31" s="1572"/>
      <c r="S31" s="1573"/>
      <c r="T31" s="1572"/>
      <c r="U31" s="1573"/>
      <c r="V31" s="1572"/>
      <c r="W31" s="1573"/>
      <c r="X31" s="1566"/>
      <c r="Y31" s="3486"/>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86"/>
      <c r="Q32" s="1571" t="str">
        <f t="shared" si="8"/>
        <v>土地级别</v>
      </c>
      <c r="R32" s="1572" t="s">
        <v>8</v>
      </c>
      <c r="S32" s="1573">
        <f t="shared" si="10"/>
        <v>100</v>
      </c>
      <c r="T32" s="1572" t="s">
        <v>8</v>
      </c>
      <c r="U32" s="1573">
        <f t="shared" si="11"/>
        <v>100</v>
      </c>
      <c r="V32" s="1572" t="s">
        <v>8</v>
      </c>
      <c r="W32" s="1573">
        <f t="shared" si="12"/>
        <v>100</v>
      </c>
      <c r="X32" s="1566"/>
      <c r="Y32" s="348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86"/>
      <c r="Q33" s="1571">
        <f t="shared" si="8"/>
        <v>111</v>
      </c>
      <c r="R33" s="1572" t="s">
        <v>8</v>
      </c>
      <c r="S33" s="1573">
        <f t="shared" si="10"/>
        <v>100</v>
      </c>
      <c r="T33" s="1572" t="s">
        <v>8</v>
      </c>
      <c r="U33" s="1573">
        <f t="shared" si="11"/>
        <v>100</v>
      </c>
      <c r="V33" s="1572" t="s">
        <v>8</v>
      </c>
      <c r="W33" s="1573">
        <f t="shared" si="12"/>
        <v>100</v>
      </c>
      <c r="X33" s="1566"/>
      <c r="Y33" s="348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87" t="s">
        <v>549</v>
      </c>
      <c r="Q34" s="1571">
        <f t="shared" si="8"/>
        <v>111</v>
      </c>
      <c r="R34" s="1572" t="s">
        <v>8</v>
      </c>
      <c r="S34" s="1573">
        <f t="shared" si="10"/>
        <v>100</v>
      </c>
      <c r="T34" s="1572" t="s">
        <v>8</v>
      </c>
      <c r="U34" s="1573">
        <f t="shared" si="11"/>
        <v>100</v>
      </c>
      <c r="V34" s="1572" t="s">
        <v>8</v>
      </c>
      <c r="W34" s="1573">
        <f t="shared" si="12"/>
        <v>100</v>
      </c>
      <c r="X34" s="1566"/>
      <c r="Y34" s="3488"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88"/>
      <c r="Q35" s="1571">
        <f t="shared" si="8"/>
        <v>111</v>
      </c>
      <c r="R35" s="1576" t="s">
        <v>8</v>
      </c>
      <c r="S35" s="1577">
        <f t="shared" si="10"/>
        <v>100</v>
      </c>
      <c r="T35" s="1576" t="s">
        <v>8</v>
      </c>
      <c r="U35" s="1577">
        <f t="shared" si="11"/>
        <v>100</v>
      </c>
      <c r="V35" s="1576" t="s">
        <v>8</v>
      </c>
      <c r="W35" s="1577">
        <f t="shared" si="12"/>
        <v>100</v>
      </c>
      <c r="X35" s="1578"/>
      <c r="Y35" s="3488"/>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88"/>
      <c r="Q36" s="1571" t="str">
        <f>B36</f>
        <v>宗地面积</v>
      </c>
      <c r="R36" s="1572" t="s">
        <v>8</v>
      </c>
      <c r="S36" s="1573" t="e">
        <f t="shared" si="10"/>
        <v>#N/A</v>
      </c>
      <c r="T36" s="1572" t="s">
        <v>8</v>
      </c>
      <c r="U36" s="1573" t="e">
        <f t="shared" si="11"/>
        <v>#N/A</v>
      </c>
      <c r="V36" s="1572" t="s">
        <v>8</v>
      </c>
      <c r="W36" s="1573" t="e">
        <f t="shared" si="12"/>
        <v>#N/A</v>
      </c>
      <c r="X36" s="1566"/>
      <c r="Y36" s="3488"/>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88"/>
      <c r="Q37" s="1571" t="str">
        <f t="shared" ref="Q37:Q42" si="14">B37</f>
        <v>宗地形状</v>
      </c>
      <c r="R37" s="1572" t="s">
        <v>8</v>
      </c>
      <c r="S37" s="1573">
        <f t="shared" si="10"/>
        <v>100</v>
      </c>
      <c r="T37" s="1572" t="s">
        <v>8</v>
      </c>
      <c r="U37" s="1573">
        <f t="shared" si="11"/>
        <v>100</v>
      </c>
      <c r="V37" s="1572" t="s">
        <v>8</v>
      </c>
      <c r="W37" s="1573">
        <f t="shared" si="12"/>
        <v>100</v>
      </c>
      <c r="X37" s="1566"/>
      <c r="Y37" s="3488"/>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88"/>
      <c r="Q38" s="1571" t="str">
        <f t="shared" si="14"/>
        <v>宗地开发程度</v>
      </c>
      <c r="R38" s="1567" t="s">
        <v>8</v>
      </c>
      <c r="S38" s="1568">
        <f t="shared" si="10"/>
        <v>100</v>
      </c>
      <c r="T38" s="1567" t="s">
        <v>8</v>
      </c>
      <c r="U38" s="1568">
        <f t="shared" si="11"/>
        <v>100</v>
      </c>
      <c r="V38" s="1567" t="s">
        <v>8</v>
      </c>
      <c r="W38" s="1568">
        <f t="shared" si="12"/>
        <v>100</v>
      </c>
      <c r="X38" s="1569"/>
      <c r="Y38" s="3488"/>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t="s">
        <v>600</v>
      </c>
      <c r="Q39" s="1571" t="str">
        <f t="shared" si="14"/>
        <v>工程地质条件</v>
      </c>
      <c r="R39" s="1572" t="s">
        <v>8</v>
      </c>
      <c r="S39" s="1573">
        <f t="shared" si="10"/>
        <v>100</v>
      </c>
      <c r="T39" s="1572" t="s">
        <v>8</v>
      </c>
      <c r="U39" s="1573">
        <f t="shared" si="11"/>
        <v>100</v>
      </c>
      <c r="V39" s="1572" t="s">
        <v>8</v>
      </c>
      <c r="W39" s="1573">
        <f t="shared" si="12"/>
        <v>100</v>
      </c>
      <c r="X39" s="1566"/>
      <c r="Y39" s="3488"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88"/>
      <c r="Q40" s="1571">
        <f t="shared" si="14"/>
        <v>111</v>
      </c>
      <c r="R40" s="1572" t="s">
        <v>8</v>
      </c>
      <c r="S40" s="1573">
        <f t="shared" si="10"/>
        <v>100</v>
      </c>
      <c r="T40" s="1572" t="s">
        <v>8</v>
      </c>
      <c r="U40" s="1573">
        <f t="shared" si="11"/>
        <v>100</v>
      </c>
      <c r="V40" s="1572" t="s">
        <v>8</v>
      </c>
      <c r="W40" s="1573">
        <f t="shared" si="12"/>
        <v>100</v>
      </c>
      <c r="X40" s="1566"/>
      <c r="Y40" s="348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88"/>
      <c r="Q41" s="1571">
        <f t="shared" si="14"/>
        <v>111</v>
      </c>
      <c r="R41" s="1572" t="s">
        <v>8</v>
      </c>
      <c r="S41" s="1573">
        <f t="shared" si="10"/>
        <v>100</v>
      </c>
      <c r="T41" s="1572" t="s">
        <v>8</v>
      </c>
      <c r="U41" s="1573">
        <f t="shared" si="11"/>
        <v>100</v>
      </c>
      <c r="V41" s="1572" t="s">
        <v>8</v>
      </c>
      <c r="W41" s="1573">
        <f t="shared" si="12"/>
        <v>100</v>
      </c>
      <c r="X41" s="1566"/>
      <c r="Y41" s="3488"/>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88"/>
      <c r="Q42" s="1571">
        <f t="shared" si="14"/>
        <v>111</v>
      </c>
      <c r="R42" s="1576" t="s">
        <v>8</v>
      </c>
      <c r="S42" s="1577">
        <f t="shared" si="10"/>
        <v>100</v>
      </c>
      <c r="T42" s="1576" t="s">
        <v>8</v>
      </c>
      <c r="U42" s="1577">
        <f t="shared" si="11"/>
        <v>100</v>
      </c>
      <c r="V42" s="1576" t="s">
        <v>8</v>
      </c>
      <c r="W42" s="1577">
        <f t="shared" si="12"/>
        <v>100</v>
      </c>
      <c r="X42" s="1578"/>
      <c r="Y42" s="3488"/>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49" t="str">
        <f>A43</f>
        <v>成交单价</v>
      </c>
      <c r="Q43" s="3449"/>
      <c r="R43" s="3450">
        <f>E43</f>
        <v>0</v>
      </c>
      <c r="S43" s="3450"/>
      <c r="T43" s="3450">
        <f>G43</f>
        <v>0</v>
      </c>
      <c r="U43" s="3450"/>
      <c r="V43" s="3450">
        <f>I43</f>
        <v>0</v>
      </c>
      <c r="W43" s="3450"/>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49" t="str">
        <f>A44</f>
        <v>比较价格（元/平方米）</v>
      </c>
      <c r="Q44" s="3449"/>
      <c r="R44" s="3451" t="e">
        <f>ROUND(PRODUCT(R43,AA9:AA42),0)</f>
        <v>#DIV/0!</v>
      </c>
      <c r="S44" s="3451"/>
      <c r="T44" s="3451" t="e">
        <f>ROUND(PRODUCT(T43,AB9:AB42),0)</f>
        <v>#DIV/0!</v>
      </c>
      <c r="U44" s="3451"/>
      <c r="V44" s="3451" t="e">
        <f>ROUND(PRODUCT(V43,AC9:AC42),0)</f>
        <v>#DIV/0!</v>
      </c>
      <c r="W44" s="3451"/>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46" t="str">
        <f>A45</f>
        <v>估价对象XX用房的比较价格（楼面单价，元/平方米）</v>
      </c>
      <c r="Q45" s="3447"/>
      <c r="R45" s="3448" t="e">
        <f>ROUND(AVERAGE(R44:V44),0)</f>
        <v>#DIV/0!</v>
      </c>
      <c r="S45" s="3448"/>
      <c r="T45" s="3448"/>
      <c r="U45" s="3448"/>
      <c r="V45" s="3448"/>
      <c r="W45" s="344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500" t="s">
        <v>2284</v>
      </c>
      <c r="H52" s="3501"/>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502"/>
      <c r="H53" s="350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504"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50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50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50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14"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15"/>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06" t="s">
        <v>2780</v>
      </c>
      <c r="X8" s="3507"/>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15"/>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05"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15"/>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0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15"/>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05"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14"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05"/>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16"/>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05"/>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1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17"/>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14"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15"/>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20"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21"/>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21"/>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22"/>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8" t="s">
        <v>1633</v>
      </c>
      <c r="B90" s="3518"/>
      <c r="C90" s="3518"/>
      <c r="D90" s="3518"/>
      <c r="E90" s="3518"/>
      <c r="F90" s="3518"/>
      <c r="G90" s="3518"/>
      <c r="H90" s="3518"/>
      <c r="I90" s="3518"/>
      <c r="J90" s="3518"/>
      <c r="K90" s="2450"/>
      <c r="L90" s="2450"/>
      <c r="M90" s="2450"/>
      <c r="N90" s="2450"/>
    </row>
    <row r="91" spans="1:40">
      <c r="A91" s="3519" t="s">
        <v>1443</v>
      </c>
      <c r="B91" s="3519" t="s">
        <v>1634</v>
      </c>
      <c r="C91" s="1140" t="s">
        <v>1635</v>
      </c>
      <c r="D91" s="1141"/>
      <c r="E91" s="1141"/>
      <c r="F91" s="1141"/>
      <c r="G91" s="1141"/>
      <c r="H91" s="1141"/>
      <c r="I91" s="1141"/>
      <c r="J91" s="1142"/>
      <c r="K91" s="1134"/>
      <c r="L91" s="1134"/>
      <c r="M91" s="1134"/>
      <c r="N91" s="1134"/>
    </row>
    <row r="92" spans="1:40">
      <c r="A92" s="3519"/>
      <c r="B92" s="351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0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0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0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0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0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0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0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09"/>
      <c r="B108" s="351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0"/>
      <c r="B109" s="351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13" t="s">
        <v>1639</v>
      </c>
      <c r="B110" s="3513"/>
      <c r="C110" s="3513"/>
      <c r="D110" s="3513"/>
      <c r="E110" s="3513"/>
      <c r="F110" s="3513"/>
      <c r="G110" s="3513"/>
      <c r="H110" s="3513"/>
      <c r="I110" s="3513"/>
      <c r="J110" s="3513"/>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9" t="s">
        <v>1007</v>
      </c>
      <c r="B18" s="1154" t="s">
        <v>1446</v>
      </c>
      <c r="C18" s="1131" t="s">
        <v>1447</v>
      </c>
      <c r="D18" s="1132"/>
      <c r="E18" s="1154">
        <v>1</v>
      </c>
      <c r="F18" s="1133" t="s">
        <v>1448</v>
      </c>
      <c r="G18" s="1134"/>
      <c r="H18" s="1105"/>
      <c r="I18" s="1105"/>
    </row>
    <row r="19" spans="1:9" s="1598" customFormat="1" ht="19.5" customHeight="1">
      <c r="A19" s="3519"/>
      <c r="B19" s="3519" t="s">
        <v>1449</v>
      </c>
      <c r="C19" s="1131" t="s">
        <v>1450</v>
      </c>
      <c r="D19" s="1132"/>
      <c r="E19" s="1154">
        <v>0.9</v>
      </c>
      <c r="F19" s="1133" t="s">
        <v>1451</v>
      </c>
      <c r="G19" s="1134"/>
      <c r="H19" s="1105"/>
      <c r="I19" s="1105"/>
    </row>
    <row r="20" spans="1:9" s="1598" customFormat="1" ht="19.5" customHeight="1">
      <c r="A20" s="3519"/>
      <c r="B20" s="3519"/>
      <c r="C20" s="1131" t="s">
        <v>1452</v>
      </c>
      <c r="D20" s="1132"/>
      <c r="E20" s="1154">
        <v>1.1000000000000001</v>
      </c>
      <c r="F20" s="1133" t="s">
        <v>1453</v>
      </c>
      <c r="G20" s="1134"/>
      <c r="H20" s="1105"/>
      <c r="I20" s="1105"/>
    </row>
    <row r="21" spans="1:9" s="1598" customFormat="1" ht="19.5" customHeight="1">
      <c r="A21" s="3519"/>
      <c r="B21" s="3519"/>
      <c r="C21" s="1131" t="s">
        <v>1454</v>
      </c>
      <c r="D21" s="1132"/>
      <c r="E21" s="1154">
        <v>0.8</v>
      </c>
      <c r="F21" s="1133" t="s">
        <v>1455</v>
      </c>
      <c r="G21" s="1134"/>
      <c r="H21" s="1105"/>
      <c r="I21" s="1105"/>
    </row>
    <row r="22" spans="1:9" s="1598" customFormat="1" ht="19.5" customHeight="1">
      <c r="A22" s="3519"/>
      <c r="B22" s="3519"/>
      <c r="C22" s="1131" t="s">
        <v>1456</v>
      </c>
      <c r="D22" s="1132"/>
      <c r="E22" s="1154">
        <v>0.5</v>
      </c>
      <c r="F22" s="1133"/>
      <c r="G22" s="1134"/>
      <c r="H22" s="1105"/>
      <c r="I22" s="1105"/>
    </row>
    <row r="23" spans="1:9" s="1598" customFormat="1" ht="19.5" customHeight="1">
      <c r="A23" s="3519" t="s">
        <v>1029</v>
      </c>
      <c r="B23" s="1154" t="s">
        <v>1446</v>
      </c>
      <c r="C23" s="1131" t="s">
        <v>1457</v>
      </c>
      <c r="D23" s="1132"/>
      <c r="E23" s="1154">
        <v>1</v>
      </c>
      <c r="F23" s="1133" t="s">
        <v>1458</v>
      </c>
      <c r="G23" s="1134"/>
      <c r="H23" s="1105"/>
      <c r="I23" s="1105"/>
    </row>
    <row r="24" spans="1:9" s="1598" customFormat="1" ht="19.5" customHeight="1">
      <c r="A24" s="3519"/>
      <c r="B24" s="3519" t="s">
        <v>1449</v>
      </c>
      <c r="C24" s="1131" t="s">
        <v>1459</v>
      </c>
      <c r="D24" s="1132"/>
      <c r="E24" s="1154">
        <v>0.5</v>
      </c>
      <c r="F24" s="1133"/>
      <c r="G24" s="1134"/>
      <c r="H24" s="1105"/>
      <c r="I24" s="1105"/>
    </row>
    <row r="25" spans="1:9" s="1598" customFormat="1" ht="19.5" customHeight="1">
      <c r="A25" s="3519"/>
      <c r="B25" s="3519"/>
      <c r="C25" s="1131" t="s">
        <v>1460</v>
      </c>
      <c r="D25" s="1132"/>
      <c r="E25" s="1154">
        <v>1.1000000000000001</v>
      </c>
      <c r="F25" s="1133"/>
      <c r="G25" s="1134"/>
      <c r="H25" s="1105"/>
      <c r="I25" s="1105"/>
    </row>
    <row r="26" spans="1:9" s="1598" customFormat="1" ht="19.5" customHeight="1">
      <c r="A26" s="3519"/>
      <c r="B26" s="3519"/>
      <c r="C26" s="1131" t="s">
        <v>1461</v>
      </c>
      <c r="D26" s="1132"/>
      <c r="E26" s="1154">
        <v>1.1000000000000001</v>
      </c>
      <c r="F26" s="1133"/>
      <c r="G26" s="1134"/>
      <c r="H26" s="1105"/>
      <c r="I26" s="1105"/>
    </row>
    <row r="27" spans="1:9" s="1598" customFormat="1" ht="19.5" customHeight="1">
      <c r="A27" s="3519"/>
      <c r="B27" s="3519"/>
      <c r="C27" s="1131" t="s">
        <v>1462</v>
      </c>
      <c r="D27" s="1132"/>
      <c r="E27" s="1154">
        <v>0.9</v>
      </c>
      <c r="F27" s="1133" t="s">
        <v>1463</v>
      </c>
      <c r="G27" s="1134"/>
      <c r="H27" s="1105"/>
      <c r="I27" s="1105"/>
    </row>
    <row r="28" spans="1:9" s="1598" customFormat="1" ht="19.5" customHeight="1">
      <c r="A28" s="3519"/>
      <c r="B28" s="3519"/>
      <c r="C28" s="1131" t="s">
        <v>1464</v>
      </c>
      <c r="D28" s="1132"/>
      <c r="E28" s="1154">
        <v>0.9</v>
      </c>
      <c r="F28" s="1133" t="s">
        <v>1465</v>
      </c>
      <c r="G28" s="1134"/>
      <c r="H28" s="1105"/>
      <c r="I28" s="1105"/>
    </row>
    <row r="29" spans="1:9" s="1598" customFormat="1" ht="19.5" customHeight="1">
      <c r="A29" s="3519"/>
      <c r="B29" s="3519"/>
      <c r="C29" s="1131" t="s">
        <v>1466</v>
      </c>
      <c r="D29" s="1132"/>
      <c r="E29" s="1154">
        <v>0.9</v>
      </c>
      <c r="F29" s="1133" t="s">
        <v>1467</v>
      </c>
      <c r="G29" s="1134"/>
      <c r="H29" s="1105"/>
      <c r="I29" s="1105"/>
    </row>
    <row r="30" spans="1:9" s="1598" customFormat="1" ht="19.5" customHeight="1">
      <c r="A30" s="3519"/>
      <c r="B30" s="3519"/>
      <c r="C30" s="1131" t="s">
        <v>1468</v>
      </c>
      <c r="D30" s="1132"/>
      <c r="E30" s="1154">
        <v>0.9</v>
      </c>
      <c r="F30" s="1133" t="s">
        <v>1469</v>
      </c>
      <c r="G30" s="1134"/>
      <c r="H30" s="1105"/>
      <c r="I30" s="1105"/>
    </row>
    <row r="31" spans="1:9" s="1598" customFormat="1" ht="19.5" customHeight="1">
      <c r="A31" s="3519"/>
      <c r="B31" s="3519"/>
      <c r="C31" s="1131" t="s">
        <v>1470</v>
      </c>
      <c r="D31" s="1132"/>
      <c r="E31" s="1154">
        <v>0.8</v>
      </c>
      <c r="F31" s="1133" t="s">
        <v>1471</v>
      </c>
      <c r="G31" s="1134"/>
      <c r="H31" s="1105"/>
      <c r="I31" s="1105"/>
    </row>
    <row r="32" spans="1:9" s="1598" customFormat="1" ht="19.5" customHeight="1">
      <c r="A32" s="3519"/>
      <c r="B32" s="3519"/>
      <c r="C32" s="1131" t="s">
        <v>1472</v>
      </c>
      <c r="D32" s="1132"/>
      <c r="E32" s="1154">
        <v>0.8</v>
      </c>
      <c r="F32" s="1133" t="s">
        <v>1473</v>
      </c>
      <c r="G32" s="1134"/>
      <c r="H32" s="1105"/>
      <c r="I32" s="1105"/>
    </row>
    <row r="33" spans="1:9" s="1598" customFormat="1" ht="19.5" customHeight="1">
      <c r="A33" s="3519" t="s">
        <v>1474</v>
      </c>
      <c r="B33" s="1154" t="s">
        <v>1446</v>
      </c>
      <c r="C33" s="1131" t="s">
        <v>1475</v>
      </c>
      <c r="D33" s="1132"/>
      <c r="E33" s="1154">
        <v>1</v>
      </c>
      <c r="F33" s="1133" t="s">
        <v>1476</v>
      </c>
      <c r="G33" s="1134"/>
      <c r="H33" s="1105"/>
      <c r="I33" s="1105"/>
    </row>
    <row r="34" spans="1:9" s="1598" customFormat="1" ht="19.5" customHeight="1">
      <c r="A34" s="3519"/>
      <c r="B34" s="1154" t="s">
        <v>1449</v>
      </c>
      <c r="C34" s="1131" t="s">
        <v>1477</v>
      </c>
      <c r="D34" s="1132"/>
      <c r="E34" s="1154">
        <v>1.5</v>
      </c>
      <c r="F34" s="1133" t="s">
        <v>1478</v>
      </c>
      <c r="G34" s="1134"/>
      <c r="H34" s="1105"/>
      <c r="I34" s="1105"/>
    </row>
    <row r="35" spans="1:9" s="1598" customFormat="1" ht="19.5" customHeight="1">
      <c r="A35" s="3519" t="s">
        <v>1432</v>
      </c>
      <c r="B35" s="1154" t="s">
        <v>1446</v>
      </c>
      <c r="C35" s="1131" t="s">
        <v>1479</v>
      </c>
      <c r="D35" s="1132"/>
      <c r="E35" s="1154">
        <v>1</v>
      </c>
      <c r="F35" s="1133" t="s">
        <v>1480</v>
      </c>
      <c r="G35" s="1134"/>
      <c r="H35" s="1105"/>
      <c r="I35" s="1105"/>
    </row>
    <row r="36" spans="1:9" s="1598" customFormat="1" ht="19.5" customHeight="1">
      <c r="A36" s="3519"/>
      <c r="B36" s="3519" t="s">
        <v>1449</v>
      </c>
      <c r="C36" s="1131" t="s">
        <v>1481</v>
      </c>
      <c r="D36" s="1132"/>
      <c r="E36" s="1154">
        <v>1</v>
      </c>
      <c r="F36" s="1133" t="s">
        <v>1482</v>
      </c>
      <c r="G36" s="1134"/>
      <c r="H36" s="1105"/>
      <c r="I36" s="1105"/>
    </row>
    <row r="37" spans="1:9" s="1598" customFormat="1" ht="19.5" customHeight="1">
      <c r="A37" s="3519"/>
      <c r="B37" s="3519"/>
      <c r="C37" s="1131" t="s">
        <v>1483</v>
      </c>
      <c r="D37" s="1132"/>
      <c r="E37" s="1154">
        <v>1.5</v>
      </c>
      <c r="F37" s="1133" t="s">
        <v>1484</v>
      </c>
      <c r="G37" s="1134"/>
      <c r="H37" s="1105"/>
      <c r="I37" s="1105"/>
    </row>
    <row r="38" spans="1:9" s="1598" customFormat="1" ht="19.5" customHeight="1">
      <c r="A38" s="3519"/>
      <c r="B38" s="3519"/>
      <c r="C38" s="1131" t="s">
        <v>1485</v>
      </c>
      <c r="D38" s="1132"/>
      <c r="E38" s="1154">
        <v>1</v>
      </c>
      <c r="F38" s="1133" t="s">
        <v>1486</v>
      </c>
      <c r="G38" s="1134"/>
      <c r="H38" s="1105"/>
      <c r="I38" s="1105"/>
    </row>
    <row r="39" spans="1:9" s="1598" customFormat="1" ht="19.5" customHeight="1">
      <c r="A39" s="3519"/>
      <c r="B39" s="3519"/>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19" t="s">
        <v>1501</v>
      </c>
      <c r="C61" s="1068" t="s">
        <v>1502</v>
      </c>
      <c r="D61" s="1068" t="s">
        <v>1503</v>
      </c>
      <c r="E61" s="1139">
        <v>0.5</v>
      </c>
      <c r="F61" s="1154">
        <v>80</v>
      </c>
      <c r="H61" s="1105">
        <f>SUMIF(C59:C119,基准地价!C8,E59:E119)</f>
        <v>0</v>
      </c>
    </row>
    <row r="62" spans="1:8" s="1105" customFormat="1" ht="36">
      <c r="A62" s="1154">
        <v>2</v>
      </c>
      <c r="B62" s="3519"/>
      <c r="C62" s="1068" t="s">
        <v>1504</v>
      </c>
      <c r="D62" s="1068" t="s">
        <v>1505</v>
      </c>
      <c r="E62" s="1139">
        <v>0.5</v>
      </c>
      <c r="F62" s="1154">
        <v>80</v>
      </c>
    </row>
    <row r="63" spans="1:8" s="1105" customFormat="1" ht="48">
      <c r="A63" s="1154">
        <v>3</v>
      </c>
      <c r="B63" s="3519"/>
      <c r="C63" s="1068" t="s">
        <v>1506</v>
      </c>
      <c r="D63" s="1068" t="s">
        <v>1507</v>
      </c>
      <c r="E63" s="1139">
        <v>0.5</v>
      </c>
      <c r="F63" s="1154">
        <v>80</v>
      </c>
    </row>
    <row r="64" spans="1:8" s="1105" customFormat="1" ht="48">
      <c r="A64" s="1154">
        <v>4</v>
      </c>
      <c r="B64" s="3519"/>
      <c r="C64" s="1068" t="s">
        <v>1508</v>
      </c>
      <c r="D64" s="1068" t="s">
        <v>1509</v>
      </c>
      <c r="E64" s="1139">
        <v>0.4</v>
      </c>
      <c r="F64" s="1154">
        <v>60</v>
      </c>
    </row>
    <row r="65" spans="1:6" s="1105" customFormat="1" ht="48">
      <c r="A65" s="1154">
        <v>5</v>
      </c>
      <c r="B65" s="3519"/>
      <c r="C65" s="1068" t="s">
        <v>1510</v>
      </c>
      <c r="D65" s="1068" t="s">
        <v>1511</v>
      </c>
      <c r="E65" s="1139">
        <v>0.2</v>
      </c>
      <c r="F65" s="1154">
        <v>30</v>
      </c>
    </row>
    <row r="66" spans="1:6" s="1105" customFormat="1" ht="48">
      <c r="A66" s="1154">
        <v>6</v>
      </c>
      <c r="B66" s="3519"/>
      <c r="C66" s="1068" t="s">
        <v>1512</v>
      </c>
      <c r="D66" s="1068" t="s">
        <v>1513</v>
      </c>
      <c r="E66" s="1139">
        <v>0.3</v>
      </c>
      <c r="F66" s="1154">
        <v>50</v>
      </c>
    </row>
    <row r="67" spans="1:6" s="1105" customFormat="1" ht="48">
      <c r="A67" s="1154">
        <v>7</v>
      </c>
      <c r="B67" s="3519"/>
      <c r="C67" s="1068" t="s">
        <v>1514</v>
      </c>
      <c r="D67" s="1068" t="s">
        <v>1515</v>
      </c>
      <c r="E67" s="1139">
        <v>0.2</v>
      </c>
      <c r="F67" s="1154">
        <v>30</v>
      </c>
    </row>
    <row r="68" spans="1:6" s="1105" customFormat="1" ht="48">
      <c r="A68" s="1154">
        <v>8</v>
      </c>
      <c r="B68" s="3519"/>
      <c r="C68" s="1068" t="s">
        <v>1516</v>
      </c>
      <c r="D68" s="1068" t="s">
        <v>1517</v>
      </c>
      <c r="E68" s="1139">
        <v>0.2</v>
      </c>
      <c r="F68" s="1154">
        <v>30</v>
      </c>
    </row>
    <row r="69" spans="1:6" s="1105" customFormat="1" ht="48">
      <c r="A69" s="1154">
        <v>9</v>
      </c>
      <c r="B69" s="3519"/>
      <c r="C69" s="1068" t="s">
        <v>1518</v>
      </c>
      <c r="D69" s="1068" t="s">
        <v>1519</v>
      </c>
      <c r="E69" s="1139">
        <v>0.2</v>
      </c>
      <c r="F69" s="1154">
        <v>30</v>
      </c>
    </row>
    <row r="70" spans="1:6" s="1105" customFormat="1" ht="60">
      <c r="A70" s="1154">
        <v>10</v>
      </c>
      <c r="B70" s="3519"/>
      <c r="C70" s="1068" t="s">
        <v>1520</v>
      </c>
      <c r="D70" s="1068" t="s">
        <v>1521</v>
      </c>
      <c r="E70" s="1139">
        <v>0.2</v>
      </c>
      <c r="F70" s="1154">
        <v>30</v>
      </c>
    </row>
    <row r="71" spans="1:6" s="1105" customFormat="1" ht="60">
      <c r="A71" s="1154">
        <v>11</v>
      </c>
      <c r="B71" s="3519"/>
      <c r="C71" s="1068" t="s">
        <v>1522</v>
      </c>
      <c r="D71" s="1068" t="s">
        <v>1523</v>
      </c>
      <c r="E71" s="1139">
        <v>0.2</v>
      </c>
      <c r="F71" s="1154">
        <v>30</v>
      </c>
    </row>
    <row r="72" spans="1:6" s="1105" customFormat="1" ht="36">
      <c r="A72" s="1154">
        <v>12</v>
      </c>
      <c r="B72" s="3519"/>
      <c r="C72" s="1068" t="s">
        <v>1524</v>
      </c>
      <c r="D72" s="1068" t="s">
        <v>1525</v>
      </c>
      <c r="E72" s="1139">
        <v>0.5</v>
      </c>
      <c r="F72" s="1154">
        <v>80</v>
      </c>
    </row>
    <row r="73" spans="1:6" s="1105" customFormat="1" ht="36">
      <c r="A73" s="1154">
        <v>13</v>
      </c>
      <c r="B73" s="3519"/>
      <c r="C73" s="1068" t="s">
        <v>1526</v>
      </c>
      <c r="D73" s="1068" t="s">
        <v>1527</v>
      </c>
      <c r="E73" s="1139">
        <v>0.4</v>
      </c>
      <c r="F73" s="1154">
        <v>60</v>
      </c>
    </row>
    <row r="74" spans="1:6" s="1105" customFormat="1" ht="36">
      <c r="A74" s="1154">
        <v>14</v>
      </c>
      <c r="B74" s="3519"/>
      <c r="C74" s="1068" t="s">
        <v>1528</v>
      </c>
      <c r="D74" s="1068" t="s">
        <v>1529</v>
      </c>
      <c r="E74" s="1139">
        <v>0.2</v>
      </c>
      <c r="F74" s="1154">
        <v>30</v>
      </c>
    </row>
    <row r="75" spans="1:6" s="1105" customFormat="1" ht="36">
      <c r="A75" s="1154">
        <v>15</v>
      </c>
      <c r="B75" s="3519"/>
      <c r="C75" s="1068" t="s">
        <v>1530</v>
      </c>
      <c r="D75" s="1068" t="s">
        <v>1531</v>
      </c>
      <c r="E75" s="1139">
        <v>0.2</v>
      </c>
      <c r="F75" s="1154">
        <v>30</v>
      </c>
    </row>
    <row r="76" spans="1:6" s="1105" customFormat="1" ht="36">
      <c r="A76" s="1154">
        <v>16</v>
      </c>
      <c r="B76" s="3519" t="s">
        <v>1532</v>
      </c>
      <c r="C76" s="1068" t="s">
        <v>1533</v>
      </c>
      <c r="D76" s="1068" t="s">
        <v>1534</v>
      </c>
      <c r="E76" s="1139">
        <v>0.5</v>
      </c>
      <c r="F76" s="1154">
        <v>80</v>
      </c>
    </row>
    <row r="77" spans="1:6" s="1105" customFormat="1" ht="36">
      <c r="A77" s="1154">
        <v>17</v>
      </c>
      <c r="B77" s="3519"/>
      <c r="C77" s="1068" t="s">
        <v>1535</v>
      </c>
      <c r="D77" s="1068" t="s">
        <v>1536</v>
      </c>
      <c r="E77" s="1139">
        <v>0.5</v>
      </c>
      <c r="F77" s="1154">
        <v>80</v>
      </c>
    </row>
    <row r="78" spans="1:6" s="1105" customFormat="1" ht="36">
      <c r="A78" s="1154">
        <v>18</v>
      </c>
      <c r="B78" s="3519"/>
      <c r="C78" s="1068" t="s">
        <v>1537</v>
      </c>
      <c r="D78" s="1068" t="s">
        <v>1538</v>
      </c>
      <c r="E78" s="1139">
        <v>0.2</v>
      </c>
      <c r="F78" s="1154">
        <v>30</v>
      </c>
    </row>
    <row r="79" spans="1:6" s="1105" customFormat="1" ht="36">
      <c r="A79" s="1154">
        <v>19</v>
      </c>
      <c r="B79" s="3519"/>
      <c r="C79" s="1068" t="s">
        <v>1539</v>
      </c>
      <c r="D79" s="1068" t="s">
        <v>1540</v>
      </c>
      <c r="E79" s="1139">
        <v>0.5</v>
      </c>
      <c r="F79" s="1154">
        <v>80</v>
      </c>
    </row>
    <row r="80" spans="1:6" s="1105" customFormat="1" ht="36">
      <c r="A80" s="1154">
        <v>20</v>
      </c>
      <c r="B80" s="3519"/>
      <c r="C80" s="1068" t="s">
        <v>1541</v>
      </c>
      <c r="D80" s="1068" t="s">
        <v>1542</v>
      </c>
      <c r="E80" s="1139">
        <v>0.2</v>
      </c>
      <c r="F80" s="1154">
        <v>30</v>
      </c>
    </row>
    <row r="81" spans="1:6" s="1105" customFormat="1" ht="36">
      <c r="A81" s="1154">
        <v>21</v>
      </c>
      <c r="B81" s="3519"/>
      <c r="C81" s="1068" t="s">
        <v>1543</v>
      </c>
      <c r="D81" s="1068" t="s">
        <v>1544</v>
      </c>
      <c r="E81" s="1139">
        <v>0.2</v>
      </c>
      <c r="F81" s="1154">
        <v>30</v>
      </c>
    </row>
    <row r="82" spans="1:6" s="1105" customFormat="1" ht="60">
      <c r="A82" s="1154">
        <v>22</v>
      </c>
      <c r="B82" s="3519"/>
      <c r="C82" s="1068" t="s">
        <v>1545</v>
      </c>
      <c r="D82" s="1068" t="s">
        <v>1546</v>
      </c>
      <c r="E82" s="1139">
        <v>0.2</v>
      </c>
      <c r="F82" s="1154">
        <v>30</v>
      </c>
    </row>
    <row r="83" spans="1:6" s="1105" customFormat="1" ht="60">
      <c r="A83" s="1154">
        <v>23</v>
      </c>
      <c r="B83" s="3519"/>
      <c r="C83" s="1068" t="s">
        <v>1547</v>
      </c>
      <c r="D83" s="1068" t="s">
        <v>1548</v>
      </c>
      <c r="E83" s="1139">
        <v>0.2</v>
      </c>
      <c r="F83" s="1154">
        <v>30</v>
      </c>
    </row>
    <row r="84" spans="1:6" s="1105" customFormat="1" ht="48">
      <c r="A84" s="1154">
        <v>24</v>
      </c>
      <c r="B84" s="3519"/>
      <c r="C84" s="1068" t="s">
        <v>1549</v>
      </c>
      <c r="D84" s="1068" t="s">
        <v>1550</v>
      </c>
      <c r="E84" s="1139">
        <v>0.2</v>
      </c>
      <c r="F84" s="1154">
        <v>30</v>
      </c>
    </row>
    <row r="85" spans="1:6" s="1105" customFormat="1" ht="36">
      <c r="A85" s="1154">
        <v>25</v>
      </c>
      <c r="B85" s="3519"/>
      <c r="C85" s="1068" t="s">
        <v>1551</v>
      </c>
      <c r="D85" s="1068" t="s">
        <v>1552</v>
      </c>
      <c r="E85" s="1139">
        <v>0.5</v>
      </c>
      <c r="F85" s="1154">
        <v>80</v>
      </c>
    </row>
    <row r="86" spans="1:6" s="1105" customFormat="1" ht="36">
      <c r="A86" s="1154">
        <v>26</v>
      </c>
      <c r="B86" s="3519"/>
      <c r="C86" s="1068" t="s">
        <v>1553</v>
      </c>
      <c r="D86" s="1068" t="s">
        <v>1554</v>
      </c>
      <c r="E86" s="1139">
        <v>0.2</v>
      </c>
      <c r="F86" s="1154">
        <v>30</v>
      </c>
    </row>
    <row r="87" spans="1:6" s="1105" customFormat="1" ht="36">
      <c r="A87" s="1154">
        <v>27</v>
      </c>
      <c r="B87" s="3519"/>
      <c r="C87" s="1068" t="s">
        <v>1555</v>
      </c>
      <c r="D87" s="1068" t="s">
        <v>1556</v>
      </c>
      <c r="E87" s="1139">
        <v>0.2</v>
      </c>
      <c r="F87" s="1154">
        <v>30</v>
      </c>
    </row>
    <row r="88" spans="1:6" s="1105" customFormat="1" ht="36">
      <c r="A88" s="1154">
        <v>28</v>
      </c>
      <c r="B88" s="3519"/>
      <c r="C88" s="1068" t="s">
        <v>1557</v>
      </c>
      <c r="D88" s="1068" t="s">
        <v>1558</v>
      </c>
      <c r="E88" s="1139">
        <v>0.2</v>
      </c>
      <c r="F88" s="1154">
        <v>30</v>
      </c>
    </row>
    <row r="89" spans="1:6" s="1105" customFormat="1" ht="36">
      <c r="A89" s="1154">
        <v>29</v>
      </c>
      <c r="B89" s="3519"/>
      <c r="C89" s="1068" t="s">
        <v>1559</v>
      </c>
      <c r="D89" s="1068" t="s">
        <v>1560</v>
      </c>
      <c r="E89" s="1139">
        <v>0.2</v>
      </c>
      <c r="F89" s="1154">
        <v>30</v>
      </c>
    </row>
    <row r="90" spans="1:6" s="1105" customFormat="1" ht="36">
      <c r="A90" s="1154">
        <v>30</v>
      </c>
      <c r="B90" s="3519"/>
      <c r="C90" s="1068" t="s">
        <v>1561</v>
      </c>
      <c r="D90" s="1068" t="s">
        <v>1562</v>
      </c>
      <c r="E90" s="1139">
        <v>0.2</v>
      </c>
      <c r="F90" s="1154">
        <v>30</v>
      </c>
    </row>
    <row r="91" spans="1:6" s="1105" customFormat="1" ht="48">
      <c r="A91" s="1154">
        <v>31</v>
      </c>
      <c r="B91" s="3519"/>
      <c r="C91" s="1068" t="s">
        <v>1563</v>
      </c>
      <c r="D91" s="1068" t="s">
        <v>1564</v>
      </c>
      <c r="E91" s="1139">
        <v>0.2</v>
      </c>
      <c r="F91" s="1154">
        <v>30</v>
      </c>
    </row>
    <row r="92" spans="1:6" s="1105" customFormat="1" ht="36">
      <c r="A92" s="1154">
        <v>32</v>
      </c>
      <c r="B92" s="3519" t="s">
        <v>1565</v>
      </c>
      <c r="C92" s="1154" t="s">
        <v>1566</v>
      </c>
      <c r="D92" s="1068" t="s">
        <v>1567</v>
      </c>
      <c r="E92" s="1139">
        <v>0.2</v>
      </c>
      <c r="F92" s="1154">
        <v>30</v>
      </c>
    </row>
    <row r="93" spans="1:6" s="1105" customFormat="1" ht="36">
      <c r="A93" s="1154">
        <v>33</v>
      </c>
      <c r="B93" s="3519"/>
      <c r="C93" s="1154" t="s">
        <v>1568</v>
      </c>
      <c r="D93" s="1068" t="s">
        <v>1569</v>
      </c>
      <c r="E93" s="1139">
        <v>0.2</v>
      </c>
      <c r="F93" s="1154">
        <v>30</v>
      </c>
    </row>
    <row r="94" spans="1:6" s="1105" customFormat="1" ht="60">
      <c r="A94" s="1154">
        <v>34</v>
      </c>
      <c r="B94" s="3519"/>
      <c r="C94" s="1154" t="s">
        <v>1570</v>
      </c>
      <c r="D94" s="1068" t="s">
        <v>1571</v>
      </c>
      <c r="E94" s="1139">
        <v>0.2</v>
      </c>
      <c r="F94" s="1154">
        <v>30</v>
      </c>
    </row>
    <row r="95" spans="1:6" s="1105" customFormat="1" ht="48">
      <c r="A95" s="1154">
        <v>35</v>
      </c>
      <c r="B95" s="3519"/>
      <c r="C95" s="1154" t="s">
        <v>1572</v>
      </c>
      <c r="D95" s="1068" t="s">
        <v>1573</v>
      </c>
      <c r="E95" s="1139">
        <v>0.2</v>
      </c>
      <c r="F95" s="1154">
        <v>30</v>
      </c>
    </row>
    <row r="96" spans="1:6" s="1105" customFormat="1" ht="72">
      <c r="A96" s="1154">
        <v>36</v>
      </c>
      <c r="B96" s="3519"/>
      <c r="C96" s="1068" t="s">
        <v>1574</v>
      </c>
      <c r="D96" s="1068" t="s">
        <v>1575</v>
      </c>
      <c r="E96" s="1139">
        <v>0.2</v>
      </c>
      <c r="F96" s="1154">
        <v>30</v>
      </c>
    </row>
    <row r="97" spans="1:6" s="1105" customFormat="1" ht="36">
      <c r="A97" s="1154">
        <v>37</v>
      </c>
      <c r="B97" s="3519"/>
      <c r="C97" s="1154" t="s">
        <v>1576</v>
      </c>
      <c r="D97" s="1068" t="s">
        <v>1577</v>
      </c>
      <c r="E97" s="1139">
        <v>0.2</v>
      </c>
      <c r="F97" s="1154">
        <v>30</v>
      </c>
    </row>
    <row r="98" spans="1:6" s="1105" customFormat="1" ht="36">
      <c r="A98" s="1154">
        <v>38</v>
      </c>
      <c r="B98" s="3519"/>
      <c r="C98" s="1154" t="s">
        <v>1578</v>
      </c>
      <c r="D98" s="1068" t="s">
        <v>1579</v>
      </c>
      <c r="E98" s="1139">
        <v>0.2</v>
      </c>
      <c r="F98" s="1154">
        <v>30</v>
      </c>
    </row>
    <row r="99" spans="1:6" s="1105" customFormat="1" ht="36">
      <c r="A99" s="1154">
        <v>39</v>
      </c>
      <c r="B99" s="3519" t="s">
        <v>1580</v>
      </c>
      <c r="C99" s="1154" t="s">
        <v>1581</v>
      </c>
      <c r="D99" s="1068" t="s">
        <v>1582</v>
      </c>
      <c r="E99" s="1139">
        <v>0.3</v>
      </c>
      <c r="F99" s="1154">
        <v>50</v>
      </c>
    </row>
    <row r="100" spans="1:6" s="1105" customFormat="1" ht="36">
      <c r="A100" s="1154">
        <v>40</v>
      </c>
      <c r="B100" s="3519"/>
      <c r="C100" s="1154" t="s">
        <v>1583</v>
      </c>
      <c r="D100" s="1068" t="s">
        <v>1584</v>
      </c>
      <c r="E100" s="1139">
        <v>0.2</v>
      </c>
      <c r="F100" s="1154">
        <v>30</v>
      </c>
    </row>
    <row r="101" spans="1:6" s="1105" customFormat="1" ht="36">
      <c r="A101" s="1154">
        <v>41</v>
      </c>
      <c r="B101" s="351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19" t="s">
        <v>1595</v>
      </c>
      <c r="C105" s="1154" t="s">
        <v>1596</v>
      </c>
      <c r="D105" s="1068" t="s">
        <v>1597</v>
      </c>
      <c r="E105" s="1139">
        <v>0.2</v>
      </c>
      <c r="F105" s="1154">
        <v>30</v>
      </c>
    </row>
    <row r="106" spans="1:6" s="1105" customFormat="1" ht="48">
      <c r="A106" s="1154">
        <v>46</v>
      </c>
      <c r="B106" s="3519"/>
      <c r="C106" s="1154" t="s">
        <v>1598</v>
      </c>
      <c r="D106" s="1068" t="s">
        <v>1599</v>
      </c>
      <c r="E106" s="1139">
        <v>0.2</v>
      </c>
      <c r="F106" s="1154">
        <v>30</v>
      </c>
    </row>
    <row r="107" spans="1:6" s="1105" customFormat="1" ht="36">
      <c r="A107" s="1154">
        <v>47</v>
      </c>
      <c r="B107" s="3519" t="s">
        <v>1600</v>
      </c>
      <c r="C107" s="1154" t="s">
        <v>1601</v>
      </c>
      <c r="D107" s="1068" t="s">
        <v>1602</v>
      </c>
      <c r="E107" s="1139">
        <v>0.3</v>
      </c>
      <c r="F107" s="1154">
        <v>50</v>
      </c>
    </row>
    <row r="108" spans="1:6" s="1105" customFormat="1" ht="48">
      <c r="A108" s="1154">
        <v>48</v>
      </c>
      <c r="B108" s="351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19" t="s">
        <v>1611</v>
      </c>
      <c r="C111" s="1154" t="s">
        <v>1612</v>
      </c>
      <c r="D111" s="1068" t="s">
        <v>1613</v>
      </c>
      <c r="E111" s="1139">
        <v>0.2</v>
      </c>
      <c r="F111" s="1154">
        <v>30</v>
      </c>
    </row>
    <row r="112" spans="1:6" s="1105" customFormat="1" ht="36">
      <c r="A112" s="1154">
        <v>52</v>
      </c>
      <c r="B112" s="3519"/>
      <c r="C112" s="1154" t="s">
        <v>1614</v>
      </c>
      <c r="D112" s="1068" t="s">
        <v>1615</v>
      </c>
      <c r="E112" s="1139">
        <v>0.2</v>
      </c>
      <c r="F112" s="1154">
        <v>30</v>
      </c>
    </row>
    <row r="113" spans="1:14" s="1105" customFormat="1" ht="36">
      <c r="A113" s="1154">
        <v>53</v>
      </c>
      <c r="B113" s="351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19" t="s">
        <v>1624</v>
      </c>
      <c r="C116" s="1154" t="s">
        <v>1625</v>
      </c>
      <c r="D116" s="1068" t="s">
        <v>1626</v>
      </c>
      <c r="E116" s="1139">
        <v>0.2</v>
      </c>
      <c r="F116" s="1154">
        <v>30</v>
      </c>
    </row>
    <row r="117" spans="1:14" ht="36">
      <c r="A117" s="1154">
        <v>57</v>
      </c>
      <c r="B117" s="351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18" t="s">
        <v>1633</v>
      </c>
      <c r="B121" s="3518"/>
      <c r="C121" s="3518"/>
      <c r="D121" s="3518"/>
      <c r="E121" s="3518"/>
      <c r="F121" s="3518"/>
      <c r="G121" s="3518"/>
      <c r="H121" s="3518"/>
      <c r="I121" s="3518"/>
      <c r="J121" s="35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3" t="s">
        <v>1039</v>
      </c>
      <c r="B1" s="3523"/>
      <c r="C1" s="3523"/>
      <c r="D1" s="3523"/>
      <c r="E1" s="3523"/>
      <c r="F1" s="35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4" t="s">
        <v>1052</v>
      </c>
      <c r="B2" s="3524"/>
      <c r="C2" s="3524"/>
      <c r="D2" s="3524"/>
      <c r="E2" s="3524"/>
      <c r="F2" s="35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7" t="s">
        <v>2080</v>
      </c>
      <c r="B1" s="3527"/>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9" t="s">
        <v>2461</v>
      </c>
      <c r="C8" s="1825" t="e">
        <f ca="1">ROUND(F8*F10*F9*(1-F11)/10000,0)</f>
        <v>#N/A</v>
      </c>
      <c r="D8" s="1822" t="s">
        <v>2532</v>
      </c>
      <c r="E8" s="61" t="s">
        <v>636</v>
      </c>
      <c r="F8" s="785" t="e">
        <f ca="1">INDIRECT("'数据-取费表'!u"&amp;$G$1)</f>
        <v>#N/A</v>
      </c>
      <c r="G8" s="1591"/>
      <c r="H8" s="2504" t="s">
        <v>1823</v>
      </c>
      <c r="I8" s="3529" t="s">
        <v>2461</v>
      </c>
      <c r="J8" s="783" t="e">
        <f ca="1">ROUND(M8*M10*M9*(1-M11)/10000,0)</f>
        <v>#N/A</v>
      </c>
      <c r="K8" s="341" t="s">
        <v>2532</v>
      </c>
      <c r="L8" s="784" t="s">
        <v>1737</v>
      </c>
      <c r="M8" s="785" t="e">
        <f ca="1">INDIRECT("'数据-取费表'!z"&amp;$G$1)</f>
        <v>#N/A</v>
      </c>
    </row>
    <row r="9" spans="1:25" ht="18" customHeight="1">
      <c r="A9" s="2500"/>
      <c r="B9" s="3530"/>
      <c r="C9" s="1826"/>
      <c r="D9" s="1823"/>
      <c r="E9" s="61" t="s">
        <v>637</v>
      </c>
      <c r="F9" s="785" t="e">
        <f ca="1">IF(INDIRECT("'数据-取费表'!ah"&amp;$G$1)="",INDIRECT("'数据-取费表'!k"&amp;$G$1),INDIRECT("'数据-取费表'!ah"&amp;$G$1))</f>
        <v>#N/A</v>
      </c>
      <c r="G9" s="1591"/>
      <c r="H9" s="2489"/>
      <c r="I9" s="3530"/>
      <c r="J9" s="788"/>
      <c r="K9" s="789"/>
      <c r="L9" s="784" t="s">
        <v>1738</v>
      </c>
      <c r="M9" s="785" t="e">
        <f ca="1">F9</f>
        <v>#N/A</v>
      </c>
    </row>
    <row r="10" spans="1:25" ht="18" customHeight="1">
      <c r="A10" s="2493"/>
      <c r="B10" s="3531"/>
      <c r="C10" s="1826"/>
      <c r="D10" s="1823"/>
      <c r="E10" s="61" t="s">
        <v>638</v>
      </c>
      <c r="F10" s="785" t="e">
        <f ca="1">INDIRECT("'数据-取费表'!ai"&amp;$G$1)</f>
        <v>#N/A</v>
      </c>
      <c r="G10" s="1591"/>
      <c r="H10" s="2489"/>
      <c r="I10" s="3531"/>
      <c r="J10" s="788"/>
      <c r="K10" s="789"/>
      <c r="L10" s="784" t="s">
        <v>1739</v>
      </c>
      <c r="M10" s="785" t="e">
        <f ca="1">INDIRECT("'数据-取费表'!ai"&amp;$G$1)</f>
        <v>#N/A</v>
      </c>
    </row>
    <row r="11" spans="1:25" ht="18" customHeight="1">
      <c r="A11" s="786"/>
      <c r="B11" s="3532"/>
      <c r="C11" s="1826"/>
      <c r="D11" s="1823"/>
      <c r="E11" s="61" t="s">
        <v>639</v>
      </c>
      <c r="F11" s="794" t="e">
        <f ca="1">INDIRECT("'数据-取费表'!w"&amp;$G$1)</f>
        <v>#N/A</v>
      </c>
      <c r="G11" s="1591"/>
      <c r="H11" s="2505"/>
      <c r="I11" s="3531"/>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8"/>
      <c r="J36" s="2079"/>
      <c r="K36" s="2080"/>
      <c r="L36" s="2079"/>
      <c r="M36" s="2079"/>
    </row>
    <row r="37" spans="1:18" ht="18" customHeight="1">
      <c r="A37" s="815"/>
      <c r="B37" s="793"/>
      <c r="C37" s="69"/>
      <c r="D37" s="816"/>
      <c r="E37" s="784" t="s">
        <v>673</v>
      </c>
      <c r="F37" s="785" t="e">
        <f ca="1">INDIRECT("'数据-取费表'!r"&amp;$G$1)</f>
        <v>#N/A</v>
      </c>
      <c r="G37" s="2062"/>
      <c r="H37" s="2065"/>
      <c r="I37" s="3528"/>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3"/>
      <c r="L54" s="3534"/>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41" t="s">
        <v>2574</v>
      </c>
      <c r="C1" s="3541"/>
      <c r="D1" s="3541"/>
      <c r="E1" s="3541"/>
      <c r="F1" s="3541"/>
      <c r="G1" s="3540" t="s">
        <v>2575</v>
      </c>
      <c r="H1" s="3540"/>
      <c r="I1" s="3540"/>
      <c r="J1" s="3540"/>
      <c r="K1" s="3540"/>
      <c r="L1" s="3540"/>
      <c r="N1" s="3540" t="s">
        <v>2576</v>
      </c>
      <c r="O1" s="3540"/>
      <c r="P1" s="3540"/>
      <c r="Q1" s="3540"/>
      <c r="R1" s="2654"/>
      <c r="S1" s="3540" t="s">
        <v>2577</v>
      </c>
      <c r="T1" s="3540"/>
      <c r="U1" s="3540"/>
      <c r="V1" s="3540"/>
      <c r="X1" s="3539" t="s">
        <v>2637</v>
      </c>
      <c r="Y1" s="3540"/>
      <c r="Z1" s="3540"/>
      <c r="AA1" s="3540"/>
      <c r="AB1" s="3540"/>
      <c r="AD1" s="3539" t="s">
        <v>2641</v>
      </c>
      <c r="AE1" s="3540"/>
      <c r="AF1" s="3540"/>
      <c r="AG1" s="3540"/>
      <c r="AH1" s="3540"/>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38">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3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3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3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4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3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3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3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3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3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3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3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3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3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6">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37">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6">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37">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3" zoomScale="70" zoomScaleNormal="70" workbookViewId="0">
      <selection activeCell="L19" sqref="L19"/>
    </sheetView>
  </sheetViews>
  <sheetFormatPr defaultColWidth="9" defaultRowHeight="13.8"/>
  <cols>
    <col min="1" max="1" width="10.44140625" style="1337" customWidth="1"/>
    <col min="2" max="2" width="15.77734375" style="1337" customWidth="1"/>
    <col min="3" max="3" width="18.4414062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89325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10942</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3209"/>
      <c r="Y4" s="3463" t="s">
        <v>526</v>
      </c>
      <c r="Z4" s="3464"/>
      <c r="AA4" s="3452" t="s">
        <v>522</v>
      </c>
      <c r="AB4" s="3452" t="s">
        <v>523</v>
      </c>
      <c r="AC4" s="3452" t="s">
        <v>524</v>
      </c>
    </row>
    <row r="5" spans="1:29">
      <c r="A5" s="515"/>
      <c r="B5" s="516"/>
      <c r="C5" s="3473" t="str">
        <f>'比较法-住宅、综合'!C7:D7</f>
        <v>恒大云湖上郡</v>
      </c>
      <c r="D5" s="3472"/>
      <c r="E5" s="3548" t="s">
        <v>3414</v>
      </c>
      <c r="F5" s="3499"/>
      <c r="G5" s="3473" t="s">
        <v>3415</v>
      </c>
      <c r="H5" s="3472"/>
      <c r="I5" s="3473" t="s">
        <v>3416</v>
      </c>
      <c r="J5" s="3472"/>
      <c r="K5" s="854"/>
      <c r="L5" s="2133"/>
      <c r="M5" s="2134"/>
      <c r="N5" s="2134"/>
      <c r="O5" s="2134"/>
      <c r="P5" s="3459"/>
      <c r="Q5" s="3460"/>
      <c r="R5" s="3465"/>
      <c r="S5" s="3466"/>
      <c r="T5" s="3465"/>
      <c r="U5" s="3466"/>
      <c r="V5" s="3450"/>
      <c r="W5" s="3450"/>
      <c r="X5" s="3209"/>
      <c r="Y5" s="3465"/>
      <c r="Z5" s="3466"/>
      <c r="AA5" s="3453"/>
      <c r="AB5" s="3453"/>
      <c r="AC5" s="3453"/>
    </row>
    <row r="6" spans="1:29" ht="15" customHeight="1" thickBot="1">
      <c r="A6" s="517"/>
      <c r="B6" s="518"/>
      <c r="C6" s="3549" t="s">
        <v>3156</v>
      </c>
      <c r="D6" s="3470"/>
      <c r="E6" s="3549" t="s">
        <v>3156</v>
      </c>
      <c r="F6" s="3470"/>
      <c r="G6" s="3549" t="s">
        <v>3156</v>
      </c>
      <c r="H6" s="3470"/>
      <c r="I6" s="3549" t="s">
        <v>3156</v>
      </c>
      <c r="J6" s="3470"/>
      <c r="K6" s="854" t="s">
        <v>527</v>
      </c>
      <c r="L6" s="2133"/>
      <c r="M6" s="2134"/>
      <c r="N6" s="2134"/>
      <c r="O6" s="2134"/>
      <c r="P6" s="3461"/>
      <c r="Q6" s="3462"/>
      <c r="R6" s="3465"/>
      <c r="S6" s="3466"/>
      <c r="T6" s="3467"/>
      <c r="U6" s="3468"/>
      <c r="V6" s="3450"/>
      <c r="W6" s="3450"/>
      <c r="X6" s="3209"/>
      <c r="Y6" s="3467"/>
      <c r="Z6" s="3468"/>
      <c r="AA6" s="3454"/>
      <c r="AB6" s="3454"/>
      <c r="AC6" s="3454"/>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82" t="s">
        <v>529</v>
      </c>
      <c r="Q7" s="3484"/>
      <c r="R7" s="1567" t="s">
        <v>8</v>
      </c>
      <c r="S7" s="1568">
        <f t="shared" ref="S7:S15" si="0">F7</f>
        <v>100</v>
      </c>
      <c r="T7" s="1567" t="s">
        <v>8</v>
      </c>
      <c r="U7" s="1568">
        <f t="shared" ref="U7:U15" si="1">H7</f>
        <v>100</v>
      </c>
      <c r="V7" s="1567" t="s">
        <v>8</v>
      </c>
      <c r="W7" s="1568">
        <f t="shared" ref="W7:W15" si="2">J7</f>
        <v>100</v>
      </c>
      <c r="X7" s="1569"/>
      <c r="Y7" s="3482" t="s">
        <v>529</v>
      </c>
      <c r="Z7" s="3483"/>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8</v>
      </c>
      <c r="S8" s="1568">
        <f t="shared" si="0"/>
        <v>100</v>
      </c>
      <c r="T8" s="1567" t="s">
        <v>8</v>
      </c>
      <c r="U8" s="1568">
        <f t="shared" si="1"/>
        <v>100</v>
      </c>
      <c r="V8" s="1567" t="s">
        <v>8</v>
      </c>
      <c r="W8" s="1568">
        <f t="shared" si="2"/>
        <v>100</v>
      </c>
      <c r="X8" s="1569"/>
      <c r="Y8" s="3482" t="s">
        <v>532</v>
      </c>
      <c r="Z8" s="348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3205" t="str">
        <f t="shared" ref="Q9:Q15" si="6">B9</f>
        <v>用途</v>
      </c>
      <c r="R9" s="1567" t="s">
        <v>8</v>
      </c>
      <c r="S9" s="1568">
        <f t="shared" si="0"/>
        <v>100</v>
      </c>
      <c r="T9" s="1567" t="s">
        <v>8</v>
      </c>
      <c r="U9" s="1568">
        <f t="shared" si="1"/>
        <v>100</v>
      </c>
      <c r="V9" s="1567" t="s">
        <v>8</v>
      </c>
      <c r="W9" s="1568">
        <f t="shared" si="2"/>
        <v>100</v>
      </c>
      <c r="X9" s="1569"/>
      <c r="Y9" s="3395"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3205" t="str">
        <f t="shared" si="6"/>
        <v>土地使用年限（年）</v>
      </c>
      <c r="R10" s="1567" t="s">
        <v>8</v>
      </c>
      <c r="S10" s="1568">
        <f t="shared" si="0"/>
        <v>100</v>
      </c>
      <c r="T10" s="1567" t="s">
        <v>8</v>
      </c>
      <c r="U10" s="1568">
        <f t="shared" si="1"/>
        <v>100</v>
      </c>
      <c r="V10" s="1567" t="s">
        <v>8</v>
      </c>
      <c r="W10" s="1568">
        <f t="shared" si="2"/>
        <v>100</v>
      </c>
      <c r="X10" s="1569"/>
      <c r="Y10" s="3395"/>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49"/>
      <c r="Q11" s="3205" t="str">
        <f t="shared" si="6"/>
        <v>容积率</v>
      </c>
      <c r="R11" s="1567" t="s">
        <v>8</v>
      </c>
      <c r="S11" s="1568">
        <f t="shared" si="0"/>
        <v>100</v>
      </c>
      <c r="T11" s="1567" t="s">
        <v>8</v>
      </c>
      <c r="U11" s="1568">
        <f t="shared" si="1"/>
        <v>99</v>
      </c>
      <c r="V11" s="1567" t="s">
        <v>8</v>
      </c>
      <c r="W11" s="1568">
        <f t="shared" si="2"/>
        <v>100</v>
      </c>
      <c r="X11" s="1569"/>
      <c r="Y11" s="3395"/>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3205">
        <f t="shared" si="6"/>
        <v>111</v>
      </c>
      <c r="R12" s="1567" t="s">
        <v>8</v>
      </c>
      <c r="S12" s="1568">
        <f t="shared" si="0"/>
        <v>100</v>
      </c>
      <c r="T12" s="1567" t="s">
        <v>8</v>
      </c>
      <c r="U12" s="1568">
        <f t="shared" si="1"/>
        <v>100</v>
      </c>
      <c r="V12" s="1567" t="s">
        <v>8</v>
      </c>
      <c r="W12" s="1568">
        <f t="shared" si="2"/>
        <v>100</v>
      </c>
      <c r="X12" s="1569"/>
      <c r="Y12" s="3395"/>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3205">
        <f t="shared" si="6"/>
        <v>111</v>
      </c>
      <c r="R13" s="1567" t="s">
        <v>8</v>
      </c>
      <c r="S13" s="1568">
        <f t="shared" si="0"/>
        <v>100</v>
      </c>
      <c r="T13" s="1567" t="s">
        <v>8</v>
      </c>
      <c r="U13" s="1568">
        <f t="shared" si="1"/>
        <v>100</v>
      </c>
      <c r="V13" s="1567" t="s">
        <v>8</v>
      </c>
      <c r="W13" s="1568">
        <f t="shared" si="2"/>
        <v>100</v>
      </c>
      <c r="X13" s="1569"/>
      <c r="Y13" s="3395"/>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3205">
        <f t="shared" si="6"/>
        <v>111</v>
      </c>
      <c r="R14" s="1567" t="s">
        <v>8</v>
      </c>
      <c r="S14" s="1568">
        <f t="shared" si="0"/>
        <v>100</v>
      </c>
      <c r="T14" s="1567" t="s">
        <v>8</v>
      </c>
      <c r="U14" s="1568">
        <f t="shared" si="1"/>
        <v>100</v>
      </c>
      <c r="V14" s="1567" t="s">
        <v>8</v>
      </c>
      <c r="W14" s="1568">
        <f t="shared" si="2"/>
        <v>100</v>
      </c>
      <c r="X14" s="1569"/>
      <c r="Y14" s="3395"/>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85" t="s">
        <v>539</v>
      </c>
      <c r="Q15" s="3207" t="str">
        <f t="shared" si="6"/>
        <v>居住社区成熟度</v>
      </c>
      <c r="R15" s="1572" t="s">
        <v>8</v>
      </c>
      <c r="S15" s="1573">
        <f t="shared" si="0"/>
        <v>100</v>
      </c>
      <c r="T15" s="1572" t="s">
        <v>8</v>
      </c>
      <c r="U15" s="1573">
        <f t="shared" si="1"/>
        <v>100</v>
      </c>
      <c r="V15" s="1572" t="s">
        <v>8</v>
      </c>
      <c r="W15" s="1573">
        <f t="shared" si="2"/>
        <v>100</v>
      </c>
      <c r="X15" s="3209"/>
      <c r="Y15" s="3485"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3207"/>
      <c r="R16" s="1572"/>
      <c r="S16" s="1573"/>
      <c r="T16" s="1572"/>
      <c r="U16" s="1573"/>
      <c r="V16" s="1572"/>
      <c r="W16" s="1573"/>
      <c r="X16" s="3209"/>
      <c r="Y16" s="3486"/>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86"/>
      <c r="Q17" s="3207" t="str">
        <f>B17</f>
        <v>交通便捷度</v>
      </c>
      <c r="R17" s="1572" t="s">
        <v>8</v>
      </c>
      <c r="S17" s="1573">
        <f>F17</f>
        <v>102</v>
      </c>
      <c r="T17" s="1572" t="s">
        <v>8</v>
      </c>
      <c r="U17" s="1573">
        <f>H17</f>
        <v>102</v>
      </c>
      <c r="V17" s="1572" t="s">
        <v>8</v>
      </c>
      <c r="W17" s="1573">
        <f>J17</f>
        <v>102</v>
      </c>
      <c r="X17" s="3209"/>
      <c r="Y17" s="3486"/>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86"/>
      <c r="Q18" s="3207"/>
      <c r="R18" s="1572"/>
      <c r="S18" s="1573"/>
      <c r="T18" s="1572"/>
      <c r="U18" s="1573"/>
      <c r="V18" s="1572"/>
      <c r="W18" s="1573"/>
      <c r="X18" s="3209"/>
      <c r="Y18" s="3486"/>
      <c r="Z18" s="3208"/>
      <c r="AA18" s="3210">
        <v>1</v>
      </c>
      <c r="AB18" s="3210">
        <v>1</v>
      </c>
      <c r="AC18" s="3210">
        <v>1</v>
      </c>
    </row>
    <row r="19" spans="1:29" ht="86.4">
      <c r="A19" s="532"/>
      <c r="B19" s="2600" t="s">
        <v>2544</v>
      </c>
      <c r="C19" s="872" t="str">
        <f>估价对象房地状况!C7</f>
        <v>估价对象所在区域公共配套设施齐备情况一般</v>
      </c>
      <c r="D19" s="565">
        <v>100</v>
      </c>
      <c r="E19" s="3234" t="s">
        <v>3425</v>
      </c>
      <c r="F19" s="571">
        <f>SUMIF(80:80,E20,81:81)-SUMIF(80:80,C20,81:81)+100</f>
        <v>101.5</v>
      </c>
      <c r="G19" s="3234" t="s">
        <v>3424</v>
      </c>
      <c r="H19" s="559">
        <f>SUMIF(80:80,G20,81:81)-SUMIF(80:80,C20,81:81)+100</f>
        <v>101.5</v>
      </c>
      <c r="I19" s="3234" t="s">
        <v>3426</v>
      </c>
      <c r="J19" s="559">
        <f>SUMIF(80:80,I20,81:81)-SUMIF(80:80,C20,81:81)+100</f>
        <v>97</v>
      </c>
      <c r="K19" s="868">
        <v>1.5</v>
      </c>
      <c r="L19" s="2142"/>
      <c r="M19" s="2134"/>
      <c r="N19" s="2134"/>
      <c r="O19" s="2141"/>
      <c r="P19" s="3486"/>
      <c r="Q19" s="3207" t="str">
        <f>B19</f>
        <v>公共配套设施</v>
      </c>
      <c r="R19" s="1572" t="s">
        <v>8</v>
      </c>
      <c r="S19" s="1573">
        <f>F19</f>
        <v>101.5</v>
      </c>
      <c r="T19" s="1572" t="s">
        <v>8</v>
      </c>
      <c r="U19" s="1573">
        <f>H19</f>
        <v>101.5</v>
      </c>
      <c r="V19" s="1572" t="s">
        <v>8</v>
      </c>
      <c r="W19" s="1573">
        <f>J19</f>
        <v>97</v>
      </c>
      <c r="X19" s="3209"/>
      <c r="Y19" s="3486"/>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3436</v>
      </c>
      <c r="J20" s="555"/>
      <c r="K20" s="870"/>
      <c r="L20" s="2142"/>
      <c r="M20" s="2134"/>
      <c r="N20" s="2134"/>
      <c r="O20" s="2141"/>
      <c r="P20" s="3486"/>
      <c r="Q20" s="3207"/>
      <c r="R20" s="1572"/>
      <c r="S20" s="1573"/>
      <c r="T20" s="1572"/>
      <c r="U20" s="1573"/>
      <c r="V20" s="1572"/>
      <c r="W20" s="1573"/>
      <c r="X20" s="3209"/>
      <c r="Y20" s="3486"/>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86"/>
      <c r="Q21" s="3207" t="str">
        <f>B21</f>
        <v>基础设施水平</v>
      </c>
      <c r="R21" s="1572" t="s">
        <v>8</v>
      </c>
      <c r="S21" s="1573">
        <f>F21</f>
        <v>100</v>
      </c>
      <c r="T21" s="1572" t="s">
        <v>8</v>
      </c>
      <c r="U21" s="1573">
        <f>H21</f>
        <v>100</v>
      </c>
      <c r="V21" s="1572" t="s">
        <v>8</v>
      </c>
      <c r="W21" s="1573">
        <f>J21</f>
        <v>100</v>
      </c>
      <c r="X21" s="3209"/>
      <c r="Y21" s="3486"/>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3207"/>
      <c r="R22" s="1572"/>
      <c r="S22" s="1573"/>
      <c r="T22" s="1572"/>
      <c r="U22" s="1573"/>
      <c r="V22" s="1572"/>
      <c r="W22" s="1573"/>
      <c r="X22" s="3209"/>
      <c r="Y22" s="3486"/>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86"/>
      <c r="Q23" s="3207" t="str">
        <f>B23</f>
        <v>自然及人文环境</v>
      </c>
      <c r="R23" s="1572" t="s">
        <v>8</v>
      </c>
      <c r="S23" s="1573">
        <f>F23</f>
        <v>102</v>
      </c>
      <c r="T23" s="1572" t="s">
        <v>8</v>
      </c>
      <c r="U23" s="1573">
        <f>H23</f>
        <v>102</v>
      </c>
      <c r="V23" s="1572" t="s">
        <v>8</v>
      </c>
      <c r="W23" s="1573">
        <f>J23</f>
        <v>102</v>
      </c>
      <c r="X23" s="3209"/>
      <c r="Y23" s="3486"/>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86"/>
      <c r="Q24" s="3207"/>
      <c r="R24" s="1572"/>
      <c r="S24" s="1573"/>
      <c r="T24" s="1572"/>
      <c r="U24" s="1573"/>
      <c r="V24" s="1572"/>
      <c r="W24" s="1573"/>
      <c r="X24" s="3209"/>
      <c r="Y24" s="3486"/>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3207" t="str">
        <f t="shared" ref="Q25:Q46" si="11">B25</f>
        <v>楼层-1</v>
      </c>
      <c r="R25" s="1572" t="s">
        <v>8</v>
      </c>
      <c r="S25" s="1573">
        <f>F25</f>
        <v>100</v>
      </c>
      <c r="T25" s="1572" t="s">
        <v>8</v>
      </c>
      <c r="U25" s="1573">
        <f>H25</f>
        <v>100</v>
      </c>
      <c r="V25" s="1572" t="s">
        <v>8</v>
      </c>
      <c r="W25" s="1573">
        <f>J25</f>
        <v>100</v>
      </c>
      <c r="X25" s="3209"/>
      <c r="Y25" s="3486"/>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3207" t="str">
        <f t="shared" si="11"/>
        <v>朝向</v>
      </c>
      <c r="R26" s="1572" t="s">
        <v>8</v>
      </c>
      <c r="S26" s="1573">
        <f>F26</f>
        <v>100</v>
      </c>
      <c r="T26" s="1572" t="s">
        <v>8</v>
      </c>
      <c r="U26" s="1573">
        <f>H26</f>
        <v>100</v>
      </c>
      <c r="V26" s="1572" t="s">
        <v>8</v>
      </c>
      <c r="W26" s="1573">
        <f>J26</f>
        <v>100</v>
      </c>
      <c r="X26" s="3209"/>
      <c r="Y26" s="3486"/>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3205" t="str">
        <f t="shared" si="11"/>
        <v>道路级别</v>
      </c>
      <c r="R27" s="1567" t="s">
        <v>8</v>
      </c>
      <c r="S27" s="1568">
        <f>F27</f>
        <v>100</v>
      </c>
      <c r="T27" s="1567" t="s">
        <v>8</v>
      </c>
      <c r="U27" s="1568">
        <f>H27</f>
        <v>100</v>
      </c>
      <c r="V27" s="1567" t="s">
        <v>8</v>
      </c>
      <c r="W27" s="1568">
        <f>J27</f>
        <v>100</v>
      </c>
      <c r="X27" s="1569"/>
      <c r="Y27" s="3486"/>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3207">
        <f t="shared" si="11"/>
        <v>111</v>
      </c>
      <c r="R28" s="1572" t="s">
        <v>8</v>
      </c>
      <c r="S28" s="1573">
        <f t="shared" ref="S28:S46" si="12">F28</f>
        <v>100</v>
      </c>
      <c r="T28" s="1572" t="s">
        <v>8</v>
      </c>
      <c r="U28" s="1573">
        <f t="shared" ref="U28:U46" si="13">H28</f>
        <v>100</v>
      </c>
      <c r="V28" s="1572" t="s">
        <v>8</v>
      </c>
      <c r="W28" s="1573">
        <f t="shared" ref="W28:W46" si="14">J28</f>
        <v>100</v>
      </c>
      <c r="X28" s="3209"/>
      <c r="Y28" s="3486"/>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3207">
        <f t="shared" si="11"/>
        <v>111</v>
      </c>
      <c r="R29" s="1572" t="s">
        <v>8</v>
      </c>
      <c r="S29" s="1573">
        <f t="shared" si="12"/>
        <v>100</v>
      </c>
      <c r="T29" s="1572" t="s">
        <v>8</v>
      </c>
      <c r="U29" s="1573">
        <f t="shared" si="13"/>
        <v>100</v>
      </c>
      <c r="V29" s="1572" t="s">
        <v>8</v>
      </c>
      <c r="W29" s="1573">
        <f t="shared" si="14"/>
        <v>100</v>
      </c>
      <c r="X29" s="3209"/>
      <c r="Y29" s="3486"/>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3207">
        <f t="shared" si="11"/>
        <v>111</v>
      </c>
      <c r="R30" s="1572" t="s">
        <v>8</v>
      </c>
      <c r="S30" s="1573">
        <f t="shared" si="12"/>
        <v>100</v>
      </c>
      <c r="T30" s="1572" t="s">
        <v>8</v>
      </c>
      <c r="U30" s="1573">
        <f t="shared" si="13"/>
        <v>100</v>
      </c>
      <c r="V30" s="1572" t="s">
        <v>8</v>
      </c>
      <c r="W30" s="1573">
        <f t="shared" si="14"/>
        <v>100</v>
      </c>
      <c r="X30" s="3209"/>
      <c r="Y30" s="3486"/>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3207">
        <f t="shared" si="11"/>
        <v>111</v>
      </c>
      <c r="R31" s="1572" t="s">
        <v>8</v>
      </c>
      <c r="S31" s="1573">
        <f t="shared" si="12"/>
        <v>100</v>
      </c>
      <c r="T31" s="1572" t="s">
        <v>8</v>
      </c>
      <c r="U31" s="1573">
        <f t="shared" si="13"/>
        <v>100</v>
      </c>
      <c r="V31" s="1572" t="s">
        <v>8</v>
      </c>
      <c r="W31" s="1573">
        <f t="shared" si="14"/>
        <v>100</v>
      </c>
      <c r="X31" s="3209"/>
      <c r="Y31" s="3486"/>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87" t="s">
        <v>549</v>
      </c>
      <c r="Q32" s="3207" t="str">
        <f t="shared" si="11"/>
        <v>建筑类型</v>
      </c>
      <c r="R32" s="1572" t="s">
        <v>8</v>
      </c>
      <c r="S32" s="1573">
        <f t="shared" si="12"/>
        <v>100</v>
      </c>
      <c r="T32" s="1572" t="s">
        <v>8</v>
      </c>
      <c r="U32" s="1573">
        <f t="shared" si="13"/>
        <v>100</v>
      </c>
      <c r="V32" s="1572" t="s">
        <v>8</v>
      </c>
      <c r="W32" s="1573">
        <f t="shared" si="14"/>
        <v>100</v>
      </c>
      <c r="X32" s="3209"/>
      <c r="Y32" s="3488"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88"/>
      <c r="Q33" s="1604" t="str">
        <f t="shared" si="11"/>
        <v>项目建筑规模</v>
      </c>
      <c r="R33" s="1576" t="s">
        <v>8</v>
      </c>
      <c r="S33" s="1577">
        <f t="shared" si="12"/>
        <v>101</v>
      </c>
      <c r="T33" s="1576" t="s">
        <v>8</v>
      </c>
      <c r="U33" s="1577">
        <f t="shared" si="13"/>
        <v>102</v>
      </c>
      <c r="V33" s="1576" t="s">
        <v>8</v>
      </c>
      <c r="W33" s="1577">
        <f t="shared" si="14"/>
        <v>101</v>
      </c>
      <c r="X33" s="1578"/>
      <c r="Y33" s="3488"/>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3207" t="str">
        <f t="shared" si="11"/>
        <v>建筑结构</v>
      </c>
      <c r="R34" s="1572" t="s">
        <v>8</v>
      </c>
      <c r="S34" s="1573">
        <f t="shared" si="12"/>
        <v>100</v>
      </c>
      <c r="T34" s="1572" t="s">
        <v>8</v>
      </c>
      <c r="U34" s="1573">
        <f t="shared" si="13"/>
        <v>100</v>
      </c>
      <c r="V34" s="1572" t="s">
        <v>8</v>
      </c>
      <c r="W34" s="1573">
        <f t="shared" si="14"/>
        <v>100</v>
      </c>
      <c r="X34" s="3209"/>
      <c r="Y34" s="3488"/>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3207" t="str">
        <f t="shared" si="11"/>
        <v>建筑品质</v>
      </c>
      <c r="R35" s="1572" t="s">
        <v>8</v>
      </c>
      <c r="S35" s="1573">
        <f t="shared" si="12"/>
        <v>100</v>
      </c>
      <c r="T35" s="1572" t="s">
        <v>8</v>
      </c>
      <c r="U35" s="1573">
        <f t="shared" si="13"/>
        <v>100</v>
      </c>
      <c r="V35" s="1572" t="s">
        <v>8</v>
      </c>
      <c r="W35" s="1573">
        <f t="shared" si="14"/>
        <v>100</v>
      </c>
      <c r="X35" s="3209"/>
      <c r="Y35" s="3488"/>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3207" t="str">
        <f t="shared" si="11"/>
        <v>公共部分装修</v>
      </c>
      <c r="R36" s="1572" t="s">
        <v>8</v>
      </c>
      <c r="S36" s="1573">
        <f t="shared" si="12"/>
        <v>100</v>
      </c>
      <c r="T36" s="1572" t="s">
        <v>8</v>
      </c>
      <c r="U36" s="1573">
        <f t="shared" si="13"/>
        <v>100</v>
      </c>
      <c r="V36" s="1572" t="s">
        <v>8</v>
      </c>
      <c r="W36" s="1573">
        <f t="shared" si="14"/>
        <v>100</v>
      </c>
      <c r="X36" s="3209"/>
      <c r="Y36" s="3488"/>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3205" t="str">
        <f t="shared" si="11"/>
        <v>成新度</v>
      </c>
      <c r="R37" s="1567" t="s">
        <v>8</v>
      </c>
      <c r="S37" s="1568">
        <f t="shared" si="12"/>
        <v>100</v>
      </c>
      <c r="T37" s="1567" t="s">
        <v>8</v>
      </c>
      <c r="U37" s="1568">
        <f t="shared" si="13"/>
        <v>100</v>
      </c>
      <c r="V37" s="1567" t="s">
        <v>8</v>
      </c>
      <c r="W37" s="1568">
        <f t="shared" si="14"/>
        <v>100</v>
      </c>
      <c r="X37" s="1569"/>
      <c r="Y37" s="3488"/>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3207" t="str">
        <f t="shared" si="11"/>
        <v>物业管理</v>
      </c>
      <c r="R38" s="1572" t="s">
        <v>8</v>
      </c>
      <c r="S38" s="1573">
        <f t="shared" si="12"/>
        <v>100</v>
      </c>
      <c r="T38" s="1572" t="s">
        <v>8</v>
      </c>
      <c r="U38" s="1573">
        <f t="shared" si="13"/>
        <v>100</v>
      </c>
      <c r="V38" s="1572" t="s">
        <v>8</v>
      </c>
      <c r="W38" s="1573">
        <f t="shared" si="14"/>
        <v>100</v>
      </c>
      <c r="X38" s="3209"/>
      <c r="Y38" s="3488"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3207" t="str">
        <f t="shared" si="11"/>
        <v>市政基础设施</v>
      </c>
      <c r="R39" s="1572" t="s">
        <v>8</v>
      </c>
      <c r="S39" s="1573">
        <f t="shared" si="12"/>
        <v>100</v>
      </c>
      <c r="T39" s="1572" t="s">
        <v>8</v>
      </c>
      <c r="U39" s="1573">
        <f t="shared" si="13"/>
        <v>100</v>
      </c>
      <c r="V39" s="1572" t="s">
        <v>8</v>
      </c>
      <c r="W39" s="1573">
        <f t="shared" si="14"/>
        <v>100</v>
      </c>
      <c r="X39" s="3209"/>
      <c r="Y39" s="3488"/>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3207" t="str">
        <f t="shared" si="11"/>
        <v>房型</v>
      </c>
      <c r="R40" s="1572" t="s">
        <v>8</v>
      </c>
      <c r="S40" s="1573">
        <f t="shared" si="12"/>
        <v>100</v>
      </c>
      <c r="T40" s="1572" t="s">
        <v>8</v>
      </c>
      <c r="U40" s="1573">
        <f t="shared" si="13"/>
        <v>100</v>
      </c>
      <c r="V40" s="1572" t="s">
        <v>8</v>
      </c>
      <c r="W40" s="1573">
        <f t="shared" si="14"/>
        <v>100</v>
      </c>
      <c r="X40" s="3209"/>
      <c r="Y40" s="3488"/>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8</v>
      </c>
      <c r="S41" s="1577">
        <f t="shared" si="12"/>
        <v>100</v>
      </c>
      <c r="T41" s="1576" t="s">
        <v>8</v>
      </c>
      <c r="U41" s="1577">
        <f t="shared" si="13"/>
        <v>100</v>
      </c>
      <c r="V41" s="1576" t="s">
        <v>8</v>
      </c>
      <c r="W41" s="1577">
        <f t="shared" si="14"/>
        <v>100</v>
      </c>
      <c r="X41" s="1578"/>
      <c r="Y41" s="3488"/>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88"/>
      <c r="Q42" s="3207" t="str">
        <f t="shared" si="11"/>
        <v>内部装修</v>
      </c>
      <c r="R42" s="1572" t="s">
        <v>8</v>
      </c>
      <c r="S42" s="1573">
        <f t="shared" si="12"/>
        <v>100</v>
      </c>
      <c r="T42" s="1572" t="s">
        <v>8</v>
      </c>
      <c r="U42" s="1573">
        <f t="shared" si="13"/>
        <v>100</v>
      </c>
      <c r="V42" s="1572" t="s">
        <v>8</v>
      </c>
      <c r="W42" s="1573">
        <f t="shared" si="14"/>
        <v>100</v>
      </c>
      <c r="X42" s="3209"/>
      <c r="Y42" s="3488"/>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3207" t="str">
        <f t="shared" si="11"/>
        <v>内部装修维护情况</v>
      </c>
      <c r="R43" s="1572" t="s">
        <v>8</v>
      </c>
      <c r="S43" s="1573">
        <f t="shared" si="12"/>
        <v>100</v>
      </c>
      <c r="T43" s="1572" t="s">
        <v>8</v>
      </c>
      <c r="U43" s="1573">
        <f t="shared" si="13"/>
        <v>100</v>
      </c>
      <c r="V43" s="1572" t="s">
        <v>8</v>
      </c>
      <c r="W43" s="1573">
        <f t="shared" si="14"/>
        <v>100</v>
      </c>
      <c r="X43" s="3209"/>
      <c r="Y43" s="3488"/>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3205" t="str">
        <f t="shared" si="11"/>
        <v>特殊修正</v>
      </c>
      <c r="R44" s="1567" t="s">
        <v>8</v>
      </c>
      <c r="S44" s="1568">
        <f t="shared" si="12"/>
        <v>100</v>
      </c>
      <c r="T44" s="1567" t="s">
        <v>8</v>
      </c>
      <c r="U44" s="1568">
        <f t="shared" si="13"/>
        <v>100</v>
      </c>
      <c r="V44" s="1567" t="s">
        <v>8</v>
      </c>
      <c r="W44" s="1568">
        <f t="shared" si="14"/>
        <v>100</v>
      </c>
      <c r="X44" s="1569"/>
      <c r="Y44" s="3488"/>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3207">
        <f t="shared" si="11"/>
        <v>111</v>
      </c>
      <c r="R45" s="1572" t="s">
        <v>8</v>
      </c>
      <c r="S45" s="1573">
        <f t="shared" si="12"/>
        <v>100</v>
      </c>
      <c r="T45" s="1572" t="s">
        <v>8</v>
      </c>
      <c r="U45" s="1573">
        <f t="shared" si="13"/>
        <v>100</v>
      </c>
      <c r="V45" s="1572" t="s">
        <v>8</v>
      </c>
      <c r="W45" s="1573">
        <f t="shared" si="14"/>
        <v>100</v>
      </c>
      <c r="X45" s="3209"/>
      <c r="Y45" s="3488"/>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3207">
        <f t="shared" si="11"/>
        <v>111</v>
      </c>
      <c r="R46" s="1572" t="s">
        <v>8</v>
      </c>
      <c r="S46" s="1573">
        <f t="shared" si="12"/>
        <v>100</v>
      </c>
      <c r="T46" s="1572" t="s">
        <v>8</v>
      </c>
      <c r="U46" s="1573">
        <f t="shared" si="13"/>
        <v>100</v>
      </c>
      <c r="V46" s="1572" t="s">
        <v>8</v>
      </c>
      <c r="W46" s="1573">
        <f t="shared" si="14"/>
        <v>100</v>
      </c>
      <c r="X46" s="3209"/>
      <c r="Y46" s="3547"/>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49" t="str">
        <f>A47</f>
        <v>成交单价（元/平方米）</v>
      </c>
      <c r="Q47" s="3449"/>
      <c r="R47" s="3545">
        <f>E47</f>
        <v>10527</v>
      </c>
      <c r="S47" s="3545"/>
      <c r="T47" s="3545">
        <f>G47</f>
        <v>12000</v>
      </c>
      <c r="U47" s="3545"/>
      <c r="V47" s="3545">
        <f>I47</f>
        <v>12000</v>
      </c>
      <c r="W47" s="3545"/>
      <c r="X47" s="1558"/>
      <c r="Y47" s="1580"/>
      <c r="Z47" s="1558"/>
      <c r="AA47" s="1558"/>
      <c r="AB47" s="1558"/>
      <c r="AC47" s="1558"/>
    </row>
    <row r="48" spans="1:29" ht="15" thickBot="1">
      <c r="A48" s="615" t="s">
        <v>2690</v>
      </c>
      <c r="B48" s="888"/>
      <c r="C48" s="2633">
        <f>R49</f>
        <v>10942</v>
      </c>
      <c r="D48" s="2634"/>
      <c r="E48" s="2635">
        <f>R48</f>
        <v>9870</v>
      </c>
      <c r="F48" s="2635"/>
      <c r="G48" s="2633">
        <f>T48</f>
        <v>11253</v>
      </c>
      <c r="H48" s="2634"/>
      <c r="I48" s="2635">
        <f>V48</f>
        <v>11773</v>
      </c>
      <c r="J48" s="2634"/>
      <c r="K48" s="1606"/>
      <c r="L48" s="2144"/>
      <c r="M48" s="2145"/>
      <c r="N48" s="2145"/>
      <c r="O48" s="2145"/>
      <c r="P48" s="3449" t="str">
        <f>A48</f>
        <v>比较价格（元/平方米）</v>
      </c>
      <c r="Q48" s="3449"/>
      <c r="R48" s="3545">
        <f>IF(F1="售价",ROUND(PRODUCT(R47,AA7:AA46),0),ROUND(PRODUCT(R47,AA7:AA46),1))</f>
        <v>9870</v>
      </c>
      <c r="S48" s="3545"/>
      <c r="T48" s="3545">
        <f>IF(F1="售价",ROUND(PRODUCT(T47,AB7:AB46),0),ROUND(PRODUCT(T47,AB7:AB46),1))</f>
        <v>11253</v>
      </c>
      <c r="U48" s="3545"/>
      <c r="V48" s="3545">
        <f>IF(F1="售价",ROUND(PRODUCT(V47,AC7:AC46),0),ROUND(PRODUCT(V47,AC7:AC46),1))</f>
        <v>11773</v>
      </c>
      <c r="W48" s="3545"/>
      <c r="X48" s="1558"/>
      <c r="Y48" s="1558"/>
      <c r="Z48" s="1558"/>
      <c r="AA48" s="1558"/>
      <c r="AB48" s="1558"/>
      <c r="AC48" s="1558"/>
    </row>
    <row r="49" spans="1:29" ht="15" thickBot="1">
      <c r="A49" s="621" t="s">
        <v>2930</v>
      </c>
      <c r="B49" s="622"/>
      <c r="C49" s="2636">
        <f>R49</f>
        <v>10942</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ROUND(R48*R50+T48*T50+V48*V50,0)</f>
        <v>10942</v>
      </c>
      <c r="S49" s="3546"/>
      <c r="T49" s="3546"/>
      <c r="U49" s="3546"/>
      <c r="V49" s="3546"/>
      <c r="W49" s="354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55" t="s">
        <v>521</v>
      </c>
      <c r="D4" s="3456"/>
      <c r="E4" s="3496" t="s">
        <v>522</v>
      </c>
      <c r="F4" s="3497"/>
      <c r="G4" s="3455" t="s">
        <v>523</v>
      </c>
      <c r="H4" s="3456"/>
      <c r="I4" s="3455" t="s">
        <v>524</v>
      </c>
      <c r="J4" s="3456"/>
      <c r="K4" s="853"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2" t="s">
        <v>523</v>
      </c>
      <c r="AC4" s="3452" t="s">
        <v>524</v>
      </c>
    </row>
    <row r="5" spans="1:29">
      <c r="A5" s="515"/>
      <c r="B5" s="516"/>
      <c r="C5" s="3473" t="s">
        <v>3085</v>
      </c>
      <c r="D5" s="3472"/>
      <c r="E5" s="3548" t="s">
        <v>3087</v>
      </c>
      <c r="F5" s="3499"/>
      <c r="G5" s="3473" t="s">
        <v>3092</v>
      </c>
      <c r="H5" s="3472"/>
      <c r="I5" s="3473" t="s">
        <v>3091</v>
      </c>
      <c r="J5" s="3472"/>
      <c r="K5" s="85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549" t="s">
        <v>3086</v>
      </c>
      <c r="D6" s="3470"/>
      <c r="E6" s="3550" t="s">
        <v>3088</v>
      </c>
      <c r="F6" s="3495"/>
      <c r="G6" s="3549" t="s">
        <v>3093</v>
      </c>
      <c r="H6" s="3470"/>
      <c r="I6" s="3549" t="str">
        <f>G6</f>
        <v>永川区</v>
      </c>
      <c r="J6" s="3470"/>
      <c r="K6" s="85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82" t="s">
        <v>529</v>
      </c>
      <c r="Q7" s="3484"/>
      <c r="R7" s="1567" t="s">
        <v>13</v>
      </c>
      <c r="S7" s="1568">
        <f t="shared" ref="S7:S15" si="0">F7</f>
        <v>99</v>
      </c>
      <c r="T7" s="1567" t="s">
        <v>13</v>
      </c>
      <c r="U7" s="1568">
        <f t="shared" ref="U7:U15" si="1">H7</f>
        <v>100</v>
      </c>
      <c r="V7" s="1567" t="s">
        <v>13</v>
      </c>
      <c r="W7" s="1568">
        <f t="shared" ref="W7:W15" si="2">J7</f>
        <v>100</v>
      </c>
      <c r="X7" s="1569"/>
      <c r="Y7" s="3482" t="s">
        <v>529</v>
      </c>
      <c r="Z7" s="3483"/>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82" t="s">
        <v>532</v>
      </c>
      <c r="Q8" s="3483"/>
      <c r="R8" s="1567" t="s">
        <v>13</v>
      </c>
      <c r="S8" s="1568">
        <f t="shared" si="0"/>
        <v>100</v>
      </c>
      <c r="T8" s="1567" t="s">
        <v>13</v>
      </c>
      <c r="U8" s="1568">
        <f t="shared" si="1"/>
        <v>100</v>
      </c>
      <c r="V8" s="1567" t="s">
        <v>13</v>
      </c>
      <c r="W8" s="1568">
        <f t="shared" si="2"/>
        <v>100</v>
      </c>
      <c r="X8" s="1569"/>
      <c r="Y8" s="3482" t="s">
        <v>532</v>
      </c>
      <c r="Z8" s="3483"/>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49"/>
      <c r="Q11" s="1151" t="str">
        <f t="shared" si="6"/>
        <v>容积率</v>
      </c>
      <c r="R11" s="1567" t="s">
        <v>11</v>
      </c>
      <c r="S11" s="1568">
        <f t="shared" si="0"/>
        <v>99.5</v>
      </c>
      <c r="T11" s="1567" t="s">
        <v>11</v>
      </c>
      <c r="U11" s="1568">
        <f t="shared" si="1"/>
        <v>99</v>
      </c>
      <c r="V11" s="1567" t="s">
        <v>11</v>
      </c>
      <c r="W11" s="1568">
        <f t="shared" si="2"/>
        <v>99.5</v>
      </c>
      <c r="X11" s="1569"/>
      <c r="Y11" s="3395"/>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49"/>
      <c r="Q12" s="1151">
        <f t="shared" si="6"/>
        <v>111</v>
      </c>
      <c r="R12" s="1567" t="s">
        <v>11</v>
      </c>
      <c r="S12" s="1568">
        <f t="shared" si="0"/>
        <v>100</v>
      </c>
      <c r="T12" s="1567" t="s">
        <v>11</v>
      </c>
      <c r="U12" s="1568">
        <f t="shared" si="1"/>
        <v>100</v>
      </c>
      <c r="V12" s="1567" t="s">
        <v>11</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49"/>
      <c r="Q13" s="1151">
        <f t="shared" si="6"/>
        <v>111</v>
      </c>
      <c r="R13" s="1567" t="s">
        <v>11</v>
      </c>
      <c r="S13" s="1568">
        <f t="shared" si="0"/>
        <v>100</v>
      </c>
      <c r="T13" s="1567" t="s">
        <v>11</v>
      </c>
      <c r="U13" s="1568">
        <f t="shared" si="1"/>
        <v>100</v>
      </c>
      <c r="V13" s="1567" t="s">
        <v>11</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49"/>
      <c r="Q14" s="1151">
        <f t="shared" si="6"/>
        <v>111</v>
      </c>
      <c r="R14" s="1567" t="s">
        <v>11</v>
      </c>
      <c r="S14" s="1568">
        <f t="shared" si="0"/>
        <v>100</v>
      </c>
      <c r="T14" s="1567" t="s">
        <v>11</v>
      </c>
      <c r="U14" s="1568">
        <f t="shared" si="1"/>
        <v>100</v>
      </c>
      <c r="V14" s="1567" t="s">
        <v>11</v>
      </c>
      <c r="W14" s="1568">
        <f t="shared" si="2"/>
        <v>100</v>
      </c>
      <c r="X14" s="1569"/>
      <c r="Y14" s="3395"/>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85" t="s">
        <v>539</v>
      </c>
      <c r="Q15" s="1571" t="str">
        <f t="shared" si="6"/>
        <v>居住社区成熟度</v>
      </c>
      <c r="R15" s="1572" t="s">
        <v>11</v>
      </c>
      <c r="S15" s="1573">
        <f t="shared" si="0"/>
        <v>100</v>
      </c>
      <c r="T15" s="1572" t="s">
        <v>11</v>
      </c>
      <c r="U15" s="1573">
        <f t="shared" si="1"/>
        <v>100</v>
      </c>
      <c r="V15" s="1572" t="s">
        <v>11</v>
      </c>
      <c r="W15" s="1573">
        <f t="shared" si="2"/>
        <v>100</v>
      </c>
      <c r="X15" s="1566"/>
      <c r="Y15" s="3485"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86"/>
      <c r="Q17" s="1571" t="str">
        <f>B17</f>
        <v>交通便捷度</v>
      </c>
      <c r="R17" s="1572" t="s">
        <v>11</v>
      </c>
      <c r="S17" s="1573">
        <f>F17</f>
        <v>100</v>
      </c>
      <c r="T17" s="1572" t="s">
        <v>11</v>
      </c>
      <c r="U17" s="1573">
        <f>H17</f>
        <v>100</v>
      </c>
      <c r="V17" s="1572" t="s">
        <v>11</v>
      </c>
      <c r="W17" s="1573">
        <f>J17</f>
        <v>100</v>
      </c>
      <c r="X17" s="1566"/>
      <c r="Y17" s="3486"/>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86"/>
      <c r="Q19" s="1571" t="str">
        <f>B19</f>
        <v>公共配套设施</v>
      </c>
      <c r="R19" s="1572" t="s">
        <v>11</v>
      </c>
      <c r="S19" s="1573">
        <f>F19</f>
        <v>100</v>
      </c>
      <c r="T19" s="1572" t="s">
        <v>11</v>
      </c>
      <c r="U19" s="1573">
        <f>H19</f>
        <v>100</v>
      </c>
      <c r="V19" s="1572" t="s">
        <v>11</v>
      </c>
      <c r="W19" s="1573">
        <f>J19</f>
        <v>100</v>
      </c>
      <c r="X19" s="1566"/>
      <c r="Y19" s="3486"/>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86"/>
      <c r="Q21" s="2579" t="str">
        <f>B21</f>
        <v>基础设施水平</v>
      </c>
      <c r="R21" s="1572" t="s">
        <v>11</v>
      </c>
      <c r="S21" s="1573">
        <f>F21</f>
        <v>100</v>
      </c>
      <c r="T21" s="1572" t="s">
        <v>11</v>
      </c>
      <c r="U21" s="1573">
        <f>H21</f>
        <v>100</v>
      </c>
      <c r="V21" s="1572" t="s">
        <v>11</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86"/>
      <c r="Q22" s="2579"/>
      <c r="R22" s="1572"/>
      <c r="S22" s="1573"/>
      <c r="T22" s="1572"/>
      <c r="U22" s="1573"/>
      <c r="V22" s="1572"/>
      <c r="W22" s="1573"/>
      <c r="X22" s="2581"/>
      <c r="Y22" s="3486"/>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86"/>
      <c r="Q23" s="1571" t="str">
        <f>B23</f>
        <v>自然及人文环境</v>
      </c>
      <c r="R23" s="1572" t="s">
        <v>11</v>
      </c>
      <c r="S23" s="1573">
        <f>F23</f>
        <v>100</v>
      </c>
      <c r="T23" s="1572" t="s">
        <v>11</v>
      </c>
      <c r="U23" s="1573">
        <f>H23</f>
        <v>100</v>
      </c>
      <c r="V23" s="1572" t="s">
        <v>11</v>
      </c>
      <c r="W23" s="1573">
        <f>J23</f>
        <v>100</v>
      </c>
      <c r="X23" s="1566"/>
      <c r="Y23" s="3486"/>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86"/>
      <c r="Q25" s="1571" t="str">
        <f t="shared" ref="Q25:Q46" si="11">B25</f>
        <v>楼层-1</v>
      </c>
      <c r="R25" s="1572" t="s">
        <v>11</v>
      </c>
      <c r="S25" s="1573">
        <f>F25</f>
        <v>100</v>
      </c>
      <c r="T25" s="1572" t="s">
        <v>11</v>
      </c>
      <c r="U25" s="1573">
        <f>H25</f>
        <v>100</v>
      </c>
      <c r="V25" s="1572" t="s">
        <v>11</v>
      </c>
      <c r="W25" s="1573">
        <f>J25</f>
        <v>100</v>
      </c>
      <c r="X25" s="1566"/>
      <c r="Y25" s="3486"/>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86"/>
      <c r="Q26" s="1571" t="str">
        <f t="shared" si="11"/>
        <v>朝向</v>
      </c>
      <c r="R26" s="1572" t="s">
        <v>11</v>
      </c>
      <c r="S26" s="1573">
        <f>F26</f>
        <v>100</v>
      </c>
      <c r="T26" s="1572" t="s">
        <v>11</v>
      </c>
      <c r="U26" s="1573">
        <f>H26</f>
        <v>100</v>
      </c>
      <c r="V26" s="1572" t="s">
        <v>11</v>
      </c>
      <c r="W26" s="1573">
        <f>J26</f>
        <v>100</v>
      </c>
      <c r="X26" s="1566"/>
      <c r="Y26" s="3486"/>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86"/>
      <c r="Q27" s="1151" t="str">
        <f t="shared" si="11"/>
        <v>道路级别</v>
      </c>
      <c r="R27" s="1567" t="s">
        <v>11</v>
      </c>
      <c r="S27" s="1568">
        <f>F27</f>
        <v>100</v>
      </c>
      <c r="T27" s="1567" t="s">
        <v>11</v>
      </c>
      <c r="U27" s="1568">
        <f>H27</f>
        <v>100</v>
      </c>
      <c r="V27" s="1567" t="s">
        <v>11</v>
      </c>
      <c r="W27" s="1568">
        <f>J27</f>
        <v>100</v>
      </c>
      <c r="X27" s="1569"/>
      <c r="Y27" s="3486"/>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8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6"/>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86"/>
      <c r="Q29" s="1571">
        <f t="shared" si="11"/>
        <v>111</v>
      </c>
      <c r="R29" s="1572" t="s">
        <v>11</v>
      </c>
      <c r="S29" s="1573">
        <f t="shared" si="12"/>
        <v>100</v>
      </c>
      <c r="T29" s="1572" t="s">
        <v>11</v>
      </c>
      <c r="U29" s="1573">
        <f t="shared" si="13"/>
        <v>100</v>
      </c>
      <c r="V29" s="1572" t="s">
        <v>11</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86"/>
      <c r="Q30" s="1571">
        <f t="shared" si="11"/>
        <v>111</v>
      </c>
      <c r="R30" s="1572" t="s">
        <v>11</v>
      </c>
      <c r="S30" s="1573">
        <f t="shared" si="12"/>
        <v>100</v>
      </c>
      <c r="T30" s="1572" t="s">
        <v>11</v>
      </c>
      <c r="U30" s="1573">
        <f t="shared" si="13"/>
        <v>100</v>
      </c>
      <c r="V30" s="1572" t="s">
        <v>11</v>
      </c>
      <c r="W30" s="1573">
        <f t="shared" si="14"/>
        <v>100</v>
      </c>
      <c r="X30" s="1566"/>
      <c r="Y30" s="3486"/>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86"/>
      <c r="Q31" s="1571">
        <f t="shared" si="11"/>
        <v>111</v>
      </c>
      <c r="R31" s="1572" t="s">
        <v>11</v>
      </c>
      <c r="S31" s="1573">
        <f t="shared" si="12"/>
        <v>100</v>
      </c>
      <c r="T31" s="1572" t="s">
        <v>11</v>
      </c>
      <c r="U31" s="1573">
        <f t="shared" si="13"/>
        <v>100</v>
      </c>
      <c r="V31" s="1572" t="s">
        <v>11</v>
      </c>
      <c r="W31" s="1573">
        <f t="shared" si="14"/>
        <v>100</v>
      </c>
      <c r="X31" s="1566"/>
      <c r="Y31" s="3486"/>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87" t="s">
        <v>549</v>
      </c>
      <c r="Q32" s="1571" t="str">
        <f t="shared" si="11"/>
        <v>建筑类型</v>
      </c>
      <c r="R32" s="1572" t="s">
        <v>11</v>
      </c>
      <c r="S32" s="1573">
        <f t="shared" si="12"/>
        <v>100</v>
      </c>
      <c r="T32" s="1572" t="s">
        <v>11</v>
      </c>
      <c r="U32" s="1573">
        <f t="shared" si="13"/>
        <v>100</v>
      </c>
      <c r="V32" s="1572" t="s">
        <v>11</v>
      </c>
      <c r="W32" s="1573">
        <f t="shared" si="14"/>
        <v>100</v>
      </c>
      <c r="X32" s="1566"/>
      <c r="Y32" s="3488"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88"/>
      <c r="Q33" s="1604" t="str">
        <f t="shared" si="11"/>
        <v>项目建筑规模</v>
      </c>
      <c r="R33" s="1576" t="s">
        <v>11</v>
      </c>
      <c r="S33" s="1577">
        <f t="shared" si="12"/>
        <v>100</v>
      </c>
      <c r="T33" s="1576" t="s">
        <v>11</v>
      </c>
      <c r="U33" s="1577">
        <f t="shared" si="13"/>
        <v>104</v>
      </c>
      <c r="V33" s="1576" t="s">
        <v>11</v>
      </c>
      <c r="W33" s="1577">
        <f t="shared" si="14"/>
        <v>104</v>
      </c>
      <c r="X33" s="1578"/>
      <c r="Y33" s="3488"/>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88"/>
      <c r="Q34" s="1571" t="str">
        <f t="shared" si="11"/>
        <v>建筑结构</v>
      </c>
      <c r="R34" s="1572" t="s">
        <v>11</v>
      </c>
      <c r="S34" s="1573">
        <f t="shared" si="12"/>
        <v>100</v>
      </c>
      <c r="T34" s="1572" t="s">
        <v>11</v>
      </c>
      <c r="U34" s="1573">
        <f t="shared" si="13"/>
        <v>100</v>
      </c>
      <c r="V34" s="1572" t="s">
        <v>11</v>
      </c>
      <c r="W34" s="1573">
        <f t="shared" si="14"/>
        <v>100</v>
      </c>
      <c r="X34" s="1566"/>
      <c r="Y34" s="3488"/>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88"/>
      <c r="Q35" s="1571" t="str">
        <f t="shared" si="11"/>
        <v>建筑品质</v>
      </c>
      <c r="R35" s="1572" t="s">
        <v>11</v>
      </c>
      <c r="S35" s="1573">
        <f t="shared" si="12"/>
        <v>100</v>
      </c>
      <c r="T35" s="1572" t="s">
        <v>11</v>
      </c>
      <c r="U35" s="1573">
        <f t="shared" si="13"/>
        <v>100</v>
      </c>
      <c r="V35" s="1572" t="s">
        <v>11</v>
      </c>
      <c r="W35" s="1573">
        <f t="shared" si="14"/>
        <v>100</v>
      </c>
      <c r="X35" s="1566"/>
      <c r="Y35" s="3488"/>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88"/>
      <c r="Q36" s="1571" t="str">
        <f t="shared" si="11"/>
        <v>公共部分装修</v>
      </c>
      <c r="R36" s="1572" t="s">
        <v>11</v>
      </c>
      <c r="S36" s="1573">
        <f t="shared" si="12"/>
        <v>100</v>
      </c>
      <c r="T36" s="1572" t="s">
        <v>11</v>
      </c>
      <c r="U36" s="1573">
        <f t="shared" si="13"/>
        <v>100</v>
      </c>
      <c r="V36" s="1572" t="s">
        <v>11</v>
      </c>
      <c r="W36" s="1573">
        <f t="shared" si="14"/>
        <v>100</v>
      </c>
      <c r="X36" s="1566"/>
      <c r="Y36" s="3488"/>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88"/>
      <c r="Q37" s="1151" t="str">
        <f t="shared" si="11"/>
        <v>成新度</v>
      </c>
      <c r="R37" s="1567" t="s">
        <v>11</v>
      </c>
      <c r="S37" s="1568">
        <f t="shared" si="12"/>
        <v>100</v>
      </c>
      <c r="T37" s="1567" t="s">
        <v>11</v>
      </c>
      <c r="U37" s="1568">
        <f t="shared" si="13"/>
        <v>100</v>
      </c>
      <c r="V37" s="1567" t="s">
        <v>11</v>
      </c>
      <c r="W37" s="1568">
        <f t="shared" si="14"/>
        <v>100</v>
      </c>
      <c r="X37" s="1569"/>
      <c r="Y37" s="3488"/>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88" t="s">
        <v>549</v>
      </c>
      <c r="Q38" s="1571" t="str">
        <f t="shared" si="11"/>
        <v>物业管理</v>
      </c>
      <c r="R38" s="1572" t="s">
        <v>11</v>
      </c>
      <c r="S38" s="1573">
        <f t="shared" si="12"/>
        <v>100</v>
      </c>
      <c r="T38" s="1572" t="s">
        <v>11</v>
      </c>
      <c r="U38" s="1573">
        <f t="shared" si="13"/>
        <v>100</v>
      </c>
      <c r="V38" s="1572" t="s">
        <v>11</v>
      </c>
      <c r="W38" s="1573">
        <f t="shared" si="14"/>
        <v>100</v>
      </c>
      <c r="X38" s="1566"/>
      <c r="Y38" s="3488"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88"/>
      <c r="Q39" s="1571" t="str">
        <f t="shared" si="11"/>
        <v>市政基础设施</v>
      </c>
      <c r="R39" s="1572" t="s">
        <v>11</v>
      </c>
      <c r="S39" s="1573">
        <f t="shared" si="12"/>
        <v>100</v>
      </c>
      <c r="T39" s="1572" t="s">
        <v>11</v>
      </c>
      <c r="U39" s="1573">
        <f t="shared" si="13"/>
        <v>100</v>
      </c>
      <c r="V39" s="1572" t="s">
        <v>11</v>
      </c>
      <c r="W39" s="1573">
        <f t="shared" si="14"/>
        <v>100</v>
      </c>
      <c r="X39" s="1566"/>
      <c r="Y39" s="3488"/>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88"/>
      <c r="Q40" s="1571" t="str">
        <f t="shared" si="11"/>
        <v>房型</v>
      </c>
      <c r="R40" s="1572" t="s">
        <v>11</v>
      </c>
      <c r="S40" s="1573">
        <f t="shared" si="12"/>
        <v>100</v>
      </c>
      <c r="T40" s="1572" t="s">
        <v>11</v>
      </c>
      <c r="U40" s="1573">
        <f t="shared" si="13"/>
        <v>100</v>
      </c>
      <c r="V40" s="1572" t="s">
        <v>11</v>
      </c>
      <c r="W40" s="1573">
        <f t="shared" si="14"/>
        <v>100</v>
      </c>
      <c r="X40" s="1566"/>
      <c r="Y40" s="3488"/>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88"/>
      <c r="Q41" s="1604" t="str">
        <f t="shared" si="11"/>
        <v>单套/主力户型建筑面积</v>
      </c>
      <c r="R41" s="1576" t="s">
        <v>11</v>
      </c>
      <c r="S41" s="1577">
        <f t="shared" si="12"/>
        <v>100</v>
      </c>
      <c r="T41" s="1576" t="s">
        <v>11</v>
      </c>
      <c r="U41" s="1577">
        <f t="shared" si="13"/>
        <v>100</v>
      </c>
      <c r="V41" s="1576" t="s">
        <v>11</v>
      </c>
      <c r="W41" s="1577">
        <f t="shared" si="14"/>
        <v>100</v>
      </c>
      <c r="X41" s="1578"/>
      <c r="Y41" s="3488"/>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88"/>
      <c r="Q42" s="1571" t="str">
        <f t="shared" si="11"/>
        <v>内部装修</v>
      </c>
      <c r="R42" s="1572" t="s">
        <v>11</v>
      </c>
      <c r="S42" s="1573">
        <f t="shared" si="12"/>
        <v>91</v>
      </c>
      <c r="T42" s="1572" t="s">
        <v>11</v>
      </c>
      <c r="U42" s="1573">
        <f t="shared" si="13"/>
        <v>91</v>
      </c>
      <c r="V42" s="1572" t="s">
        <v>11</v>
      </c>
      <c r="W42" s="1573">
        <f t="shared" si="14"/>
        <v>91</v>
      </c>
      <c r="X42" s="1566"/>
      <c r="Y42" s="3488"/>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88"/>
      <c r="Q43" s="1571" t="str">
        <f t="shared" si="11"/>
        <v>内部装修维护情况</v>
      </c>
      <c r="R43" s="1572" t="s">
        <v>11</v>
      </c>
      <c r="S43" s="1573">
        <f t="shared" si="12"/>
        <v>100</v>
      </c>
      <c r="T43" s="1572" t="s">
        <v>11</v>
      </c>
      <c r="U43" s="1573">
        <f t="shared" si="13"/>
        <v>100</v>
      </c>
      <c r="V43" s="1572" t="s">
        <v>11</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88"/>
      <c r="Q44" s="1151" t="str">
        <f t="shared" si="11"/>
        <v>特殊修正</v>
      </c>
      <c r="R44" s="1567" t="s">
        <v>11</v>
      </c>
      <c r="S44" s="1568">
        <f t="shared" si="12"/>
        <v>100</v>
      </c>
      <c r="T44" s="1567" t="s">
        <v>11</v>
      </c>
      <c r="U44" s="1568">
        <f t="shared" si="13"/>
        <v>100</v>
      </c>
      <c r="V44" s="1567" t="s">
        <v>11</v>
      </c>
      <c r="W44" s="1568">
        <f t="shared" si="14"/>
        <v>100</v>
      </c>
      <c r="X44" s="1569"/>
      <c r="Y44" s="3488"/>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88"/>
      <c r="Q45" s="1571">
        <f t="shared" si="11"/>
        <v>111</v>
      </c>
      <c r="R45" s="1572" t="s">
        <v>11</v>
      </c>
      <c r="S45" s="1573">
        <f t="shared" si="12"/>
        <v>100</v>
      </c>
      <c r="T45" s="1572" t="s">
        <v>11</v>
      </c>
      <c r="U45" s="1573">
        <f t="shared" si="13"/>
        <v>100</v>
      </c>
      <c r="V45" s="1572" t="s">
        <v>11</v>
      </c>
      <c r="W45" s="1573">
        <f t="shared" si="14"/>
        <v>100</v>
      </c>
      <c r="X45" s="1566"/>
      <c r="Y45" s="3488"/>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1571">
        <f t="shared" si="11"/>
        <v>111</v>
      </c>
      <c r="R46" s="1572" t="s">
        <v>10</v>
      </c>
      <c r="S46" s="1573">
        <f t="shared" si="12"/>
        <v>100</v>
      </c>
      <c r="T46" s="1572" t="s">
        <v>10</v>
      </c>
      <c r="U46" s="1573">
        <f t="shared" si="13"/>
        <v>100</v>
      </c>
      <c r="V46" s="1572" t="s">
        <v>10</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49" t="str">
        <f>A47</f>
        <v>成交单价（元/平方米）</v>
      </c>
      <c r="Q47" s="3449"/>
      <c r="R47" s="3545">
        <f>E47</f>
        <v>5800</v>
      </c>
      <c r="S47" s="3545"/>
      <c r="T47" s="3545">
        <f>G47</f>
        <v>5980</v>
      </c>
      <c r="U47" s="3545"/>
      <c r="V47" s="3545">
        <f>I47</f>
        <v>5800</v>
      </c>
      <c r="W47" s="3545"/>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49" t="str">
        <f>A48</f>
        <v>比较价格（元/平方米）</v>
      </c>
      <c r="Q48" s="3449"/>
      <c r="R48" s="3545">
        <f>IF(F1="售价",ROUND(PRODUCT(R47,AA7:AA46),0),ROUND(PRODUCT(R47,AA7:AA46),1))</f>
        <v>6470</v>
      </c>
      <c r="S48" s="3545"/>
      <c r="T48" s="3545">
        <f>IF(F1="售价",ROUND(PRODUCT(T47,AB7:AB46),0),ROUND(PRODUCT(T47,AB7:AB46),1))</f>
        <v>6383</v>
      </c>
      <c r="U48" s="3545"/>
      <c r="V48" s="3545">
        <f>IF(F1="售价",ROUND(PRODUCT(V47,AC7:AC46),0),ROUND(PRODUCT(V47,AC7:AC46),1))</f>
        <v>6159</v>
      </c>
      <c r="W48" s="3545"/>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46" t="str">
        <f>A49</f>
        <v>估价对象XX用房的比较价格（楼面单价，元/平方米）</v>
      </c>
      <c r="Q49" s="3447"/>
      <c r="R49" s="3546">
        <f>ROUND(R48*R50+T48*T50+V48*V50,0)</f>
        <v>6364</v>
      </c>
      <c r="S49" s="3546"/>
      <c r="T49" s="3546"/>
      <c r="U49" s="3546"/>
      <c r="V49" s="3546"/>
      <c r="W49" s="354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636</v>
      </c>
      <c r="F6" s="785" t="e">
        <f ca="1">INDIRECT("'数据-取费表'!u"&amp;$G$1)</f>
        <v>#N/A</v>
      </c>
      <c r="G6" s="1591"/>
      <c r="H6" s="2504" t="s">
        <v>1823</v>
      </c>
      <c r="I6" s="3529" t="s">
        <v>2461</v>
      </c>
      <c r="J6" s="783" t="e">
        <f ca="1">ROUND(M6*M8*M7*(1-M9)/10000,0)</f>
        <v>#N/A</v>
      </c>
      <c r="K6" s="341" t="s">
        <v>635</v>
      </c>
      <c r="L6" s="784" t="s">
        <v>636</v>
      </c>
      <c r="M6" s="785" t="e">
        <f ca="1">INDIRECT("'数据-取费表'!z"&amp;$G$1)</f>
        <v>#N/A</v>
      </c>
    </row>
    <row r="7" spans="1:33" ht="18" customHeight="1">
      <c r="A7" s="2500"/>
      <c r="B7" s="3530"/>
      <c r="C7" s="788"/>
      <c r="D7" s="789"/>
      <c r="E7" s="784" t="s">
        <v>637</v>
      </c>
      <c r="F7" s="785" t="e">
        <f ca="1">IF(INDIRECT("'数据-取费表'!ah"&amp;$G$1)="",INDIRECT("'数据-取费表'!k"&amp;$G$1),INDIRECT("'数据-取费表'!ah"&amp;$G$1))</f>
        <v>#N/A</v>
      </c>
      <c r="G7" s="1591"/>
      <c r="H7" s="2489"/>
      <c r="I7" s="3530"/>
      <c r="J7" s="788"/>
      <c r="K7" s="789"/>
      <c r="L7" s="784" t="s">
        <v>637</v>
      </c>
      <c r="M7" s="785" t="e">
        <f ca="1">F7</f>
        <v>#N/A</v>
      </c>
    </row>
    <row r="8" spans="1:33" ht="18" customHeight="1">
      <c r="A8" s="2493"/>
      <c r="B8" s="3531"/>
      <c r="C8" s="788"/>
      <c r="D8" s="789"/>
      <c r="E8" s="784" t="s">
        <v>638</v>
      </c>
      <c r="F8" s="785" t="e">
        <f ca="1">INDIRECT("'数据-取费表'!ai"&amp;$G$1)</f>
        <v>#N/A</v>
      </c>
      <c r="G8" s="1591"/>
      <c r="H8" s="2489"/>
      <c r="I8" s="3531"/>
      <c r="J8" s="788"/>
      <c r="K8" s="789"/>
      <c r="L8" s="784" t="s">
        <v>638</v>
      </c>
      <c r="M8" s="785" t="e">
        <f ca="1">INDIRECT("'数据-取费表'!ai"&amp;$G$1)</f>
        <v>#N/A</v>
      </c>
    </row>
    <row r="9" spans="1:33" ht="18" customHeight="1">
      <c r="A9" s="786"/>
      <c r="B9" s="3532"/>
      <c r="C9" s="788"/>
      <c r="D9" s="789"/>
      <c r="E9" s="784" t="s">
        <v>639</v>
      </c>
      <c r="F9" s="794" t="e">
        <f ca="1">INDIRECT("'数据-取费表'!w"&amp;$G$1)</f>
        <v>#N/A</v>
      </c>
      <c r="G9" s="1591"/>
      <c r="H9" s="2505"/>
      <c r="I9" s="3531"/>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23910</v>
      </c>
      <c r="C2" s="2057"/>
      <c r="D2" s="2055"/>
      <c r="E2" s="2056"/>
      <c r="F2" s="2056"/>
      <c r="G2" s="1589"/>
      <c r="H2" s="2057"/>
      <c r="I2" s="2057"/>
      <c r="J2" s="2057"/>
      <c r="K2" s="2058"/>
      <c r="L2" s="2057"/>
      <c r="M2" s="2057"/>
    </row>
    <row r="3" spans="1:33" ht="18" customHeight="1" thickBot="1">
      <c r="A3" s="833" t="s">
        <v>1726</v>
      </c>
      <c r="B3" s="834">
        <f ca="1">IF(ISERROR(B2*10000/F43),0,ROUND(B2*10000/F43,0))</f>
        <v>11716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529" t="s">
        <v>2461</v>
      </c>
      <c r="C6" s="783">
        <f ca="1">ROUND(F6*F8*F7*(1-F9)/10000,0)</f>
        <v>1676</v>
      </c>
      <c r="D6" s="2497" t="s">
        <v>2460</v>
      </c>
      <c r="E6" s="784" t="s">
        <v>1737</v>
      </c>
      <c r="F6" s="785">
        <f ca="1">INDIRECT("'数据-取费表'!u"&amp;$G$1)</f>
        <v>2.5</v>
      </c>
      <c r="G6" s="1591"/>
      <c r="H6" s="2504" t="s">
        <v>2466</v>
      </c>
      <c r="I6" s="3529" t="s">
        <v>2461</v>
      </c>
      <c r="J6" s="783">
        <f ca="1">ROUND(M6*M8*M7*(1-M9)/10000,0)</f>
        <v>0</v>
      </c>
      <c r="K6" s="341" t="s">
        <v>1736</v>
      </c>
      <c r="L6" s="784" t="s">
        <v>1737</v>
      </c>
      <c r="M6" s="785">
        <f ca="1">INDIRECT("'数据-取费表'!z"&amp;$G$1)</f>
        <v>0</v>
      </c>
    </row>
    <row r="7" spans="1:33" ht="18" customHeight="1">
      <c r="A7" s="2500"/>
      <c r="B7" s="3530"/>
      <c r="C7" s="788"/>
      <c r="D7" s="789"/>
      <c r="E7" s="784" t="s">
        <v>1738</v>
      </c>
      <c r="F7" s="785">
        <f ca="1">IF(INDIRECT("'数据-取费表'!ah"&amp;$G$1)="",INDIRECT("'数据-取费表'!k"&amp;$G$1),INDIRECT("'数据-取费表'!ah"&amp;$G$1))</f>
        <v>20408.7</v>
      </c>
      <c r="G7" s="1591"/>
      <c r="H7" s="2489"/>
      <c r="I7" s="3530"/>
      <c r="J7" s="788"/>
      <c r="K7" s="789"/>
      <c r="L7" s="784" t="s">
        <v>1738</v>
      </c>
      <c r="M7" s="785">
        <f ca="1">F7</f>
        <v>20408.7</v>
      </c>
    </row>
    <row r="8" spans="1:33" ht="18" customHeight="1">
      <c r="A8" s="2493"/>
      <c r="B8" s="3531"/>
      <c r="C8" s="788"/>
      <c r="D8" s="789"/>
      <c r="E8" s="784" t="s">
        <v>1739</v>
      </c>
      <c r="F8" s="785">
        <f ca="1">INDIRECT("'数据-取费表'!ai"&amp;$G$1)</f>
        <v>365</v>
      </c>
      <c r="G8" s="1591"/>
      <c r="H8" s="2489"/>
      <c r="I8" s="3531"/>
      <c r="J8" s="788"/>
      <c r="K8" s="789"/>
      <c r="L8" s="784" t="s">
        <v>1739</v>
      </c>
      <c r="M8" s="785">
        <f ca="1">INDIRECT("'数据-取费表'!ai"&amp;$G$1)</f>
        <v>365</v>
      </c>
    </row>
    <row r="9" spans="1:33" ht="18" customHeight="1">
      <c r="A9" s="786"/>
      <c r="B9" s="3532"/>
      <c r="C9" s="788"/>
      <c r="D9" s="789"/>
      <c r="E9" s="784" t="s">
        <v>1740</v>
      </c>
      <c r="F9" s="794">
        <f ca="1">INDIRECT("'数据-取费表'!w"&amp;$G$1)</f>
        <v>0.1</v>
      </c>
      <c r="G9" s="1591"/>
      <c r="H9" s="2505"/>
      <c r="I9" s="3531"/>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9147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5714</v>
      </c>
      <c r="D14" s="1979" t="s">
        <v>1744</v>
      </c>
      <c r="E14" s="1980"/>
      <c r="F14" s="805"/>
      <c r="G14" s="1591"/>
      <c r="H14" s="1648" t="s">
        <v>1829</v>
      </c>
      <c r="I14" s="2231" t="s">
        <v>2823</v>
      </c>
      <c r="J14" s="53">
        <f ca="1">C29</f>
        <v>9147</v>
      </c>
      <c r="K14" s="26"/>
      <c r="L14" s="801"/>
      <c r="M14" s="802"/>
    </row>
    <row r="15" spans="1:33" s="2064" customFormat="1" ht="18" customHeight="1" thickBot="1">
      <c r="A15" s="1647" t="s">
        <v>1884</v>
      </c>
      <c r="B15" s="784" t="s">
        <v>646</v>
      </c>
      <c r="C15" s="53">
        <f ca="1">ROUND(C14*F15,0)</f>
        <v>286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932</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795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86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6494</v>
      </c>
      <c r="D19" s="261" t="s">
        <v>1756</v>
      </c>
      <c r="E19" s="1982"/>
      <c r="F19" s="56"/>
      <c r="G19" s="1591"/>
      <c r="H19" s="1647" t="s">
        <v>1884</v>
      </c>
      <c r="I19" s="784" t="s">
        <v>1757</v>
      </c>
      <c r="J19" s="53">
        <f ca="1">IF(K19="按租金收入计税",ROUND(J5*M19,1),ROUND(C29*F33*0.7,1))</f>
        <v>768.3</v>
      </c>
      <c r="K19" s="811" t="s">
        <v>664</v>
      </c>
      <c r="L19" s="784" t="s">
        <v>1746</v>
      </c>
      <c r="M19" s="809">
        <f>IF(K19="按租金收入计税",'数据-取费表'!B51,'数据-取费表'!B50)</f>
        <v>1.2E-2</v>
      </c>
    </row>
    <row r="20" spans="1:33" s="2064" customFormat="1" ht="18" customHeight="1">
      <c r="A20" s="1648" t="s">
        <v>1888</v>
      </c>
      <c r="B20" s="784" t="s">
        <v>665</v>
      </c>
      <c r="C20" s="53">
        <f ca="1">ROUND(C19*F20,0)</f>
        <v>130</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137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478</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-932</v>
      </c>
      <c r="K25" s="2548" t="s">
        <v>1776</v>
      </c>
      <c r="L25" s="2549"/>
      <c r="M25" s="2550"/>
    </row>
    <row r="26" spans="1:33" ht="18" customHeight="1">
      <c r="A26" s="1647" t="s">
        <v>1830</v>
      </c>
      <c r="B26" s="784" t="s">
        <v>2438</v>
      </c>
      <c r="C26" s="53">
        <f ca="1">ROUND((C19+C20)*F26,0)</f>
        <v>1325</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9147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777</v>
      </c>
      <c r="K35" s="2078"/>
      <c r="L35" s="2077"/>
      <c r="M35" s="2077"/>
    </row>
    <row r="36" spans="1:18" ht="18" customHeight="1">
      <c r="A36" s="1648" t="s">
        <v>1888</v>
      </c>
      <c r="B36" s="784" t="s">
        <v>1801</v>
      </c>
      <c r="C36" s="53">
        <f ca="1">ROUND(C29*F36,1)</f>
        <v>137.19999999999999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13.7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1192</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23910</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0.38300000000000001</v>
      </c>
      <c r="K42" s="2082"/>
      <c r="L42" s="1988"/>
      <c r="M42" s="1988"/>
    </row>
    <row r="43" spans="1:18" ht="18" customHeight="1" thickBot="1">
      <c r="A43" s="823" t="s">
        <v>1786</v>
      </c>
      <c r="B43" s="824" t="s">
        <v>1809</v>
      </c>
      <c r="C43" s="825">
        <f ca="1">ROUND(C40*10000/F43,0)</f>
        <v>11716</v>
      </c>
      <c r="D43" s="826" t="s">
        <v>1810</v>
      </c>
      <c r="E43" s="827" t="s">
        <v>1811</v>
      </c>
      <c r="F43" s="828">
        <f ca="1">INDIRECT("'数据-取费表'!k"&amp;$G$1)</f>
        <v>20408.7</v>
      </c>
      <c r="G43" s="2062"/>
      <c r="H43" s="1988"/>
      <c r="I43" s="847" t="s">
        <v>1821</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-26419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23910</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9147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6384</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51" t="s">
        <v>2962</v>
      </c>
      <c r="L53" s="3552"/>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23910</v>
      </c>
      <c r="R54" s="2403" t="s">
        <v>2392</v>
      </c>
    </row>
    <row r="55" spans="1:18" s="2059" customFormat="1" ht="18" customHeight="1" thickTop="1" thickBot="1">
      <c r="A55" s="797">
        <v>2</v>
      </c>
      <c r="B55" s="798" t="s">
        <v>643</v>
      </c>
      <c r="C55" s="799">
        <f ca="1">C13</f>
        <v>9147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9147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23910</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137.19999999999999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23910</v>
      </c>
      <c r="R63" s="2403" t="s">
        <v>2392</v>
      </c>
    </row>
    <row r="64" spans="1:18" s="2059" customFormat="1" ht="16.2" thickBot="1">
      <c r="A64" s="1648" t="s">
        <v>1889</v>
      </c>
      <c r="B64" s="784" t="s">
        <v>678</v>
      </c>
      <c r="C64" s="53">
        <f ca="1">ROUND(C55*F64,1)</f>
        <v>13.7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-178</v>
      </c>
      <c r="D66" s="2638" t="s">
        <v>699</v>
      </c>
      <c r="E66" s="2637"/>
      <c r="F66" s="820"/>
      <c r="K66" s="2086"/>
      <c r="O66" s="2398" t="s">
        <v>2379</v>
      </c>
      <c r="P66" s="2399" t="s">
        <v>2409</v>
      </c>
      <c r="Q66" s="2400">
        <f ca="1">C40+J29</f>
        <v>23910</v>
      </c>
      <c r="R66" s="2399" t="s">
        <v>2380</v>
      </c>
    </row>
    <row r="67" spans="1:18" s="2059" customFormat="1" ht="19.2" thickBot="1">
      <c r="A67" s="781" t="s">
        <v>1779</v>
      </c>
      <c r="B67" s="2232" t="s">
        <v>2301</v>
      </c>
      <c r="C67" s="783">
        <f ca="1">ROUND(C66*(1-((1+F69)/(1+F67))^F68)/(F67-F69),0)</f>
        <v>-2509</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6384</v>
      </c>
      <c r="R68" s="2406" t="s">
        <v>2416</v>
      </c>
    </row>
    <row r="69" spans="1:18" ht="19.2" thickBot="1">
      <c r="A69" s="790"/>
      <c r="B69" s="791"/>
      <c r="C69" s="792"/>
      <c r="D69" s="816"/>
      <c r="E69" s="784" t="s">
        <v>709</v>
      </c>
      <c r="F69" s="2371"/>
      <c r="O69" s="2401" t="s">
        <v>2384</v>
      </c>
      <c r="P69" s="2407" t="s">
        <v>2398</v>
      </c>
      <c r="Q69" s="2400">
        <f ca="1">ROUND(Q70-Q71*Q72,0)</f>
        <v>415</v>
      </c>
      <c r="R69" s="2403"/>
    </row>
    <row r="70" spans="1:18" ht="16.2" thickBot="1">
      <c r="A70" s="823" t="s">
        <v>1786</v>
      </c>
      <c r="B70" s="824" t="s">
        <v>1809</v>
      </c>
      <c r="C70" s="825">
        <f ca="1">ROUND(C67*10000/F70,0)</f>
        <v>-1229</v>
      </c>
      <c r="D70" s="826" t="s">
        <v>1810</v>
      </c>
      <c r="E70" s="827" t="s">
        <v>1811</v>
      </c>
      <c r="F70" s="828">
        <f ca="1">F43</f>
        <v>20408.7</v>
      </c>
      <c r="O70" s="2401" t="s">
        <v>2399</v>
      </c>
      <c r="P70" s="2407" t="s">
        <v>2400</v>
      </c>
      <c r="Q70" s="2400">
        <f ca="1">C39</f>
        <v>1192</v>
      </c>
      <c r="R70" s="2399" t="s">
        <v>2380</v>
      </c>
    </row>
    <row r="71" spans="1:18" ht="16.2" thickBot="1">
      <c r="O71" s="2401" t="s">
        <v>2401</v>
      </c>
      <c r="P71" s="2407" t="s">
        <v>2402</v>
      </c>
      <c r="Q71" s="2400">
        <f ca="1">C13</f>
        <v>9147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23910</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3" t="s">
        <v>2469</v>
      </c>
      <c r="B1" s="3554"/>
      <c r="C1" s="3555"/>
      <c r="D1" s="3556">
        <f>SUM(I10,I15,I20,I21,I23)</f>
        <v>0</v>
      </c>
      <c r="E1" s="3556"/>
      <c r="F1" s="3556"/>
      <c r="G1" s="3556"/>
      <c r="H1" s="3556"/>
      <c r="I1" s="3557"/>
    </row>
    <row r="2" spans="1:9">
      <c r="A2" s="3558" t="s">
        <v>2470</v>
      </c>
      <c r="B2" s="3559" t="s">
        <v>2471</v>
      </c>
      <c r="C2" s="3559"/>
      <c r="D2" s="2507" t="s">
        <v>2472</v>
      </c>
      <c r="E2" s="2507" t="s">
        <v>2473</v>
      </c>
      <c r="F2" s="2507" t="s">
        <v>2474</v>
      </c>
      <c r="G2" s="2507" t="s">
        <v>2475</v>
      </c>
      <c r="H2" s="2507" t="s">
        <v>2476</v>
      </c>
      <c r="I2" s="2508" t="s">
        <v>2477</v>
      </c>
    </row>
    <row r="3" spans="1:9">
      <c r="A3" s="3558"/>
      <c r="B3" s="3559" t="s">
        <v>2478</v>
      </c>
      <c r="C3" s="3559"/>
      <c r="D3" s="2509"/>
      <c r="E3" s="2507"/>
      <c r="F3" s="2510"/>
      <c r="G3" s="2510"/>
      <c r="H3" s="2511"/>
      <c r="I3" s="2512">
        <f>ROUND(D3*E3*F3*G3*H3/10000,0)</f>
        <v>0</v>
      </c>
    </row>
    <row r="4" spans="1:9">
      <c r="A4" s="3558"/>
      <c r="B4" s="3559" t="s">
        <v>2479</v>
      </c>
      <c r="C4" s="3559"/>
      <c r="D4" s="2509"/>
      <c r="E4" s="2507"/>
      <c r="F4" s="2510"/>
      <c r="G4" s="2510"/>
      <c r="H4" s="2511"/>
      <c r="I4" s="2512">
        <f t="shared" ref="I4:I9" si="0">ROUND(D4*E4*F4*G4*H4/10000,0)</f>
        <v>0</v>
      </c>
    </row>
    <row r="5" spans="1:9">
      <c r="A5" s="3558"/>
      <c r="B5" s="3559" t="s">
        <v>2480</v>
      </c>
      <c r="C5" s="3559"/>
      <c r="D5" s="2509"/>
      <c r="E5" s="2507"/>
      <c r="F5" s="2510"/>
      <c r="G5" s="2510"/>
      <c r="H5" s="2511"/>
      <c r="I5" s="2512">
        <f t="shared" si="0"/>
        <v>0</v>
      </c>
    </row>
    <row r="6" spans="1:9">
      <c r="A6" s="3558"/>
      <c r="B6" s="3559" t="s">
        <v>2481</v>
      </c>
      <c r="C6" s="3559"/>
      <c r="D6" s="2509"/>
      <c r="E6" s="2507"/>
      <c r="F6" s="2510"/>
      <c r="G6" s="2510"/>
      <c r="H6" s="2511"/>
      <c r="I6" s="2512">
        <f t="shared" si="0"/>
        <v>0</v>
      </c>
    </row>
    <row r="7" spans="1:9">
      <c r="A7" s="3558"/>
      <c r="B7" s="3559" t="s">
        <v>2482</v>
      </c>
      <c r="C7" s="3559"/>
      <c r="D7" s="2509"/>
      <c r="E7" s="2507"/>
      <c r="F7" s="2510"/>
      <c r="G7" s="2510"/>
      <c r="H7" s="2511"/>
      <c r="I7" s="2512">
        <f t="shared" si="0"/>
        <v>0</v>
      </c>
    </row>
    <row r="8" spans="1:9">
      <c r="A8" s="3558"/>
      <c r="B8" s="3559" t="s">
        <v>2483</v>
      </c>
      <c r="C8" s="3559"/>
      <c r="D8" s="2509"/>
      <c r="E8" s="2507"/>
      <c r="F8" s="2510"/>
      <c r="G8" s="2510"/>
      <c r="H8" s="2511"/>
      <c r="I8" s="2512">
        <f t="shared" si="0"/>
        <v>0</v>
      </c>
    </row>
    <row r="9" spans="1:9">
      <c r="A9" s="3558"/>
      <c r="B9" s="3559" t="s">
        <v>2484</v>
      </c>
      <c r="C9" s="3559"/>
      <c r="D9" s="2509"/>
      <c r="E9" s="2507"/>
      <c r="F9" s="2510"/>
      <c r="G9" s="2510"/>
      <c r="H9" s="2511"/>
      <c r="I9" s="2512">
        <f t="shared" si="0"/>
        <v>0</v>
      </c>
    </row>
    <row r="10" spans="1:9">
      <c r="A10" s="3558"/>
      <c r="B10" s="3560" t="s">
        <v>2485</v>
      </c>
      <c r="C10" s="3560"/>
      <c r="D10" s="2513">
        <v>527</v>
      </c>
      <c r="E10" s="2513" t="e">
        <f>ROUND(D1*10000/D10/H9,0)</f>
        <v>#DIV/0!</v>
      </c>
      <c r="F10" s="2514"/>
      <c r="G10" s="2514"/>
      <c r="H10" s="2515"/>
      <c r="I10" s="2516">
        <f>SUM(I3:I9)</f>
        <v>0</v>
      </c>
    </row>
    <row r="11" spans="1:9" ht="15.6">
      <c r="A11" s="3558" t="s">
        <v>2486</v>
      </c>
      <c r="B11" s="3559" t="s">
        <v>2487</v>
      </c>
      <c r="C11" s="3559"/>
      <c r="D11" s="2509" t="s">
        <v>2488</v>
      </c>
      <c r="E11" s="2509" t="s">
        <v>2489</v>
      </c>
      <c r="F11" s="2510" t="s">
        <v>2490</v>
      </c>
      <c r="G11" s="2510" t="s">
        <v>2491</v>
      </c>
      <c r="H11" s="2517" t="s">
        <v>2492</v>
      </c>
      <c r="I11" s="2508" t="s">
        <v>2493</v>
      </c>
    </row>
    <row r="12" spans="1:9">
      <c r="A12" s="3558"/>
      <c r="B12" s="3559" t="s">
        <v>2494</v>
      </c>
      <c r="C12" s="3559"/>
      <c r="D12" s="2509"/>
      <c r="E12" s="2509"/>
      <c r="F12" s="2510"/>
      <c r="G12" s="2511"/>
      <c r="H12" s="2518"/>
      <c r="I12" s="2508">
        <f>ROUND(D12*E12*F12*G12/10000,0)</f>
        <v>0</v>
      </c>
    </row>
    <row r="13" spans="1:9">
      <c r="A13" s="3558"/>
      <c r="B13" s="3559" t="s">
        <v>2495</v>
      </c>
      <c r="C13" s="3559"/>
      <c r="D13" s="2509"/>
      <c r="E13" s="2509"/>
      <c r="F13" s="2510"/>
      <c r="G13" s="2511"/>
      <c r="H13" s="2518"/>
      <c r="I13" s="2508">
        <f>ROUND(D13*E13*F13*G13/10000,0)</f>
        <v>0</v>
      </c>
    </row>
    <row r="14" spans="1:9">
      <c r="A14" s="3558"/>
      <c r="B14" s="3559" t="s">
        <v>2496</v>
      </c>
      <c r="C14" s="3559"/>
      <c r="D14" s="2509"/>
      <c r="E14" s="2509"/>
      <c r="F14" s="2510"/>
      <c r="G14" s="2511"/>
      <c r="H14" s="2518"/>
      <c r="I14" s="2508">
        <f>ROUND(D14*E14*F14*G14/10000,0)</f>
        <v>0</v>
      </c>
    </row>
    <row r="15" spans="1:9">
      <c r="A15" s="3558"/>
      <c r="B15" s="3560" t="s">
        <v>2485</v>
      </c>
      <c r="C15" s="3560"/>
      <c r="D15" s="2513"/>
      <c r="E15" s="2513">
        <f>SUM(E12:E14)</f>
        <v>0</v>
      </c>
      <c r="F15" s="2514"/>
      <c r="G15" s="2511"/>
      <c r="H15" s="2518"/>
      <c r="I15" s="2519">
        <f>SUM(I12:I14)</f>
        <v>0</v>
      </c>
    </row>
    <row r="16" spans="1:9" ht="24">
      <c r="A16" s="3558" t="s">
        <v>2497</v>
      </c>
      <c r="B16" s="3559" t="s">
        <v>2498</v>
      </c>
      <c r="C16" s="3559"/>
      <c r="D16" s="2509" t="s">
        <v>2499</v>
      </c>
      <c r="E16" s="2520" t="s">
        <v>2500</v>
      </c>
      <c r="F16" s="2510" t="s">
        <v>2501</v>
      </c>
      <c r="G16" s="2511" t="s">
        <v>2491</v>
      </c>
      <c r="H16" s="2517" t="s">
        <v>2492</v>
      </c>
      <c r="I16" s="2508" t="s">
        <v>2493</v>
      </c>
    </row>
    <row r="17" spans="1:9" ht="15.6">
      <c r="A17" s="3558"/>
      <c r="B17" s="3559" t="s">
        <v>2502</v>
      </c>
      <c r="C17" s="3559"/>
      <c r="D17" s="2509"/>
      <c r="E17" s="2509"/>
      <c r="F17" s="2510"/>
      <c r="G17" s="2511"/>
      <c r="H17" s="2521"/>
      <c r="I17" s="2522">
        <f>ROUND(D17*E17*F17*G17/10000,0)</f>
        <v>0</v>
      </c>
    </row>
    <row r="18" spans="1:9" ht="15.6">
      <c r="A18" s="3558"/>
      <c r="B18" s="3559" t="s">
        <v>2503</v>
      </c>
      <c r="C18" s="3559"/>
      <c r="D18" s="2509"/>
      <c r="E18" s="2509"/>
      <c r="F18" s="2510"/>
      <c r="G18" s="2511"/>
      <c r="H18" s="2521"/>
      <c r="I18" s="2522">
        <f>ROUND(D18*E18*F18*G18/10000,0)</f>
        <v>0</v>
      </c>
    </row>
    <row r="19" spans="1:9" ht="15.6">
      <c r="A19" s="3558"/>
      <c r="B19" s="3559" t="s">
        <v>2504</v>
      </c>
      <c r="C19" s="3559"/>
      <c r="D19" s="2509"/>
      <c r="E19" s="2509"/>
      <c r="F19" s="2510"/>
      <c r="G19" s="2511"/>
      <c r="H19" s="2521"/>
      <c r="I19" s="2522">
        <f>ROUND(D19*E19*F19*G19/10000,0)</f>
        <v>0</v>
      </c>
    </row>
    <row r="20" spans="1:9">
      <c r="A20" s="3558"/>
      <c r="B20" s="3560" t="s">
        <v>2485</v>
      </c>
      <c r="C20" s="3560"/>
      <c r="D20" s="2513">
        <f>SUM(D17:D19)</f>
        <v>0</v>
      </c>
      <c r="E20" s="2513"/>
      <c r="F20" s="2514"/>
      <c r="G20" s="2511"/>
      <c r="H20" s="2518"/>
      <c r="I20" s="2519">
        <f>SUM(I17:I19)</f>
        <v>0</v>
      </c>
    </row>
    <row r="21" spans="1:9">
      <c r="A21" s="3558" t="s">
        <v>2505</v>
      </c>
      <c r="B21" s="3562"/>
      <c r="C21" s="3562"/>
      <c r="D21" s="3562"/>
      <c r="E21" s="3562"/>
      <c r="F21" s="3562"/>
      <c r="G21" s="3562"/>
      <c r="H21" s="2523">
        <v>0.1</v>
      </c>
      <c r="I21" s="2516">
        <f>ROUND(I10*H21,0)</f>
        <v>0</v>
      </c>
    </row>
    <row r="22" spans="1:9" ht="15.6">
      <c r="A22" s="3563" t="s">
        <v>2506</v>
      </c>
      <c r="B22" s="3564"/>
      <c r="C22" s="3565"/>
      <c r="D22" s="2524" t="s">
        <v>2507</v>
      </c>
      <c r="E22" s="2524" t="s">
        <v>2508</v>
      </c>
      <c r="F22" s="2525" t="s">
        <v>2509</v>
      </c>
      <c r="G22" s="2525" t="s">
        <v>2510</v>
      </c>
      <c r="H22" s="2517" t="s">
        <v>2511</v>
      </c>
      <c r="I22" s="2508" t="s">
        <v>2512</v>
      </c>
    </row>
    <row r="23" spans="1:9" ht="15" thickBot="1">
      <c r="A23" s="3566"/>
      <c r="B23" s="3567"/>
      <c r="C23" s="3568"/>
      <c r="D23" s="2526"/>
      <c r="E23" s="2526"/>
      <c r="F23" s="2526"/>
      <c r="G23" s="2527"/>
      <c r="H23" s="2528"/>
      <c r="I23" s="2529">
        <f>ROUND(E23*D23*F23*(1-G23)/10000,0)</f>
        <v>0</v>
      </c>
    </row>
    <row r="26" spans="1:9">
      <c r="A26" s="2530" t="s">
        <v>2513</v>
      </c>
      <c r="B26" s="2530"/>
      <c r="C26" s="2530"/>
      <c r="D26" s="2530"/>
      <c r="E26" s="3569">
        <f>C27-C30-C31-C32</f>
        <v>0</v>
      </c>
      <c r="F26" s="3569"/>
      <c r="G26" s="3569"/>
      <c r="H26" s="3042" t="s">
        <v>2840</v>
      </c>
    </row>
    <row r="27" spans="1:9">
      <c r="A27" s="2531">
        <v>1</v>
      </c>
      <c r="B27" s="2532" t="s">
        <v>2514</v>
      </c>
      <c r="C27" s="2532"/>
      <c r="D27" s="2532"/>
      <c r="E27" s="3570"/>
      <c r="F27" s="3570"/>
      <c r="G27" s="3570"/>
    </row>
    <row r="28" spans="1:9">
      <c r="A28" s="2533" t="s">
        <v>2515</v>
      </c>
      <c r="B28" s="2532" t="s">
        <v>2516</v>
      </c>
      <c r="C28" s="2532"/>
      <c r="D28" s="2532"/>
      <c r="E28" s="3570"/>
      <c r="F28" s="3570"/>
      <c r="G28" s="3570"/>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61"/>
      <c r="F32" s="3561"/>
      <c r="G32" s="3561"/>
    </row>
    <row r="33" spans="1:7" hidden="1">
      <c r="A33" s="3571" t="s">
        <v>2524</v>
      </c>
      <c r="B33" s="3572"/>
      <c r="C33" s="3572"/>
      <c r="D33" s="3573"/>
      <c r="E33" s="3569"/>
      <c r="F33" s="3569"/>
      <c r="G33" s="3569"/>
    </row>
    <row r="34" spans="1:7" hidden="1">
      <c r="A34" s="2535">
        <v>1</v>
      </c>
      <c r="B34" s="2532" t="s">
        <v>2525</v>
      </c>
      <c r="C34" s="2532"/>
      <c r="D34" s="2532"/>
      <c r="E34" s="3570"/>
      <c r="F34" s="3570"/>
      <c r="G34" s="3570"/>
    </row>
    <row r="35" spans="1:7" hidden="1">
      <c r="A35" s="2535">
        <v>2</v>
      </c>
      <c r="B35" s="2532" t="s">
        <v>2526</v>
      </c>
      <c r="C35" s="2532"/>
      <c r="D35" s="2532"/>
      <c r="E35" s="3570"/>
      <c r="F35" s="3570"/>
      <c r="G35" s="3570"/>
    </row>
    <row r="36" spans="1:7" hidden="1">
      <c r="A36" s="2535">
        <v>3</v>
      </c>
      <c r="B36" s="2532" t="s">
        <v>2527</v>
      </c>
      <c r="C36" s="2532"/>
      <c r="D36" s="2532"/>
      <c r="E36" s="3570"/>
      <c r="F36" s="3570"/>
      <c r="G36" s="3570"/>
    </row>
    <row r="37" spans="1:7" hidden="1">
      <c r="A37" s="2535">
        <v>4</v>
      </c>
      <c r="B37" s="2532" t="s">
        <v>2528</v>
      </c>
      <c r="C37" s="2532"/>
      <c r="D37" s="2532"/>
      <c r="E37" s="3570"/>
      <c r="F37" s="3570"/>
      <c r="G37" s="3570"/>
    </row>
    <row r="38" spans="1:7" hidden="1">
      <c r="A38" s="3571" t="s">
        <v>2529</v>
      </c>
      <c r="B38" s="3572"/>
      <c r="C38" s="3572"/>
      <c r="D38" s="3573"/>
      <c r="E38" s="3569"/>
      <c r="F38" s="3569"/>
      <c r="G38" s="35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1737</v>
      </c>
      <c r="F6" s="785" t="e">
        <f ca="1">INDIRECT("'数据-取费表'!u"&amp;$G$1)</f>
        <v>#N/A</v>
      </c>
      <c r="G6" s="1591"/>
      <c r="H6" s="2504" t="s">
        <v>1823</v>
      </c>
      <c r="I6" s="3529" t="s">
        <v>2461</v>
      </c>
      <c r="J6" s="783" t="e">
        <f ca="1">ROUND(M6*M8*M7*(1-M9)/10000,0)</f>
        <v>#N/A</v>
      </c>
      <c r="K6" s="341" t="s">
        <v>1736</v>
      </c>
      <c r="L6" s="784" t="s">
        <v>1737</v>
      </c>
      <c r="M6" s="785" t="e">
        <f ca="1">INDIRECT("'数据-取费表'!z"&amp;$G$1)</f>
        <v>#N/A</v>
      </c>
    </row>
    <row r="7" spans="1:33" ht="18" customHeight="1">
      <c r="A7" s="2500"/>
      <c r="B7" s="3530"/>
      <c r="C7" s="788"/>
      <c r="D7" s="789"/>
      <c r="E7" s="784" t="s">
        <v>1738</v>
      </c>
      <c r="F7" s="785" t="e">
        <f ca="1">IF(INDIRECT("'数据-取费表'!ah"&amp;$G$1)="",INDIRECT("'数据-取费表'!k"&amp;$G$1),INDIRECT("'数据-取费表'!ah"&amp;$G$1))</f>
        <v>#N/A</v>
      </c>
      <c r="G7" s="1591"/>
      <c r="H7" s="2489"/>
      <c r="I7" s="3530"/>
      <c r="J7" s="788"/>
      <c r="K7" s="789"/>
      <c r="L7" s="784" t="s">
        <v>1738</v>
      </c>
      <c r="M7" s="785" t="e">
        <f ca="1">F7</f>
        <v>#N/A</v>
      </c>
    </row>
    <row r="8" spans="1:33" ht="18" customHeight="1">
      <c r="A8" s="2493"/>
      <c r="B8" s="3531"/>
      <c r="C8" s="788"/>
      <c r="D8" s="789"/>
      <c r="E8" s="784" t="s">
        <v>1739</v>
      </c>
      <c r="F8" s="785" t="e">
        <f ca="1">INDIRECT("'数据-取费表'!ai"&amp;$G$1)</f>
        <v>#N/A</v>
      </c>
      <c r="G8" s="1591"/>
      <c r="H8" s="2489"/>
      <c r="I8" s="3531"/>
      <c r="J8" s="788"/>
      <c r="K8" s="789"/>
      <c r="L8" s="784" t="s">
        <v>1739</v>
      </c>
      <c r="M8" s="785" t="e">
        <f ca="1">INDIRECT("'数据-取费表'!ai"&amp;$G$1)</f>
        <v>#N/A</v>
      </c>
    </row>
    <row r="9" spans="1:33" ht="18" customHeight="1">
      <c r="A9" s="786"/>
      <c r="B9" s="3532"/>
      <c r="C9" s="788"/>
      <c r="D9" s="789"/>
      <c r="E9" s="784" t="s">
        <v>1740</v>
      </c>
      <c r="F9" s="794" t="e">
        <f ca="1">INDIRECT("'数据-取费表'!w"&amp;$G$1)</f>
        <v>#N/A</v>
      </c>
      <c r="G9" s="1591"/>
      <c r="H9" s="2505"/>
      <c r="I9" s="3531"/>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0"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0"/>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0"/>
      <c r="AC6" s="3454"/>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85" t="s">
        <v>539</v>
      </c>
      <c r="Q15" s="1571" t="str">
        <f t="shared" si="6"/>
        <v>商业繁华度</v>
      </c>
      <c r="R15" s="1572" t="s">
        <v>8</v>
      </c>
      <c r="S15" s="1573">
        <f t="shared" si="0"/>
        <v>100</v>
      </c>
      <c r="T15" s="1572" t="s">
        <v>8</v>
      </c>
      <c r="U15" s="1573">
        <f t="shared" si="1"/>
        <v>100</v>
      </c>
      <c r="V15" s="1572" t="s">
        <v>8</v>
      </c>
      <c r="W15" s="1573">
        <f t="shared" si="2"/>
        <v>100</v>
      </c>
      <c r="X15" s="1566"/>
      <c r="Y15" s="3485"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86"/>
      <c r="Q23" s="1571" t="str">
        <f>B23</f>
        <v>自然及人文环境</v>
      </c>
      <c r="R23" s="1572" t="s">
        <v>8</v>
      </c>
      <c r="S23" s="1573">
        <f>F23</f>
        <v>100</v>
      </c>
      <c r="T23" s="1572" t="s">
        <v>8</v>
      </c>
      <c r="U23" s="1573">
        <f>H23</f>
        <v>100</v>
      </c>
      <c r="V23" s="1572" t="s">
        <v>8</v>
      </c>
      <c r="W23" s="1573">
        <f>J23</f>
        <v>100</v>
      </c>
      <c r="X23" s="1566"/>
      <c r="Y23" s="348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86"/>
      <c r="Q25" s="1571" t="str">
        <f t="shared" ref="Q25:Q46" si="11">B25</f>
        <v>临街状况</v>
      </c>
      <c r="R25" s="1572" t="s">
        <v>8</v>
      </c>
      <c r="S25" s="1573">
        <f>F25</f>
        <v>100</v>
      </c>
      <c r="T25" s="1572" t="s">
        <v>8</v>
      </c>
      <c r="U25" s="1573">
        <f>H25</f>
        <v>100</v>
      </c>
      <c r="V25" s="1572" t="s">
        <v>8</v>
      </c>
      <c r="W25" s="1573">
        <f>J25</f>
        <v>100</v>
      </c>
      <c r="X25" s="1566"/>
      <c r="Y25" s="3486"/>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86"/>
      <c r="Q26" s="1571" t="str">
        <f t="shared" si="11"/>
        <v>平面位置/可视性</v>
      </c>
      <c r="R26" s="1572" t="s">
        <v>8</v>
      </c>
      <c r="S26" s="1573">
        <f>F26</f>
        <v>100</v>
      </c>
      <c r="T26" s="1572" t="s">
        <v>8</v>
      </c>
      <c r="U26" s="1573">
        <f>H26</f>
        <v>100</v>
      </c>
      <c r="V26" s="1572" t="s">
        <v>8</v>
      </c>
      <c r="W26" s="1573">
        <f>J26</f>
        <v>100</v>
      </c>
      <c r="X26" s="1566"/>
      <c r="Y26" s="3486"/>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86"/>
      <c r="Q27" s="1151" t="str">
        <f t="shared" si="11"/>
        <v>人流量</v>
      </c>
      <c r="R27" s="1567" t="s">
        <v>8</v>
      </c>
      <c r="S27" s="1568">
        <f>F27</f>
        <v>100</v>
      </c>
      <c r="T27" s="1567" t="s">
        <v>8</v>
      </c>
      <c r="U27" s="1568">
        <f>H27</f>
        <v>100</v>
      </c>
      <c r="V27" s="1567" t="s">
        <v>8</v>
      </c>
      <c r="W27" s="1568">
        <f>J27</f>
        <v>100</v>
      </c>
      <c r="X27" s="1569"/>
      <c r="Y27" s="3486"/>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8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86"/>
      <c r="Q29" s="1571">
        <f t="shared" si="11"/>
        <v>111</v>
      </c>
      <c r="R29" s="1572" t="s">
        <v>8</v>
      </c>
      <c r="S29" s="1573">
        <f t="shared" si="12"/>
        <v>100</v>
      </c>
      <c r="T29" s="1572" t="s">
        <v>8</v>
      </c>
      <c r="U29" s="1573">
        <f t="shared" si="13"/>
        <v>100</v>
      </c>
      <c r="V29" s="1572" t="s">
        <v>8</v>
      </c>
      <c r="W29" s="1573">
        <f t="shared" si="14"/>
        <v>100</v>
      </c>
      <c r="X29" s="1566"/>
      <c r="Y29" s="34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87" t="s">
        <v>549</v>
      </c>
      <c r="Q32" s="1571" t="str">
        <f t="shared" si="11"/>
        <v>商业类型</v>
      </c>
      <c r="R32" s="1572" t="s">
        <v>8</v>
      </c>
      <c r="S32" s="1573">
        <f t="shared" si="12"/>
        <v>100</v>
      </c>
      <c r="T32" s="1572" t="s">
        <v>8</v>
      </c>
      <c r="U32" s="1573">
        <f t="shared" si="13"/>
        <v>100</v>
      </c>
      <c r="V32" s="1572" t="s">
        <v>8</v>
      </c>
      <c r="W32" s="1573">
        <f t="shared" si="14"/>
        <v>100</v>
      </c>
      <c r="X32" s="1566"/>
      <c r="Y32" s="3488"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88"/>
      <c r="Q33" s="1604" t="str">
        <f t="shared" si="11"/>
        <v>项目建筑规模</v>
      </c>
      <c r="R33" s="1576" t="s">
        <v>8</v>
      </c>
      <c r="S33" s="1577" t="e">
        <f t="shared" si="12"/>
        <v>#N/A</v>
      </c>
      <c r="T33" s="1576" t="s">
        <v>8</v>
      </c>
      <c r="U33" s="1577" t="e">
        <f t="shared" si="13"/>
        <v>#N/A</v>
      </c>
      <c r="V33" s="1576" t="s">
        <v>8</v>
      </c>
      <c r="W33" s="1577" t="e">
        <f t="shared" si="14"/>
        <v>#N/A</v>
      </c>
      <c r="X33" s="1578"/>
      <c r="Y33" s="3488"/>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88"/>
      <c r="Q34" s="1571" t="str">
        <f t="shared" si="11"/>
        <v>建筑结构</v>
      </c>
      <c r="R34" s="1572" t="s">
        <v>8</v>
      </c>
      <c r="S34" s="1573">
        <f t="shared" si="12"/>
        <v>100</v>
      </c>
      <c r="T34" s="1572" t="s">
        <v>8</v>
      </c>
      <c r="U34" s="1573">
        <f t="shared" si="13"/>
        <v>100</v>
      </c>
      <c r="V34" s="1572" t="s">
        <v>8</v>
      </c>
      <c r="W34" s="1573">
        <f t="shared" si="14"/>
        <v>100</v>
      </c>
      <c r="X34" s="1566"/>
      <c r="Y34" s="3488"/>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88"/>
      <c r="Q35" s="1571" t="str">
        <f t="shared" si="11"/>
        <v>公共部分装修</v>
      </c>
      <c r="R35" s="1572" t="s">
        <v>8</v>
      </c>
      <c r="S35" s="1573">
        <f t="shared" si="12"/>
        <v>100</v>
      </c>
      <c r="T35" s="1572" t="s">
        <v>8</v>
      </c>
      <c r="U35" s="1573">
        <f t="shared" si="13"/>
        <v>100</v>
      </c>
      <c r="V35" s="1572" t="s">
        <v>8</v>
      </c>
      <c r="W35" s="1573">
        <f t="shared" si="14"/>
        <v>100</v>
      </c>
      <c r="X35" s="1566"/>
      <c r="Y35" s="3488"/>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88"/>
      <c r="Q36" s="1571" t="str">
        <f t="shared" si="11"/>
        <v>成新度</v>
      </c>
      <c r="R36" s="1572" t="s">
        <v>8</v>
      </c>
      <c r="S36" s="1573" t="e">
        <f t="shared" si="12"/>
        <v>#N/A</v>
      </c>
      <c r="T36" s="1572" t="s">
        <v>8</v>
      </c>
      <c r="U36" s="1573" t="e">
        <f t="shared" si="13"/>
        <v>#N/A</v>
      </c>
      <c r="V36" s="1572" t="s">
        <v>8</v>
      </c>
      <c r="W36" s="1573" t="e">
        <f t="shared" si="14"/>
        <v>#N/A</v>
      </c>
      <c r="X36" s="1566"/>
      <c r="Y36" s="3488"/>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88"/>
      <c r="Q37" s="1151" t="str">
        <f t="shared" si="11"/>
        <v>市政基础设施</v>
      </c>
      <c r="R37" s="1567" t="s">
        <v>8</v>
      </c>
      <c r="S37" s="1568">
        <f t="shared" si="12"/>
        <v>100</v>
      </c>
      <c r="T37" s="1567" t="s">
        <v>8</v>
      </c>
      <c r="U37" s="1568">
        <f t="shared" si="13"/>
        <v>100</v>
      </c>
      <c r="V37" s="1567" t="s">
        <v>8</v>
      </c>
      <c r="W37" s="1568">
        <f t="shared" si="14"/>
        <v>100</v>
      </c>
      <c r="X37" s="1569"/>
      <c r="Y37" s="3488"/>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88" t="s">
        <v>765</v>
      </c>
      <c r="Q38" s="1571" t="str">
        <f t="shared" si="11"/>
        <v>业态</v>
      </c>
      <c r="R38" s="1572" t="s">
        <v>8</v>
      </c>
      <c r="S38" s="1573">
        <f t="shared" si="12"/>
        <v>100</v>
      </c>
      <c r="T38" s="1572" t="s">
        <v>8</v>
      </c>
      <c r="U38" s="1573">
        <f t="shared" si="13"/>
        <v>100</v>
      </c>
      <c r="V38" s="1572" t="s">
        <v>8</v>
      </c>
      <c r="W38" s="1573">
        <f t="shared" si="14"/>
        <v>100</v>
      </c>
      <c r="X38" s="1566"/>
      <c r="Y38" s="3488"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88"/>
      <c r="Q39" s="1571" t="str">
        <f t="shared" si="11"/>
        <v>层高</v>
      </c>
      <c r="R39" s="1572" t="s">
        <v>8</v>
      </c>
      <c r="S39" s="1573">
        <f t="shared" si="12"/>
        <v>100</v>
      </c>
      <c r="T39" s="1572" t="s">
        <v>8</v>
      </c>
      <c r="U39" s="1573">
        <f t="shared" si="13"/>
        <v>100</v>
      </c>
      <c r="V39" s="1572" t="s">
        <v>8</v>
      </c>
      <c r="W39" s="1573">
        <f t="shared" si="14"/>
        <v>100</v>
      </c>
      <c r="X39" s="1566"/>
      <c r="Y39" s="3488"/>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88"/>
      <c r="Q40" s="1571" t="str">
        <f t="shared" si="11"/>
        <v>单套建筑面积</v>
      </c>
      <c r="R40" s="1572" t="s">
        <v>8</v>
      </c>
      <c r="S40" s="1573">
        <f t="shared" si="12"/>
        <v>100</v>
      </c>
      <c r="T40" s="1572" t="s">
        <v>8</v>
      </c>
      <c r="U40" s="1573">
        <f t="shared" si="13"/>
        <v>100</v>
      </c>
      <c r="V40" s="1572" t="s">
        <v>8</v>
      </c>
      <c r="W40" s="1573">
        <f t="shared" si="14"/>
        <v>100</v>
      </c>
      <c r="X40" s="1566"/>
      <c r="Y40" s="3488"/>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88"/>
      <c r="Q41" s="1604" t="str">
        <f t="shared" si="11"/>
        <v>进深比</v>
      </c>
      <c r="R41" s="1576" t="s">
        <v>8</v>
      </c>
      <c r="S41" s="1577">
        <f t="shared" si="12"/>
        <v>100</v>
      </c>
      <c r="T41" s="1576" t="s">
        <v>8</v>
      </c>
      <c r="U41" s="1577">
        <f t="shared" si="13"/>
        <v>100</v>
      </c>
      <c r="V41" s="1576" t="s">
        <v>8</v>
      </c>
      <c r="W41" s="1577">
        <f t="shared" si="14"/>
        <v>100</v>
      </c>
      <c r="X41" s="1578"/>
      <c r="Y41" s="3488"/>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88"/>
      <c r="Q42" s="1571" t="str">
        <f t="shared" si="11"/>
        <v>内部装修</v>
      </c>
      <c r="R42" s="1572" t="s">
        <v>8</v>
      </c>
      <c r="S42" s="1573">
        <f t="shared" si="12"/>
        <v>100</v>
      </c>
      <c r="T42" s="1572" t="s">
        <v>8</v>
      </c>
      <c r="U42" s="1573">
        <f t="shared" si="13"/>
        <v>100</v>
      </c>
      <c r="V42" s="1572" t="s">
        <v>8</v>
      </c>
      <c r="W42" s="1573">
        <f t="shared" si="14"/>
        <v>100</v>
      </c>
      <c r="X42" s="1566"/>
      <c r="Y42" s="3488"/>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88"/>
      <c r="Q43" s="1571" t="str">
        <f t="shared" si="11"/>
        <v>内部装修维护情况</v>
      </c>
      <c r="R43" s="1572" t="s">
        <v>8</v>
      </c>
      <c r="S43" s="1573">
        <f t="shared" si="12"/>
        <v>100</v>
      </c>
      <c r="T43" s="1572" t="s">
        <v>8</v>
      </c>
      <c r="U43" s="1573">
        <f t="shared" si="13"/>
        <v>100</v>
      </c>
      <c r="V43" s="1572" t="s">
        <v>8</v>
      </c>
      <c r="W43" s="1573">
        <f t="shared" si="14"/>
        <v>100</v>
      </c>
      <c r="X43" s="1566"/>
      <c r="Y43" s="3488"/>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88"/>
      <c r="Q44" s="1151">
        <f t="shared" si="11"/>
        <v>111</v>
      </c>
      <c r="R44" s="1567" t="s">
        <v>8</v>
      </c>
      <c r="S44" s="1568">
        <f t="shared" si="12"/>
        <v>100</v>
      </c>
      <c r="T44" s="1567" t="s">
        <v>8</v>
      </c>
      <c r="U44" s="1568">
        <f t="shared" si="13"/>
        <v>100</v>
      </c>
      <c r="V44" s="1567" t="s">
        <v>8</v>
      </c>
      <c r="W44" s="1568">
        <f t="shared" si="14"/>
        <v>100</v>
      </c>
      <c r="X44" s="1569"/>
      <c r="Y44" s="3488"/>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88"/>
      <c r="Q45" s="1571">
        <f t="shared" si="11"/>
        <v>111</v>
      </c>
      <c r="R45" s="1572" t="s">
        <v>8</v>
      </c>
      <c r="S45" s="1573">
        <f t="shared" si="12"/>
        <v>100</v>
      </c>
      <c r="T45" s="1572" t="s">
        <v>8</v>
      </c>
      <c r="U45" s="1573">
        <f t="shared" si="13"/>
        <v>100</v>
      </c>
      <c r="V45" s="1572" t="s">
        <v>8</v>
      </c>
      <c r="W45" s="1573">
        <f t="shared" si="14"/>
        <v>100</v>
      </c>
      <c r="X45" s="1566"/>
      <c r="Y45" s="3488"/>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7"/>
      <c r="Q46" s="1571">
        <f t="shared" si="11"/>
        <v>111</v>
      </c>
      <c r="R46" s="1572" t="s">
        <v>8</v>
      </c>
      <c r="S46" s="1573">
        <f t="shared" si="12"/>
        <v>100</v>
      </c>
      <c r="T46" s="1572" t="s">
        <v>8</v>
      </c>
      <c r="U46" s="1573">
        <f t="shared" si="13"/>
        <v>100</v>
      </c>
      <c r="V46" s="1572" t="s">
        <v>8</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49" t="str">
        <f>A47</f>
        <v>成交单价（元/平方米）</v>
      </c>
      <c r="Q47" s="3449"/>
      <c r="R47" s="3545">
        <f>E47</f>
        <v>0</v>
      </c>
      <c r="S47" s="3545"/>
      <c r="T47" s="3545">
        <f>G47</f>
        <v>0</v>
      </c>
      <c r="U47" s="3545"/>
      <c r="V47" s="3545">
        <f>I47</f>
        <v>0</v>
      </c>
      <c r="W47" s="3545"/>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49" t="str">
        <f>A48</f>
        <v>比较价格（元/平方米）</v>
      </c>
      <c r="Q48" s="3449"/>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46" t="str">
        <f>A49</f>
        <v>估价对象XX用房的比较价格（楼面单价，元/平方米）</v>
      </c>
      <c r="Q49" s="3447"/>
      <c r="R49" s="3546" t="e">
        <f>IF(F1="售价",ROUND(AVERAGE(R48:V48),0),ROUND(AVERAGE(R48:V48),1))</f>
        <v>#DIV/0!</v>
      </c>
      <c r="S49" s="3546"/>
      <c r="T49" s="3546"/>
      <c r="U49" s="3546"/>
      <c r="V49" s="3546"/>
      <c r="W49" s="35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55" t="s">
        <v>521</v>
      </c>
      <c r="D4" s="3456"/>
      <c r="E4" s="3496" t="s">
        <v>522</v>
      </c>
      <c r="F4" s="3497"/>
      <c r="G4" s="3455" t="s">
        <v>523</v>
      </c>
      <c r="H4" s="3456"/>
      <c r="I4" s="3455" t="s">
        <v>524</v>
      </c>
      <c r="J4" s="3456"/>
      <c r="K4" s="514" t="s">
        <v>525</v>
      </c>
      <c r="L4" s="2133"/>
      <c r="M4" s="2134"/>
      <c r="N4" s="2134"/>
      <c r="O4" s="2134"/>
      <c r="P4" s="3575" t="s">
        <v>526</v>
      </c>
      <c r="Q4" s="3458"/>
      <c r="R4" s="3463" t="s">
        <v>522</v>
      </c>
      <c r="S4" s="3464"/>
      <c r="T4" s="3463" t="s">
        <v>523</v>
      </c>
      <c r="U4" s="3464"/>
      <c r="V4" s="3450" t="s">
        <v>524</v>
      </c>
      <c r="W4" s="3450"/>
      <c r="X4" s="1566"/>
      <c r="Y4" s="3463" t="s">
        <v>526</v>
      </c>
      <c r="Z4" s="3464"/>
      <c r="AA4" s="3452" t="s">
        <v>522</v>
      </c>
      <c r="AB4" s="3452"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576"/>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577"/>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84"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84" t="s">
        <v>532</v>
      </c>
      <c r="Q8" s="3483"/>
      <c r="R8" s="1567" t="s">
        <v>8</v>
      </c>
      <c r="S8" s="1568">
        <f t="shared" si="0"/>
        <v>0</v>
      </c>
      <c r="T8" s="1567" t="s">
        <v>8</v>
      </c>
      <c r="U8" s="1568">
        <f t="shared" si="1"/>
        <v>0</v>
      </c>
      <c r="V8" s="1567" t="s">
        <v>8</v>
      </c>
      <c r="W8" s="1568">
        <f t="shared" si="2"/>
        <v>0</v>
      </c>
      <c r="X8" s="1569"/>
      <c r="Y8" s="3482" t="s">
        <v>532</v>
      </c>
      <c r="Z8" s="3483"/>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85" t="s">
        <v>539</v>
      </c>
      <c r="Q15" s="1571" t="str">
        <f t="shared" si="6"/>
        <v>办公集聚程度</v>
      </c>
      <c r="R15" s="1572" t="s">
        <v>8</v>
      </c>
      <c r="S15" s="1573">
        <f t="shared" si="0"/>
        <v>100</v>
      </c>
      <c r="T15" s="1572" t="s">
        <v>8</v>
      </c>
      <c r="U15" s="1573">
        <f t="shared" si="1"/>
        <v>100</v>
      </c>
      <c r="V15" s="1572" t="s">
        <v>8</v>
      </c>
      <c r="W15" s="1573">
        <f t="shared" si="2"/>
        <v>100</v>
      </c>
      <c r="X15" s="1566"/>
      <c r="Y15" s="3485"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86"/>
      <c r="Q16" s="1571"/>
      <c r="R16" s="1572"/>
      <c r="S16" s="1573"/>
      <c r="T16" s="1572"/>
      <c r="U16" s="1573"/>
      <c r="V16" s="1572"/>
      <c r="W16" s="1573"/>
      <c r="X16" s="1566"/>
      <c r="Y16" s="3486"/>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86"/>
      <c r="Q18" s="1571"/>
      <c r="R18" s="1572"/>
      <c r="S18" s="1573"/>
      <c r="T18" s="1572"/>
      <c r="U18" s="1573"/>
      <c r="V18" s="1572"/>
      <c r="W18" s="1573"/>
      <c r="X18" s="1566"/>
      <c r="Y18" s="3486"/>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86"/>
      <c r="Q20" s="1571"/>
      <c r="R20" s="1572"/>
      <c r="S20" s="1573"/>
      <c r="T20" s="1572"/>
      <c r="U20" s="1573"/>
      <c r="V20" s="1572"/>
      <c r="W20" s="1573"/>
      <c r="X20" s="1566"/>
      <c r="Y20" s="3486"/>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86"/>
      <c r="Q22" s="2579"/>
      <c r="R22" s="1572"/>
      <c r="S22" s="1573"/>
      <c r="T22" s="1572"/>
      <c r="U22" s="1573"/>
      <c r="V22" s="1572"/>
      <c r="W22" s="1573"/>
      <c r="X22" s="2581"/>
      <c r="Y22" s="3486"/>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86"/>
      <c r="Q24" s="1571"/>
      <c r="R24" s="1572"/>
      <c r="S24" s="1573"/>
      <c r="T24" s="1572"/>
      <c r="U24" s="1573"/>
      <c r="V24" s="1572"/>
      <c r="W24" s="1573"/>
      <c r="X24" s="1566"/>
      <c r="Y24" s="3486"/>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86"/>
      <c r="Q25" s="1571" t="str">
        <f>B25</f>
        <v>毗邻道路的类型与等级</v>
      </c>
      <c r="R25" s="1572" t="s">
        <v>8</v>
      </c>
      <c r="S25" s="1573">
        <f>F25</f>
        <v>100</v>
      </c>
      <c r="T25" s="1572" t="s">
        <v>8</v>
      </c>
      <c r="U25" s="1573">
        <f>H25</f>
        <v>100</v>
      </c>
      <c r="V25" s="1572" t="s">
        <v>8</v>
      </c>
      <c r="W25" s="1573">
        <f>J25</f>
        <v>100</v>
      </c>
      <c r="X25" s="1566"/>
      <c r="Y25" s="348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86"/>
      <c r="Q26" s="1571"/>
      <c r="R26" s="1572"/>
      <c r="S26" s="1573"/>
      <c r="T26" s="1572"/>
      <c r="U26" s="1573"/>
      <c r="V26" s="1572"/>
      <c r="W26" s="1573"/>
      <c r="X26" s="1566"/>
      <c r="Y26" s="348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86"/>
      <c r="Q27" s="1571" t="str">
        <f t="shared" ref="Q27:Q47" si="11">B27</f>
        <v>楼层</v>
      </c>
      <c r="R27" s="1572" t="s">
        <v>8</v>
      </c>
      <c r="S27" s="1573">
        <f>F27</f>
        <v>100</v>
      </c>
      <c r="T27" s="1572" t="s">
        <v>8</v>
      </c>
      <c r="U27" s="1573">
        <f>H27</f>
        <v>100</v>
      </c>
      <c r="V27" s="1572" t="s">
        <v>8</v>
      </c>
      <c r="W27" s="1573">
        <f>J27</f>
        <v>100</v>
      </c>
      <c r="X27" s="1566"/>
      <c r="Y27" s="3486"/>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86"/>
      <c r="Q28" s="1151" t="str">
        <f t="shared" si="11"/>
        <v>朝向</v>
      </c>
      <c r="R28" s="1567" t="s">
        <v>8</v>
      </c>
      <c r="S28" s="1568">
        <f>F28</f>
        <v>100</v>
      </c>
      <c r="T28" s="1567" t="s">
        <v>8</v>
      </c>
      <c r="U28" s="1568">
        <f>H28</f>
        <v>100</v>
      </c>
      <c r="V28" s="1567" t="s">
        <v>8</v>
      </c>
      <c r="W28" s="1568">
        <f>J28</f>
        <v>100</v>
      </c>
      <c r="X28" s="1569"/>
      <c r="Y28" s="3486"/>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86"/>
      <c r="Q29" s="1571">
        <f t="shared" si="11"/>
        <v>111</v>
      </c>
      <c r="R29" s="1572" t="s">
        <v>8</v>
      </c>
      <c r="S29" s="1573">
        <f t="shared" ref="S29:S47" si="12">F29</f>
        <v>100</v>
      </c>
      <c r="T29" s="1572" t="s">
        <v>8</v>
      </c>
      <c r="U29" s="1573">
        <f t="shared" ref="U29:U47" si="13">H29</f>
        <v>100</v>
      </c>
      <c r="V29" s="1572" t="s">
        <v>8</v>
      </c>
      <c r="W29" s="1573">
        <f t="shared" ref="W29:W47" si="14">J29</f>
        <v>100</v>
      </c>
      <c r="X29" s="1566"/>
      <c r="Y29" s="3486"/>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86"/>
      <c r="Q30" s="1571">
        <f t="shared" si="11"/>
        <v>111</v>
      </c>
      <c r="R30" s="1572" t="s">
        <v>8</v>
      </c>
      <c r="S30" s="1573">
        <f t="shared" si="12"/>
        <v>100</v>
      </c>
      <c r="T30" s="1572" t="s">
        <v>8</v>
      </c>
      <c r="U30" s="1573">
        <f t="shared" si="13"/>
        <v>100</v>
      </c>
      <c r="V30" s="1572" t="s">
        <v>8</v>
      </c>
      <c r="W30" s="1573">
        <f t="shared" si="14"/>
        <v>100</v>
      </c>
      <c r="X30" s="1566"/>
      <c r="Y30" s="3486"/>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86"/>
      <c r="Q31" s="1571">
        <f t="shared" si="11"/>
        <v>111</v>
      </c>
      <c r="R31" s="1572" t="s">
        <v>8</v>
      </c>
      <c r="S31" s="1573">
        <f t="shared" si="12"/>
        <v>100</v>
      </c>
      <c r="T31" s="1572" t="s">
        <v>8</v>
      </c>
      <c r="U31" s="1573">
        <f t="shared" si="13"/>
        <v>100</v>
      </c>
      <c r="V31" s="1572" t="s">
        <v>8</v>
      </c>
      <c r="W31" s="1573">
        <f t="shared" si="14"/>
        <v>100</v>
      </c>
      <c r="X31" s="1566"/>
      <c r="Y31" s="3486"/>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86"/>
      <c r="Q32" s="1571">
        <f t="shared" si="11"/>
        <v>111</v>
      </c>
      <c r="R32" s="1572" t="s">
        <v>8</v>
      </c>
      <c r="S32" s="1573">
        <f t="shared" si="12"/>
        <v>100</v>
      </c>
      <c r="T32" s="1572" t="s">
        <v>8</v>
      </c>
      <c r="U32" s="1573">
        <f t="shared" si="13"/>
        <v>100</v>
      </c>
      <c r="V32" s="1572" t="s">
        <v>8</v>
      </c>
      <c r="W32" s="1573">
        <f t="shared" si="14"/>
        <v>100</v>
      </c>
      <c r="X32" s="1566"/>
      <c r="Y32" s="3486"/>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87" t="s">
        <v>549</v>
      </c>
      <c r="Q33" s="1571" t="str">
        <f t="shared" si="11"/>
        <v>建筑类型</v>
      </c>
      <c r="R33" s="1572" t="s">
        <v>8</v>
      </c>
      <c r="S33" s="1573">
        <f t="shared" si="12"/>
        <v>100</v>
      </c>
      <c r="T33" s="1572" t="s">
        <v>8</v>
      </c>
      <c r="U33" s="1573">
        <f t="shared" si="13"/>
        <v>100</v>
      </c>
      <c r="V33" s="1572" t="s">
        <v>8</v>
      </c>
      <c r="W33" s="1573">
        <f t="shared" si="14"/>
        <v>100</v>
      </c>
      <c r="X33" s="1566"/>
      <c r="Y33" s="3488"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88"/>
      <c r="Q34" s="1604" t="str">
        <f t="shared" si="11"/>
        <v>项目建筑规模</v>
      </c>
      <c r="R34" s="1576" t="s">
        <v>8</v>
      </c>
      <c r="S34" s="1577" t="e">
        <f t="shared" si="12"/>
        <v>#N/A</v>
      </c>
      <c r="T34" s="1576" t="s">
        <v>8</v>
      </c>
      <c r="U34" s="1577" t="e">
        <f t="shared" si="13"/>
        <v>#N/A</v>
      </c>
      <c r="V34" s="1576" t="s">
        <v>8</v>
      </c>
      <c r="W34" s="1577" t="e">
        <f t="shared" si="14"/>
        <v>#N/A</v>
      </c>
      <c r="X34" s="1578"/>
      <c r="Y34" s="3488"/>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88"/>
      <c r="Q35" s="1571" t="str">
        <f t="shared" si="11"/>
        <v>建筑结构</v>
      </c>
      <c r="R35" s="1572" t="s">
        <v>8</v>
      </c>
      <c r="S35" s="1573">
        <f t="shared" si="12"/>
        <v>100</v>
      </c>
      <c r="T35" s="1572" t="s">
        <v>8</v>
      </c>
      <c r="U35" s="1573">
        <f t="shared" si="13"/>
        <v>100</v>
      </c>
      <c r="V35" s="1572" t="s">
        <v>8</v>
      </c>
      <c r="W35" s="1573">
        <f t="shared" si="14"/>
        <v>100</v>
      </c>
      <c r="X35" s="1566"/>
      <c r="Y35" s="3488"/>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88"/>
      <c r="Q36" s="1571" t="str">
        <f t="shared" si="11"/>
        <v>公共部分装修</v>
      </c>
      <c r="R36" s="1572" t="s">
        <v>8</v>
      </c>
      <c r="S36" s="1573">
        <f t="shared" si="12"/>
        <v>100</v>
      </c>
      <c r="T36" s="1572" t="s">
        <v>8</v>
      </c>
      <c r="U36" s="1573">
        <f t="shared" si="13"/>
        <v>100</v>
      </c>
      <c r="V36" s="1572" t="s">
        <v>8</v>
      </c>
      <c r="W36" s="1573">
        <f t="shared" si="14"/>
        <v>100</v>
      </c>
      <c r="X36" s="1566"/>
      <c r="Y36" s="3488"/>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88"/>
      <c r="Q37" s="1571" t="str">
        <f t="shared" si="11"/>
        <v>成新度</v>
      </c>
      <c r="R37" s="1572" t="s">
        <v>8</v>
      </c>
      <c r="S37" s="1573" t="e">
        <f t="shared" si="12"/>
        <v>#N/A</v>
      </c>
      <c r="T37" s="1572" t="s">
        <v>8</v>
      </c>
      <c r="U37" s="1573" t="e">
        <f t="shared" si="13"/>
        <v>#N/A</v>
      </c>
      <c r="V37" s="1572" t="s">
        <v>8</v>
      </c>
      <c r="W37" s="1573" t="e">
        <f t="shared" si="14"/>
        <v>#N/A</v>
      </c>
      <c r="X37" s="1566"/>
      <c r="Y37" s="3488"/>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88"/>
      <c r="Q38" s="1151" t="str">
        <f t="shared" si="11"/>
        <v>写字楼等级</v>
      </c>
      <c r="R38" s="1567" t="s">
        <v>8</v>
      </c>
      <c r="S38" s="1568">
        <f t="shared" si="12"/>
        <v>100</v>
      </c>
      <c r="T38" s="1567" t="s">
        <v>8</v>
      </c>
      <c r="U38" s="1568">
        <f t="shared" si="13"/>
        <v>100</v>
      </c>
      <c r="V38" s="1567" t="s">
        <v>8</v>
      </c>
      <c r="W38" s="1568">
        <f t="shared" si="14"/>
        <v>100</v>
      </c>
      <c r="X38" s="1569"/>
      <c r="Y38" s="3488"/>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88" t="s">
        <v>549</v>
      </c>
      <c r="Q39" s="1571" t="str">
        <f t="shared" si="11"/>
        <v>物业管理</v>
      </c>
      <c r="R39" s="1572" t="s">
        <v>8</v>
      </c>
      <c r="S39" s="1573">
        <f t="shared" si="12"/>
        <v>100</v>
      </c>
      <c r="T39" s="1572" t="s">
        <v>8</v>
      </c>
      <c r="U39" s="1573">
        <f t="shared" si="13"/>
        <v>100</v>
      </c>
      <c r="V39" s="1572" t="s">
        <v>8</v>
      </c>
      <c r="W39" s="1573">
        <f t="shared" si="14"/>
        <v>100</v>
      </c>
      <c r="X39" s="1566"/>
      <c r="Y39" s="3488"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88"/>
      <c r="Q40" s="1571" t="str">
        <f t="shared" si="11"/>
        <v>市政基础设施</v>
      </c>
      <c r="R40" s="1572" t="s">
        <v>8</v>
      </c>
      <c r="S40" s="1573">
        <f t="shared" si="12"/>
        <v>100</v>
      </c>
      <c r="T40" s="1572" t="s">
        <v>8</v>
      </c>
      <c r="U40" s="1573">
        <f t="shared" si="13"/>
        <v>100</v>
      </c>
      <c r="V40" s="1572" t="s">
        <v>8</v>
      </c>
      <c r="W40" s="1573">
        <f t="shared" si="14"/>
        <v>100</v>
      </c>
      <c r="X40" s="1566"/>
      <c r="Y40" s="3488"/>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88"/>
      <c r="Q41" s="1571" t="str">
        <f t="shared" si="11"/>
        <v>层高</v>
      </c>
      <c r="R41" s="1572" t="s">
        <v>8</v>
      </c>
      <c r="S41" s="1573">
        <f t="shared" si="12"/>
        <v>100</v>
      </c>
      <c r="T41" s="1572" t="s">
        <v>8</v>
      </c>
      <c r="U41" s="1573">
        <f t="shared" si="13"/>
        <v>100</v>
      </c>
      <c r="V41" s="1572" t="s">
        <v>8</v>
      </c>
      <c r="W41" s="1573">
        <f t="shared" si="14"/>
        <v>100</v>
      </c>
      <c r="X41" s="1566"/>
      <c r="Y41" s="3488"/>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88"/>
      <c r="Q42" s="1604" t="str">
        <f t="shared" si="11"/>
        <v>单套建筑面积</v>
      </c>
      <c r="R42" s="1576" t="s">
        <v>8</v>
      </c>
      <c r="S42" s="1577">
        <f t="shared" si="12"/>
        <v>100</v>
      </c>
      <c r="T42" s="1576" t="s">
        <v>8</v>
      </c>
      <c r="U42" s="1577">
        <f t="shared" si="13"/>
        <v>100</v>
      </c>
      <c r="V42" s="1576" t="s">
        <v>8</v>
      </c>
      <c r="W42" s="1577">
        <f t="shared" si="14"/>
        <v>100</v>
      </c>
      <c r="X42" s="1578"/>
      <c r="Y42" s="3488"/>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88"/>
      <c r="Q43" s="1571" t="str">
        <f t="shared" si="11"/>
        <v>内部装修</v>
      </c>
      <c r="R43" s="1572" t="s">
        <v>8</v>
      </c>
      <c r="S43" s="1573">
        <f t="shared" si="12"/>
        <v>100</v>
      </c>
      <c r="T43" s="1572" t="s">
        <v>8</v>
      </c>
      <c r="U43" s="1573">
        <f t="shared" si="13"/>
        <v>100</v>
      </c>
      <c r="V43" s="1572" t="s">
        <v>8</v>
      </c>
      <c r="W43" s="1573">
        <f t="shared" si="14"/>
        <v>100</v>
      </c>
      <c r="X43" s="1566"/>
      <c r="Y43" s="3488"/>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88"/>
      <c r="Q44" s="1571" t="str">
        <f t="shared" si="11"/>
        <v>内部装修维护情况</v>
      </c>
      <c r="R44" s="1572" t="s">
        <v>8</v>
      </c>
      <c r="S44" s="1573">
        <f t="shared" si="12"/>
        <v>100</v>
      </c>
      <c r="T44" s="1572" t="s">
        <v>8</v>
      </c>
      <c r="U44" s="1573">
        <f t="shared" si="13"/>
        <v>100</v>
      </c>
      <c r="V44" s="1572" t="s">
        <v>8</v>
      </c>
      <c r="W44" s="1573">
        <f t="shared" si="14"/>
        <v>100</v>
      </c>
      <c r="X44" s="1566"/>
      <c r="Y44" s="3488"/>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88"/>
      <c r="Q45" s="1151">
        <f t="shared" si="11"/>
        <v>111</v>
      </c>
      <c r="R45" s="1567" t="s">
        <v>8</v>
      </c>
      <c r="S45" s="1568">
        <f t="shared" si="12"/>
        <v>100</v>
      </c>
      <c r="T45" s="1567" t="s">
        <v>8</v>
      </c>
      <c r="U45" s="1568">
        <f t="shared" si="13"/>
        <v>100</v>
      </c>
      <c r="V45" s="1567" t="s">
        <v>8</v>
      </c>
      <c r="W45" s="1568">
        <f t="shared" si="14"/>
        <v>100</v>
      </c>
      <c r="X45" s="1569"/>
      <c r="Y45" s="3488"/>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7"/>
      <c r="Q47" s="1571">
        <f t="shared" si="11"/>
        <v>111</v>
      </c>
      <c r="R47" s="1572" t="s">
        <v>8</v>
      </c>
      <c r="S47" s="1573">
        <f t="shared" si="12"/>
        <v>100</v>
      </c>
      <c r="T47" s="1572" t="s">
        <v>8</v>
      </c>
      <c r="U47" s="1573">
        <f t="shared" si="13"/>
        <v>100</v>
      </c>
      <c r="V47" s="1572" t="s">
        <v>8</v>
      </c>
      <c r="W47" s="1573">
        <f t="shared" si="14"/>
        <v>100</v>
      </c>
      <c r="X47" s="1566"/>
      <c r="Y47" s="3547"/>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47" t="str">
        <f>A48</f>
        <v>成交单价（元/平方米）</v>
      </c>
      <c r="Q48" s="3449"/>
      <c r="R48" s="3545">
        <f>E48</f>
        <v>0</v>
      </c>
      <c r="S48" s="3545"/>
      <c r="T48" s="3545">
        <f>G48</f>
        <v>0</v>
      </c>
      <c r="U48" s="3545"/>
      <c r="V48" s="3545">
        <f>I48</f>
        <v>0</v>
      </c>
      <c r="W48" s="3545"/>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7" t="str">
        <f>A49</f>
        <v>比较价格（元/平方米）</v>
      </c>
      <c r="Q49" s="3449"/>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4" t="str">
        <f>A50</f>
        <v>估价对象XX用房的比较价格（楼面单价，元/平方米）</v>
      </c>
      <c r="Q50" s="3447"/>
      <c r="R50" s="3546" t="e">
        <f>IF(F1="售价",ROUND(AVERAGE(R49:V49),0),ROUND(AVERAGE(R49:V49),1))</f>
        <v>#DIV/0!</v>
      </c>
      <c r="S50" s="3546"/>
      <c r="T50" s="3546"/>
      <c r="U50" s="3546"/>
      <c r="V50" s="3546"/>
      <c r="W50" s="354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55" t="s">
        <v>521</v>
      </c>
      <c r="D4" s="3456"/>
      <c r="E4" s="3496" t="s">
        <v>522</v>
      </c>
      <c r="F4" s="3497"/>
      <c r="G4" s="3455" t="s">
        <v>523</v>
      </c>
      <c r="H4" s="3456"/>
      <c r="I4" s="3455" t="s">
        <v>524</v>
      </c>
      <c r="J4" s="3456"/>
      <c r="K4" s="514" t="s">
        <v>525</v>
      </c>
      <c r="L4" s="2133"/>
      <c r="M4" s="2134"/>
      <c r="N4" s="2134"/>
      <c r="O4" s="2134"/>
      <c r="P4" s="3457" t="s">
        <v>526</v>
      </c>
      <c r="Q4" s="3458"/>
      <c r="R4" s="3463" t="s">
        <v>522</v>
      </c>
      <c r="S4" s="3464"/>
      <c r="T4" s="3463" t="s">
        <v>523</v>
      </c>
      <c r="U4" s="3464"/>
      <c r="V4" s="3450" t="s">
        <v>524</v>
      </c>
      <c r="W4" s="3450"/>
      <c r="X4" s="1566"/>
      <c r="Y4" s="3463" t="s">
        <v>526</v>
      </c>
      <c r="Z4" s="3464"/>
      <c r="AA4" s="3452" t="s">
        <v>522</v>
      </c>
      <c r="AB4" s="3453" t="s">
        <v>523</v>
      </c>
      <c r="AC4" s="3452" t="s">
        <v>524</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82" t="s">
        <v>529</v>
      </c>
      <c r="Q7" s="3484"/>
      <c r="R7" s="1567" t="s">
        <v>8</v>
      </c>
      <c r="S7" s="1568">
        <f t="shared" ref="S7:S15" si="0">F7</f>
        <v>0</v>
      </c>
      <c r="T7" s="1567" t="s">
        <v>8</v>
      </c>
      <c r="U7" s="1568">
        <f t="shared" ref="U7:U15" si="1">H7</f>
        <v>0</v>
      </c>
      <c r="V7" s="1567" t="s">
        <v>8</v>
      </c>
      <c r="W7" s="1568">
        <f t="shared" ref="W7:W15"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49" t="s">
        <v>534</v>
      </c>
      <c r="Q9" s="1151" t="str">
        <f t="shared" ref="Q9:Q15" si="6">B9</f>
        <v>用途</v>
      </c>
      <c r="R9" s="1567" t="s">
        <v>8</v>
      </c>
      <c r="S9" s="1568">
        <f t="shared" si="0"/>
        <v>100</v>
      </c>
      <c r="T9" s="1567" t="s">
        <v>8</v>
      </c>
      <c r="U9" s="1568">
        <f t="shared" si="1"/>
        <v>100</v>
      </c>
      <c r="V9" s="1567" t="s">
        <v>8</v>
      </c>
      <c r="W9" s="1568">
        <f t="shared" si="2"/>
        <v>100</v>
      </c>
      <c r="X9" s="1569"/>
      <c r="Y9" s="3395"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49"/>
      <c r="Q11" s="1151" t="str">
        <f t="shared" si="6"/>
        <v>容积率</v>
      </c>
      <c r="R11" s="1567" t="s">
        <v>8</v>
      </c>
      <c r="S11" s="1568" t="e">
        <f t="shared" si="0"/>
        <v>#N/A</v>
      </c>
      <c r="T11" s="1567" t="s">
        <v>8</v>
      </c>
      <c r="U11" s="1568" t="e">
        <f t="shared" si="1"/>
        <v>#N/A</v>
      </c>
      <c r="V11" s="1567" t="s">
        <v>8</v>
      </c>
      <c r="W11" s="1568" t="e">
        <f t="shared" si="2"/>
        <v>#N/A</v>
      </c>
      <c r="X11" s="1569"/>
      <c r="Y11" s="3395"/>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49"/>
      <c r="Q14" s="1151">
        <f t="shared" si="6"/>
        <v>111</v>
      </c>
      <c r="R14" s="1567" t="s">
        <v>8</v>
      </c>
      <c r="S14" s="1568">
        <f t="shared" si="0"/>
        <v>100</v>
      </c>
      <c r="T14" s="1567" t="s">
        <v>8</v>
      </c>
      <c r="U14" s="1568">
        <f t="shared" si="1"/>
        <v>100</v>
      </c>
      <c r="V14" s="1567" t="s">
        <v>8</v>
      </c>
      <c r="W14" s="1568">
        <f t="shared" si="2"/>
        <v>100</v>
      </c>
      <c r="X14" s="1569"/>
      <c r="Y14" s="3395"/>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85" t="s">
        <v>539</v>
      </c>
      <c r="Q15" s="1571" t="str">
        <f t="shared" si="6"/>
        <v>产业集聚程度</v>
      </c>
      <c r="R15" s="1572" t="s">
        <v>8</v>
      </c>
      <c r="S15" s="1573">
        <f t="shared" si="0"/>
        <v>100</v>
      </c>
      <c r="T15" s="1572" t="s">
        <v>8</v>
      </c>
      <c r="U15" s="1573">
        <f t="shared" si="1"/>
        <v>100</v>
      </c>
      <c r="V15" s="1572" t="s">
        <v>8</v>
      </c>
      <c r="W15" s="1573">
        <f t="shared" si="2"/>
        <v>100</v>
      </c>
      <c r="X15" s="1566"/>
      <c r="Y15" s="3485"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86"/>
      <c r="Q16" s="1571"/>
      <c r="R16" s="1572"/>
      <c r="S16" s="1573"/>
      <c r="T16" s="1572"/>
      <c r="U16" s="1573"/>
      <c r="V16" s="1572"/>
      <c r="W16" s="1573"/>
      <c r="X16" s="1566"/>
      <c r="Y16" s="3486"/>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86"/>
      <c r="Q17" s="1571" t="str">
        <f>B17</f>
        <v>交通便捷度</v>
      </c>
      <c r="R17" s="1572" t="s">
        <v>8</v>
      </c>
      <c r="S17" s="1573">
        <f>F17</f>
        <v>100</v>
      </c>
      <c r="T17" s="1572" t="s">
        <v>8</v>
      </c>
      <c r="U17" s="1573">
        <f>H17</f>
        <v>100</v>
      </c>
      <c r="V17" s="1572" t="s">
        <v>8</v>
      </c>
      <c r="W17" s="1573">
        <f>J17</f>
        <v>100</v>
      </c>
      <c r="X17" s="1566"/>
      <c r="Y17" s="34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86"/>
      <c r="Q18" s="1571"/>
      <c r="R18" s="1572"/>
      <c r="S18" s="1573"/>
      <c r="T18" s="1572"/>
      <c r="U18" s="1573"/>
      <c r="V18" s="1572"/>
      <c r="W18" s="1573"/>
      <c r="X18" s="1566"/>
      <c r="Y18" s="3486"/>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86"/>
      <c r="Q19" s="1571" t="str">
        <f>B19</f>
        <v>公共配套设施</v>
      </c>
      <c r="R19" s="1572" t="s">
        <v>8</v>
      </c>
      <c r="S19" s="1573">
        <f>F19</f>
        <v>100</v>
      </c>
      <c r="T19" s="1572" t="s">
        <v>8</v>
      </c>
      <c r="U19" s="1573">
        <f>H19</f>
        <v>100</v>
      </c>
      <c r="V19" s="1572" t="s">
        <v>8</v>
      </c>
      <c r="W19" s="1573">
        <f>J19</f>
        <v>100</v>
      </c>
      <c r="X19" s="1566"/>
      <c r="Y19" s="348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86"/>
      <c r="Q20" s="1571"/>
      <c r="R20" s="1572"/>
      <c r="S20" s="1573"/>
      <c r="T20" s="1572"/>
      <c r="U20" s="1573"/>
      <c r="V20" s="1572"/>
      <c r="W20" s="1573"/>
      <c r="X20" s="1566"/>
      <c r="Y20" s="3486"/>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86"/>
      <c r="Q21" s="2579" t="str">
        <f>B21</f>
        <v>基础设施水平</v>
      </c>
      <c r="R21" s="1572" t="s">
        <v>8</v>
      </c>
      <c r="S21" s="1573">
        <f>F21</f>
        <v>100</v>
      </c>
      <c r="T21" s="1572" t="s">
        <v>8</v>
      </c>
      <c r="U21" s="1573">
        <f>H21</f>
        <v>100</v>
      </c>
      <c r="V21" s="1572" t="s">
        <v>8</v>
      </c>
      <c r="W21" s="1573">
        <f>J21</f>
        <v>100</v>
      </c>
      <c r="X21" s="2581"/>
      <c r="Y21" s="3486"/>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86"/>
      <c r="Q22" s="2579"/>
      <c r="R22" s="1572"/>
      <c r="S22" s="1573"/>
      <c r="T22" s="1572"/>
      <c r="U22" s="1573"/>
      <c r="V22" s="1572"/>
      <c r="W22" s="1573"/>
      <c r="X22" s="2581"/>
      <c r="Y22" s="3486"/>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86"/>
      <c r="Q23" s="1571" t="str">
        <f>B23</f>
        <v>环境质量</v>
      </c>
      <c r="R23" s="1572" t="s">
        <v>8</v>
      </c>
      <c r="S23" s="1573">
        <f>F23</f>
        <v>100</v>
      </c>
      <c r="T23" s="1572" t="s">
        <v>8</v>
      </c>
      <c r="U23" s="1573">
        <f>H23</f>
        <v>100</v>
      </c>
      <c r="V23" s="1572" t="s">
        <v>8</v>
      </c>
      <c r="W23" s="1573">
        <f>J23</f>
        <v>100</v>
      </c>
      <c r="X23" s="1566"/>
      <c r="Y23" s="3486"/>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86"/>
      <c r="Q24" s="1571"/>
      <c r="R24" s="1572"/>
      <c r="S24" s="1573"/>
      <c r="T24" s="1572"/>
      <c r="U24" s="1573"/>
      <c r="V24" s="1572"/>
      <c r="W24" s="1573"/>
      <c r="X24" s="1566"/>
      <c r="Y24" s="348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86"/>
      <c r="Q25" s="1571">
        <f>B25</f>
        <v>111</v>
      </c>
      <c r="R25" s="1572" t="s">
        <v>8</v>
      </c>
      <c r="S25" s="1573">
        <f>F25</f>
        <v>100</v>
      </c>
      <c r="T25" s="1572" t="s">
        <v>8</v>
      </c>
      <c r="U25" s="1573">
        <f>H25</f>
        <v>100</v>
      </c>
      <c r="V25" s="1572" t="s">
        <v>8</v>
      </c>
      <c r="W25" s="1573">
        <f>J25</f>
        <v>100</v>
      </c>
      <c r="X25" s="1566"/>
      <c r="Y25" s="348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86"/>
      <c r="Q26" s="1571">
        <f t="shared" ref="Q26:Q40" si="11">B26</f>
        <v>111</v>
      </c>
      <c r="R26" s="1572" t="s">
        <v>8</v>
      </c>
      <c r="S26" s="1573">
        <f>F26</f>
        <v>100</v>
      </c>
      <c r="T26" s="1572" t="s">
        <v>8</v>
      </c>
      <c r="U26" s="1573">
        <f>H26</f>
        <v>100</v>
      </c>
      <c r="V26" s="1572" t="s">
        <v>8</v>
      </c>
      <c r="W26" s="1573">
        <f>J26</f>
        <v>100</v>
      </c>
      <c r="X26" s="1566"/>
      <c r="Y26" s="3486"/>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86"/>
      <c r="Q27" s="1151">
        <f t="shared" si="11"/>
        <v>111</v>
      </c>
      <c r="R27" s="1567" t="s">
        <v>8</v>
      </c>
      <c r="S27" s="1568">
        <f>F27</f>
        <v>100</v>
      </c>
      <c r="T27" s="1567" t="s">
        <v>8</v>
      </c>
      <c r="U27" s="1568">
        <f>H27</f>
        <v>100</v>
      </c>
      <c r="V27" s="1567" t="s">
        <v>8</v>
      </c>
      <c r="W27" s="1568">
        <f>J27</f>
        <v>100</v>
      </c>
      <c r="X27" s="1569"/>
      <c r="Y27" s="3486"/>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86"/>
      <c r="Q28" s="1571">
        <f t="shared" si="11"/>
        <v>111</v>
      </c>
      <c r="R28" s="1572" t="s">
        <v>8</v>
      </c>
      <c r="S28" s="1573">
        <f t="shared" ref="S28:S40" si="12">F28</f>
        <v>100</v>
      </c>
      <c r="T28" s="1572" t="s">
        <v>8</v>
      </c>
      <c r="U28" s="1573">
        <f t="shared" ref="U28:U40" si="13">H28</f>
        <v>100</v>
      </c>
      <c r="V28" s="1572" t="s">
        <v>8</v>
      </c>
      <c r="W28" s="1573">
        <f t="shared" ref="W28:W40" si="14">J28</f>
        <v>100</v>
      </c>
      <c r="X28" s="1566"/>
      <c r="Y28" s="3486"/>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87" t="s">
        <v>549</v>
      </c>
      <c r="Q29" s="1571" t="str">
        <f t="shared" si="11"/>
        <v>建筑类型</v>
      </c>
      <c r="R29" s="1572" t="s">
        <v>8</v>
      </c>
      <c r="S29" s="1573">
        <f t="shared" si="12"/>
        <v>100</v>
      </c>
      <c r="T29" s="1572" t="s">
        <v>8</v>
      </c>
      <c r="U29" s="1573">
        <f t="shared" si="13"/>
        <v>100</v>
      </c>
      <c r="V29" s="1572" t="s">
        <v>8</v>
      </c>
      <c r="W29" s="1573">
        <f t="shared" si="14"/>
        <v>100</v>
      </c>
      <c r="X29" s="1566"/>
      <c r="Y29" s="3488"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88"/>
      <c r="Q30" s="1604" t="str">
        <f t="shared" si="11"/>
        <v>项目建筑规模</v>
      </c>
      <c r="R30" s="1576" t="s">
        <v>8</v>
      </c>
      <c r="S30" s="1577" t="e">
        <f t="shared" si="12"/>
        <v>#N/A</v>
      </c>
      <c r="T30" s="1576" t="s">
        <v>8</v>
      </c>
      <c r="U30" s="1577" t="e">
        <f t="shared" si="13"/>
        <v>#N/A</v>
      </c>
      <c r="V30" s="1576" t="s">
        <v>8</v>
      </c>
      <c r="W30" s="1577" t="e">
        <f t="shared" si="14"/>
        <v>#N/A</v>
      </c>
      <c r="X30" s="1578"/>
      <c r="Y30" s="3488"/>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88"/>
      <c r="Q31" s="1571" t="str">
        <f t="shared" si="11"/>
        <v>建筑结构</v>
      </c>
      <c r="R31" s="1572" t="s">
        <v>8</v>
      </c>
      <c r="S31" s="1573">
        <f t="shared" si="12"/>
        <v>100</v>
      </c>
      <c r="T31" s="1572" t="s">
        <v>8</v>
      </c>
      <c r="U31" s="1573">
        <f t="shared" si="13"/>
        <v>100</v>
      </c>
      <c r="V31" s="1572" t="s">
        <v>8</v>
      </c>
      <c r="W31" s="1573">
        <f t="shared" si="14"/>
        <v>100</v>
      </c>
      <c r="X31" s="1566"/>
      <c r="Y31" s="3488"/>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88"/>
      <c r="Q32" s="1571" t="str">
        <f t="shared" si="11"/>
        <v>公共部分装修</v>
      </c>
      <c r="R32" s="1572" t="s">
        <v>8</v>
      </c>
      <c r="S32" s="1573">
        <f t="shared" si="12"/>
        <v>100</v>
      </c>
      <c r="T32" s="1572" t="s">
        <v>8</v>
      </c>
      <c r="U32" s="1573">
        <f t="shared" si="13"/>
        <v>100</v>
      </c>
      <c r="V32" s="1572" t="s">
        <v>8</v>
      </c>
      <c r="W32" s="1573">
        <f t="shared" si="14"/>
        <v>100</v>
      </c>
      <c r="X32" s="1566"/>
      <c r="Y32" s="3488"/>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88"/>
      <c r="Q33" s="1571" t="str">
        <f t="shared" si="11"/>
        <v>成新度</v>
      </c>
      <c r="R33" s="1572" t="s">
        <v>8</v>
      </c>
      <c r="S33" s="1573" t="e">
        <f t="shared" si="12"/>
        <v>#N/A</v>
      </c>
      <c r="T33" s="1572" t="s">
        <v>8</v>
      </c>
      <c r="U33" s="1573" t="e">
        <f t="shared" si="13"/>
        <v>#N/A</v>
      </c>
      <c r="V33" s="1572" t="s">
        <v>8</v>
      </c>
      <c r="W33" s="1573" t="e">
        <f t="shared" si="14"/>
        <v>#N/A</v>
      </c>
      <c r="X33" s="1566"/>
      <c r="Y33" s="3488"/>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88"/>
      <c r="Q34" s="1151" t="str">
        <f t="shared" si="11"/>
        <v>物业管理</v>
      </c>
      <c r="R34" s="1567" t="s">
        <v>8</v>
      </c>
      <c r="S34" s="1568">
        <f t="shared" si="12"/>
        <v>100</v>
      </c>
      <c r="T34" s="1567" t="s">
        <v>8</v>
      </c>
      <c r="U34" s="1568">
        <f t="shared" si="13"/>
        <v>100</v>
      </c>
      <c r="V34" s="1567" t="s">
        <v>8</v>
      </c>
      <c r="W34" s="1568">
        <f t="shared" si="14"/>
        <v>100</v>
      </c>
      <c r="X34" s="1569"/>
      <c r="Y34" s="3488"/>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88" t="s">
        <v>549</v>
      </c>
      <c r="Q35" s="1571" t="str">
        <f t="shared" si="11"/>
        <v>市政基础设施</v>
      </c>
      <c r="R35" s="1572" t="s">
        <v>8</v>
      </c>
      <c r="S35" s="1573">
        <f t="shared" si="12"/>
        <v>100</v>
      </c>
      <c r="T35" s="1572" t="s">
        <v>8</v>
      </c>
      <c r="U35" s="1573">
        <f t="shared" si="13"/>
        <v>100</v>
      </c>
      <c r="V35" s="1572" t="s">
        <v>8</v>
      </c>
      <c r="W35" s="1573">
        <f t="shared" si="14"/>
        <v>100</v>
      </c>
      <c r="X35" s="1566"/>
      <c r="Y35" s="3488"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88"/>
      <c r="Q36" s="1571" t="str">
        <f t="shared" si="11"/>
        <v>内部装修</v>
      </c>
      <c r="R36" s="1572" t="s">
        <v>8</v>
      </c>
      <c r="S36" s="1573">
        <f t="shared" si="12"/>
        <v>100</v>
      </c>
      <c r="T36" s="1572" t="s">
        <v>8</v>
      </c>
      <c r="U36" s="1573">
        <f t="shared" si="13"/>
        <v>100</v>
      </c>
      <c r="V36" s="1572" t="s">
        <v>8</v>
      </c>
      <c r="W36" s="1573">
        <f t="shared" si="14"/>
        <v>100</v>
      </c>
      <c r="X36" s="1566"/>
      <c r="Y36" s="3488"/>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88"/>
      <c r="Q37" s="1571" t="str">
        <f t="shared" si="11"/>
        <v>内部装修状况</v>
      </c>
      <c r="R37" s="1572" t="s">
        <v>8</v>
      </c>
      <c r="S37" s="1573">
        <f t="shared" si="12"/>
        <v>100</v>
      </c>
      <c r="T37" s="1572" t="s">
        <v>8</v>
      </c>
      <c r="U37" s="1573">
        <f t="shared" si="13"/>
        <v>100</v>
      </c>
      <c r="V37" s="1572" t="s">
        <v>8</v>
      </c>
      <c r="W37" s="1573">
        <f t="shared" si="14"/>
        <v>100</v>
      </c>
      <c r="X37" s="1566"/>
      <c r="Y37" s="3488"/>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88"/>
      <c r="Q38" s="1604">
        <f t="shared" si="11"/>
        <v>111</v>
      </c>
      <c r="R38" s="1576" t="s">
        <v>8</v>
      </c>
      <c r="S38" s="1577">
        <f t="shared" si="12"/>
        <v>100</v>
      </c>
      <c r="T38" s="1576" t="s">
        <v>8</v>
      </c>
      <c r="U38" s="1577">
        <f t="shared" si="13"/>
        <v>100</v>
      </c>
      <c r="V38" s="1576" t="s">
        <v>8</v>
      </c>
      <c r="W38" s="1577">
        <f t="shared" si="14"/>
        <v>100</v>
      </c>
      <c r="X38" s="1578"/>
      <c r="Y38" s="3488"/>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88"/>
      <c r="Q39" s="1571">
        <f t="shared" si="11"/>
        <v>111</v>
      </c>
      <c r="R39" s="1572" t="s">
        <v>8</v>
      </c>
      <c r="S39" s="1573">
        <f t="shared" si="12"/>
        <v>100</v>
      </c>
      <c r="T39" s="1572" t="s">
        <v>8</v>
      </c>
      <c r="U39" s="1573">
        <f t="shared" si="13"/>
        <v>100</v>
      </c>
      <c r="V39" s="1572" t="s">
        <v>8</v>
      </c>
      <c r="W39" s="1573">
        <f t="shared" si="14"/>
        <v>100</v>
      </c>
      <c r="X39" s="1566"/>
      <c r="Y39" s="3488"/>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7"/>
      <c r="Q40" s="1571">
        <f t="shared" si="11"/>
        <v>111</v>
      </c>
      <c r="R40" s="1572" t="s">
        <v>8</v>
      </c>
      <c r="S40" s="1573">
        <f t="shared" si="12"/>
        <v>100</v>
      </c>
      <c r="T40" s="1572" t="s">
        <v>8</v>
      </c>
      <c r="U40" s="1573">
        <f t="shared" si="13"/>
        <v>100</v>
      </c>
      <c r="V40" s="1572" t="s">
        <v>8</v>
      </c>
      <c r="W40" s="1573">
        <f t="shared" si="14"/>
        <v>100</v>
      </c>
      <c r="X40" s="1566"/>
      <c r="Y40" s="3547"/>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49" t="str">
        <f>A41</f>
        <v>成交单价（元/平方米）</v>
      </c>
      <c r="Q41" s="3449"/>
      <c r="R41" s="3545">
        <f>E41</f>
        <v>0</v>
      </c>
      <c r="S41" s="3545"/>
      <c r="T41" s="3545">
        <f>G41</f>
        <v>0</v>
      </c>
      <c r="U41" s="3545"/>
      <c r="V41" s="3545">
        <f>I41</f>
        <v>0</v>
      </c>
      <c r="W41" s="3545"/>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49" t="str">
        <f>A42</f>
        <v>比较价格（元/平方米）</v>
      </c>
      <c r="Q42" s="3449"/>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46" t="str">
        <f>A43</f>
        <v>估价对象XX用房的比较价格（楼面单价，元/平方米）</v>
      </c>
      <c r="Q43" s="3447"/>
      <c r="R43" s="3546" t="e">
        <f>IF(F1="售价",ROUND(AVERAGE(R42:V42),0),ROUND(AVERAGE(R42:V42),1))</f>
        <v>#DIV/0!</v>
      </c>
      <c r="S43" s="3546"/>
      <c r="T43" s="3546"/>
      <c r="U43" s="3546"/>
      <c r="V43" s="3546"/>
      <c r="W43" s="354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5" t="s">
        <v>797</v>
      </c>
      <c r="D4" s="3456"/>
      <c r="E4" s="3455" t="s">
        <v>798</v>
      </c>
      <c r="F4" s="3456"/>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c r="A5" s="515"/>
      <c r="B5" s="516"/>
      <c r="C5" s="3471" t="s">
        <v>2924</v>
      </c>
      <c r="D5" s="3472"/>
      <c r="E5" s="3471" t="s">
        <v>2925</v>
      </c>
      <c r="F5" s="3472"/>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76" t="s">
        <v>2928</v>
      </c>
      <c r="F6" s="347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86"/>
      <c r="Q24" s="1571">
        <f t="shared" ref="Q24:Q36"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8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8"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88"/>
      <c r="Q27" s="1604" t="str">
        <f t="shared" si="11"/>
        <v>项目停车位配比</v>
      </c>
      <c r="R27" s="1576" t="s">
        <v>8</v>
      </c>
      <c r="S27" s="1577">
        <f t="shared" si="12"/>
        <v>100</v>
      </c>
      <c r="T27" s="1576" t="s">
        <v>8</v>
      </c>
      <c r="U27" s="1577">
        <f t="shared" si="13"/>
        <v>100</v>
      </c>
      <c r="V27" s="1576" t="s">
        <v>8</v>
      </c>
      <c r="W27" s="1577">
        <f t="shared" si="14"/>
        <v>100</v>
      </c>
      <c r="X27" s="1578"/>
      <c r="Y27" s="3488"/>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88"/>
      <c r="Q28" s="1571" t="str">
        <f t="shared" si="11"/>
        <v>公共部分装修</v>
      </c>
      <c r="R28" s="1572" t="s">
        <v>8</v>
      </c>
      <c r="S28" s="1573">
        <f t="shared" si="12"/>
        <v>100</v>
      </c>
      <c r="T28" s="1572" t="s">
        <v>8</v>
      </c>
      <c r="U28" s="1573">
        <f t="shared" si="13"/>
        <v>100</v>
      </c>
      <c r="V28" s="1572" t="s">
        <v>8</v>
      </c>
      <c r="W28" s="1573">
        <f t="shared" si="14"/>
        <v>100</v>
      </c>
      <c r="X28" s="1566"/>
      <c r="Y28" s="3488"/>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88"/>
      <c r="Q29" s="1571" t="str">
        <f t="shared" si="11"/>
        <v>成新率</v>
      </c>
      <c r="R29" s="1572" t="s">
        <v>8</v>
      </c>
      <c r="S29" s="1573" t="e">
        <f t="shared" si="12"/>
        <v>#N/A</v>
      </c>
      <c r="T29" s="1572" t="s">
        <v>8</v>
      </c>
      <c r="U29" s="1573" t="e">
        <f t="shared" si="13"/>
        <v>#N/A</v>
      </c>
      <c r="V29" s="1572" t="s">
        <v>8</v>
      </c>
      <c r="W29" s="1573" t="e">
        <f t="shared" si="14"/>
        <v>#N/A</v>
      </c>
      <c r="X29" s="1566"/>
      <c r="Y29" s="3488"/>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88"/>
      <c r="Q30" s="1571" t="str">
        <f t="shared" si="11"/>
        <v>物业等级</v>
      </c>
      <c r="R30" s="1572" t="s">
        <v>8</v>
      </c>
      <c r="S30" s="1573">
        <f t="shared" si="12"/>
        <v>100</v>
      </c>
      <c r="T30" s="1572" t="s">
        <v>8</v>
      </c>
      <c r="U30" s="1573">
        <f t="shared" si="13"/>
        <v>100</v>
      </c>
      <c r="V30" s="1572" t="s">
        <v>8</v>
      </c>
      <c r="W30" s="1573">
        <f t="shared" si="14"/>
        <v>100</v>
      </c>
      <c r="X30" s="1566"/>
      <c r="Y30" s="3488"/>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88"/>
      <c r="Q31" s="1151" t="str">
        <f t="shared" si="11"/>
        <v>停车位面积</v>
      </c>
      <c r="R31" s="1567" t="s">
        <v>8</v>
      </c>
      <c r="S31" s="1568" t="e">
        <f t="shared" si="12"/>
        <v>#N/A</v>
      </c>
      <c r="T31" s="1567" t="s">
        <v>8</v>
      </c>
      <c r="U31" s="1568" t="e">
        <f t="shared" si="13"/>
        <v>#N/A</v>
      </c>
      <c r="V31" s="1567" t="s">
        <v>8</v>
      </c>
      <c r="W31" s="1568" t="e">
        <f t="shared" si="14"/>
        <v>#N/A</v>
      </c>
      <c r="X31" s="1569"/>
      <c r="Y31" s="3488"/>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88" t="s">
        <v>549</v>
      </c>
      <c r="Q32" s="1571" t="str">
        <f t="shared" si="11"/>
        <v>车位类型</v>
      </c>
      <c r="R32" s="1572" t="s">
        <v>8</v>
      </c>
      <c r="S32" s="1573">
        <f t="shared" si="12"/>
        <v>100</v>
      </c>
      <c r="T32" s="1572" t="s">
        <v>8</v>
      </c>
      <c r="U32" s="1573">
        <f t="shared" si="13"/>
        <v>100</v>
      </c>
      <c r="V32" s="1572" t="s">
        <v>8</v>
      </c>
      <c r="W32" s="1573">
        <f t="shared" si="14"/>
        <v>100</v>
      </c>
      <c r="X32" s="1566"/>
      <c r="Y32" s="3488"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88"/>
      <c r="Q33" s="1571" t="str">
        <f t="shared" si="11"/>
        <v>是否直接入户</v>
      </c>
      <c r="R33" s="1572" t="s">
        <v>8</v>
      </c>
      <c r="S33" s="1573">
        <f t="shared" si="12"/>
        <v>100</v>
      </c>
      <c r="T33" s="1572" t="s">
        <v>8</v>
      </c>
      <c r="U33" s="1573">
        <f t="shared" si="13"/>
        <v>100</v>
      </c>
      <c r="V33" s="1572" t="s">
        <v>8</v>
      </c>
      <c r="W33" s="1573">
        <f t="shared" si="14"/>
        <v>100</v>
      </c>
      <c r="X33" s="1566"/>
      <c r="Y33" s="3488"/>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88"/>
      <c r="Q35" s="1604">
        <f t="shared" si="11"/>
        <v>111</v>
      </c>
      <c r="R35" s="1576" t="s">
        <v>8</v>
      </c>
      <c r="S35" s="1577">
        <f t="shared" si="12"/>
        <v>100</v>
      </c>
      <c r="T35" s="1576" t="s">
        <v>8</v>
      </c>
      <c r="U35" s="1577">
        <f t="shared" si="13"/>
        <v>100</v>
      </c>
      <c r="V35" s="1576" t="s">
        <v>8</v>
      </c>
      <c r="W35" s="1577">
        <f t="shared" si="14"/>
        <v>100</v>
      </c>
      <c r="X35" s="1578"/>
      <c r="Y35" s="3488"/>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88"/>
      <c r="Q36" s="1571">
        <f t="shared" si="11"/>
        <v>111</v>
      </c>
      <c r="R36" s="1572" t="s">
        <v>8</v>
      </c>
      <c r="S36" s="1573">
        <f t="shared" si="12"/>
        <v>100</v>
      </c>
      <c r="T36" s="1572" t="s">
        <v>8</v>
      </c>
      <c r="U36" s="1573">
        <f t="shared" si="13"/>
        <v>100</v>
      </c>
      <c r="V36" s="1572" t="s">
        <v>8</v>
      </c>
      <c r="W36" s="1573">
        <f t="shared" si="14"/>
        <v>100</v>
      </c>
      <c r="X36" s="1566"/>
      <c r="Y36" s="3488"/>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49" t="str">
        <f>A37</f>
        <v>成交单价</v>
      </c>
      <c r="Q37" s="3449"/>
      <c r="R37" s="3545">
        <f>E37</f>
        <v>0</v>
      </c>
      <c r="S37" s="3545"/>
      <c r="T37" s="3545">
        <f>G37</f>
        <v>0</v>
      </c>
      <c r="U37" s="3545"/>
      <c r="V37" s="3545">
        <f>I37</f>
        <v>0</v>
      </c>
      <c r="W37" s="3545"/>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49" t="str">
        <f>A38</f>
        <v>比较价格（元/平方米）</v>
      </c>
      <c r="Q38" s="3449"/>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46" t="str">
        <f>A39</f>
        <v>估价对象XX用房的比较价格（楼面单价，元/平方米）</v>
      </c>
      <c r="Q39" s="3447"/>
      <c r="R39" s="3546" t="e">
        <f>IF(F1="售价",ROUND(AVERAGE(R38:V38),0),ROUND(AVERAGE(R38:V38),1))</f>
        <v>#DIV/0!</v>
      </c>
      <c r="S39" s="3546"/>
      <c r="T39" s="3546"/>
      <c r="U39" s="3546"/>
      <c r="V39" s="3546"/>
      <c r="W39" s="354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55" t="s">
        <v>797</v>
      </c>
      <c r="D4" s="3456"/>
      <c r="E4" s="3496" t="s">
        <v>798</v>
      </c>
      <c r="F4" s="3497"/>
      <c r="G4" s="3455" t="s">
        <v>799</v>
      </c>
      <c r="H4" s="3456"/>
      <c r="I4" s="3455" t="s">
        <v>800</v>
      </c>
      <c r="J4" s="3456"/>
      <c r="K4" s="514" t="s">
        <v>801</v>
      </c>
      <c r="L4" s="2133"/>
      <c r="M4" s="2134"/>
      <c r="N4" s="2134"/>
      <c r="O4" s="2134"/>
      <c r="P4" s="3457" t="s">
        <v>802</v>
      </c>
      <c r="Q4" s="3458"/>
      <c r="R4" s="3463" t="s">
        <v>798</v>
      </c>
      <c r="S4" s="3464"/>
      <c r="T4" s="3463" t="s">
        <v>799</v>
      </c>
      <c r="U4" s="3464"/>
      <c r="V4" s="3450" t="s">
        <v>800</v>
      </c>
      <c r="W4" s="3450"/>
      <c r="X4" s="1566"/>
      <c r="Y4" s="3463" t="s">
        <v>802</v>
      </c>
      <c r="Z4" s="3464"/>
      <c r="AA4" s="3452" t="s">
        <v>798</v>
      </c>
      <c r="AB4" s="3453" t="s">
        <v>799</v>
      </c>
      <c r="AC4" s="3452" t="s">
        <v>800</v>
      </c>
    </row>
    <row r="5" spans="1:29">
      <c r="A5" s="515"/>
      <c r="B5" s="516"/>
      <c r="C5" s="3471" t="s">
        <v>2924</v>
      </c>
      <c r="D5" s="3472"/>
      <c r="E5" s="3498" t="s">
        <v>2925</v>
      </c>
      <c r="F5" s="3499"/>
      <c r="G5" s="3471" t="s">
        <v>2926</v>
      </c>
      <c r="H5" s="3472"/>
      <c r="I5" s="3471" t="s">
        <v>2927</v>
      </c>
      <c r="J5" s="3472"/>
      <c r="K5" s="514"/>
      <c r="L5" s="2133"/>
      <c r="M5" s="2134"/>
      <c r="N5" s="2134"/>
      <c r="O5" s="2134"/>
      <c r="P5" s="3459"/>
      <c r="Q5" s="3460"/>
      <c r="R5" s="3465"/>
      <c r="S5" s="3466"/>
      <c r="T5" s="3465"/>
      <c r="U5" s="3466"/>
      <c r="V5" s="3450"/>
      <c r="W5" s="3450"/>
      <c r="X5" s="1566"/>
      <c r="Y5" s="3465"/>
      <c r="Z5" s="3466"/>
      <c r="AA5" s="3453"/>
      <c r="AB5" s="3453"/>
      <c r="AC5" s="3453"/>
    </row>
    <row r="6" spans="1:29" ht="15" thickBot="1">
      <c r="A6" s="517"/>
      <c r="B6" s="518"/>
      <c r="C6" s="3469" t="s">
        <v>2928</v>
      </c>
      <c r="D6" s="3470"/>
      <c r="E6" s="3494" t="s">
        <v>2928</v>
      </c>
      <c r="F6" s="3495"/>
      <c r="G6" s="3469" t="s">
        <v>2928</v>
      </c>
      <c r="H6" s="3470"/>
      <c r="I6" s="3469" t="s">
        <v>2928</v>
      </c>
      <c r="J6" s="3470"/>
      <c r="K6" s="514" t="s">
        <v>527</v>
      </c>
      <c r="L6" s="2133"/>
      <c r="M6" s="2134"/>
      <c r="N6" s="2134"/>
      <c r="O6" s="2134"/>
      <c r="P6" s="3461"/>
      <c r="Q6" s="3462"/>
      <c r="R6" s="3465"/>
      <c r="S6" s="3466"/>
      <c r="T6" s="3467"/>
      <c r="U6" s="3468"/>
      <c r="V6" s="3450"/>
      <c r="W6" s="3450"/>
      <c r="X6" s="1566"/>
      <c r="Y6" s="3467"/>
      <c r="Z6" s="3468"/>
      <c r="AA6" s="3454"/>
      <c r="AB6" s="3454"/>
      <c r="AC6" s="3454"/>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82" t="s">
        <v>529</v>
      </c>
      <c r="Q7" s="3484"/>
      <c r="R7" s="1567" t="s">
        <v>8</v>
      </c>
      <c r="S7" s="1568">
        <f t="shared" ref="S7:S14" si="0">F7</f>
        <v>0</v>
      </c>
      <c r="T7" s="1567" t="s">
        <v>8</v>
      </c>
      <c r="U7" s="1568">
        <f t="shared" ref="U7:U14" si="1">H7</f>
        <v>0</v>
      </c>
      <c r="V7" s="1567" t="s">
        <v>8</v>
      </c>
      <c r="W7" s="1568">
        <f t="shared" ref="W7:W14" si="2">J7</f>
        <v>0</v>
      </c>
      <c r="X7" s="1569"/>
      <c r="Y7" s="3482" t="s">
        <v>529</v>
      </c>
      <c r="Z7" s="3483"/>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82" t="s">
        <v>532</v>
      </c>
      <c r="Q8" s="3483"/>
      <c r="R8" s="1567" t="s">
        <v>8</v>
      </c>
      <c r="S8" s="1568">
        <f t="shared" si="0"/>
        <v>0</v>
      </c>
      <c r="T8" s="1567" t="s">
        <v>8</v>
      </c>
      <c r="U8" s="1568">
        <f t="shared" si="1"/>
        <v>0</v>
      </c>
      <c r="V8" s="1567" t="s">
        <v>8</v>
      </c>
      <c r="W8" s="1568">
        <f t="shared" si="2"/>
        <v>0</v>
      </c>
      <c r="X8" s="1569"/>
      <c r="Y8" s="3482" t="s">
        <v>532</v>
      </c>
      <c r="Z8" s="3483"/>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49" t="s">
        <v>534</v>
      </c>
      <c r="Q9" s="1151" t="str">
        <f t="shared" ref="Q9:Q14" si="6">B9</f>
        <v>用途</v>
      </c>
      <c r="R9" s="1567" t="s">
        <v>8</v>
      </c>
      <c r="S9" s="1568">
        <f t="shared" si="0"/>
        <v>100</v>
      </c>
      <c r="T9" s="1567" t="s">
        <v>8</v>
      </c>
      <c r="U9" s="1568">
        <f t="shared" si="1"/>
        <v>100</v>
      </c>
      <c r="V9" s="1567" t="s">
        <v>8</v>
      </c>
      <c r="W9" s="1568">
        <f t="shared" si="2"/>
        <v>100</v>
      </c>
      <c r="X9" s="1569"/>
      <c r="Y9" s="3395"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49"/>
      <c r="Q10" s="1151" t="str">
        <f t="shared" si="6"/>
        <v>土地使用年限（年）</v>
      </c>
      <c r="R10" s="1567" t="s">
        <v>8</v>
      </c>
      <c r="S10" s="1568">
        <f t="shared" si="0"/>
        <v>100</v>
      </c>
      <c r="T10" s="1567" t="s">
        <v>8</v>
      </c>
      <c r="U10" s="1568">
        <f t="shared" si="1"/>
        <v>100</v>
      </c>
      <c r="V10" s="1567" t="s">
        <v>8</v>
      </c>
      <c r="W10" s="1568">
        <f t="shared" si="2"/>
        <v>100</v>
      </c>
      <c r="X10" s="1569"/>
      <c r="Y10" s="3395"/>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49"/>
      <c r="Q11" s="1151">
        <f t="shared" si="6"/>
        <v>111</v>
      </c>
      <c r="R11" s="1567" t="s">
        <v>8</v>
      </c>
      <c r="S11" s="1568">
        <f t="shared" si="0"/>
        <v>100</v>
      </c>
      <c r="T11" s="1567" t="s">
        <v>8</v>
      </c>
      <c r="U11" s="1568">
        <f t="shared" si="1"/>
        <v>100</v>
      </c>
      <c r="V11" s="1567" t="s">
        <v>8</v>
      </c>
      <c r="W11" s="1568">
        <f t="shared" si="2"/>
        <v>100</v>
      </c>
      <c r="X11" s="1569"/>
      <c r="Y11" s="3395"/>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49"/>
      <c r="Q12" s="1151">
        <f t="shared" si="6"/>
        <v>111</v>
      </c>
      <c r="R12" s="1567" t="s">
        <v>8</v>
      </c>
      <c r="S12" s="1568">
        <f t="shared" si="0"/>
        <v>100</v>
      </c>
      <c r="T12" s="1567" t="s">
        <v>8</v>
      </c>
      <c r="U12" s="1568">
        <f t="shared" si="1"/>
        <v>100</v>
      </c>
      <c r="V12" s="1567" t="s">
        <v>8</v>
      </c>
      <c r="W12" s="1568">
        <f t="shared" si="2"/>
        <v>100</v>
      </c>
      <c r="X12" s="1569"/>
      <c r="Y12" s="3395"/>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49"/>
      <c r="Q13" s="1151">
        <f t="shared" si="6"/>
        <v>111</v>
      </c>
      <c r="R13" s="1567" t="s">
        <v>8</v>
      </c>
      <c r="S13" s="1568">
        <f t="shared" si="0"/>
        <v>100</v>
      </c>
      <c r="T13" s="1567" t="s">
        <v>8</v>
      </c>
      <c r="U13" s="1568">
        <f t="shared" si="1"/>
        <v>100</v>
      </c>
      <c r="V13" s="1567" t="s">
        <v>8</v>
      </c>
      <c r="W13" s="1568">
        <f t="shared" si="2"/>
        <v>100</v>
      </c>
      <c r="X13" s="1569"/>
      <c r="Y13" s="3395"/>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85" t="s">
        <v>539</v>
      </c>
      <c r="Q14" s="1571" t="str">
        <f t="shared" si="6"/>
        <v>交通便捷度</v>
      </c>
      <c r="R14" s="1572" t="s">
        <v>8</v>
      </c>
      <c r="S14" s="1573">
        <f t="shared" si="0"/>
        <v>100</v>
      </c>
      <c r="T14" s="1572" t="s">
        <v>8</v>
      </c>
      <c r="U14" s="1573">
        <f t="shared" si="1"/>
        <v>100</v>
      </c>
      <c r="V14" s="1572" t="s">
        <v>8</v>
      </c>
      <c r="W14" s="1573">
        <f t="shared" si="2"/>
        <v>100</v>
      </c>
      <c r="X14" s="1566"/>
      <c r="Y14" s="3485"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86"/>
      <c r="Q15" s="1571"/>
      <c r="R15" s="1572"/>
      <c r="S15" s="1573"/>
      <c r="T15" s="1572"/>
      <c r="U15" s="1573"/>
      <c r="V15" s="1572"/>
      <c r="W15" s="1573"/>
      <c r="X15" s="1566"/>
      <c r="Y15" s="3486"/>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86"/>
      <c r="Q16" s="1571" t="str">
        <f>B16</f>
        <v>公共配套设施</v>
      </c>
      <c r="R16" s="1572" t="s">
        <v>8</v>
      </c>
      <c r="S16" s="1573">
        <f>F16</f>
        <v>100</v>
      </c>
      <c r="T16" s="1572" t="s">
        <v>8</v>
      </c>
      <c r="U16" s="1573">
        <f>H16</f>
        <v>100</v>
      </c>
      <c r="V16" s="1572" t="s">
        <v>8</v>
      </c>
      <c r="W16" s="1573">
        <f>J16</f>
        <v>100</v>
      </c>
      <c r="X16" s="1566"/>
      <c r="Y16" s="348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86"/>
      <c r="Q17" s="1571"/>
      <c r="R17" s="1572"/>
      <c r="S17" s="1573"/>
      <c r="T17" s="1572"/>
      <c r="U17" s="1573"/>
      <c r="V17" s="1572"/>
      <c r="W17" s="1573"/>
      <c r="X17" s="1566"/>
      <c r="Y17" s="3486"/>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86"/>
      <c r="Q18" s="2579" t="str">
        <f>B18</f>
        <v>基础设施水平</v>
      </c>
      <c r="R18" s="1572" t="s">
        <v>8</v>
      </c>
      <c r="S18" s="1573">
        <f>F18</f>
        <v>100</v>
      </c>
      <c r="T18" s="1572" t="s">
        <v>8</v>
      </c>
      <c r="U18" s="1573">
        <f>H18</f>
        <v>100</v>
      </c>
      <c r="V18" s="1572" t="s">
        <v>8</v>
      </c>
      <c r="W18" s="1573">
        <f>J18</f>
        <v>100</v>
      </c>
      <c r="X18" s="2581"/>
      <c r="Y18" s="3486"/>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86"/>
      <c r="Q19" s="2579"/>
      <c r="R19" s="1572"/>
      <c r="S19" s="1573"/>
      <c r="T19" s="1572"/>
      <c r="U19" s="1573"/>
      <c r="V19" s="1572"/>
      <c r="W19" s="1573"/>
      <c r="X19" s="2581"/>
      <c r="Y19" s="3486"/>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86"/>
      <c r="Q20" s="1571" t="str">
        <f>B20</f>
        <v>自然及人文环境</v>
      </c>
      <c r="R20" s="1572" t="s">
        <v>8</v>
      </c>
      <c r="S20" s="1573">
        <f>F20</f>
        <v>100</v>
      </c>
      <c r="T20" s="1572" t="s">
        <v>8</v>
      </c>
      <c r="U20" s="1573">
        <f>H20</f>
        <v>100</v>
      </c>
      <c r="V20" s="1572" t="s">
        <v>8</v>
      </c>
      <c r="W20" s="1573">
        <f>J20</f>
        <v>100</v>
      </c>
      <c r="X20" s="1566"/>
      <c r="Y20" s="348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86"/>
      <c r="Q21" s="1571"/>
      <c r="R21" s="1572"/>
      <c r="S21" s="1573"/>
      <c r="T21" s="1572"/>
      <c r="U21" s="1573"/>
      <c r="V21" s="1572"/>
      <c r="W21" s="1573"/>
      <c r="X21" s="1566"/>
      <c r="Y21" s="348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86"/>
      <c r="Q22" s="1571" t="str">
        <f>B22</f>
        <v>楼层</v>
      </c>
      <c r="R22" s="1572" t="s">
        <v>8</v>
      </c>
      <c r="S22" s="1573">
        <f>F22</f>
        <v>100</v>
      </c>
      <c r="T22" s="1572" t="s">
        <v>8</v>
      </c>
      <c r="U22" s="1573">
        <f>H22</f>
        <v>100</v>
      </c>
      <c r="V22" s="1572" t="s">
        <v>8</v>
      </c>
      <c r="W22" s="1573">
        <f>J22</f>
        <v>100</v>
      </c>
      <c r="X22" s="1566"/>
      <c r="Y22" s="348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86"/>
      <c r="Q23" s="1571">
        <f>B23</f>
        <v>111</v>
      </c>
      <c r="R23" s="1572" t="s">
        <v>8</v>
      </c>
      <c r="S23" s="1573">
        <f>F23</f>
        <v>100</v>
      </c>
      <c r="T23" s="1572" t="s">
        <v>8</v>
      </c>
      <c r="U23" s="1573">
        <f>H23</f>
        <v>100</v>
      </c>
      <c r="V23" s="1572" t="s">
        <v>8</v>
      </c>
      <c r="W23" s="1573">
        <f>J23</f>
        <v>100</v>
      </c>
      <c r="X23" s="1566"/>
      <c r="Y23" s="348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86"/>
      <c r="Q24" s="1571">
        <f t="shared" ref="Q24:Q34" si="11">B24</f>
        <v>111</v>
      </c>
      <c r="R24" s="1572" t="s">
        <v>8</v>
      </c>
      <c r="S24" s="1573">
        <f>F24</f>
        <v>100</v>
      </c>
      <c r="T24" s="1572" t="s">
        <v>8</v>
      </c>
      <c r="U24" s="1573">
        <f>H24</f>
        <v>100</v>
      </c>
      <c r="V24" s="1572" t="s">
        <v>8</v>
      </c>
      <c r="W24" s="1573">
        <f>J24</f>
        <v>100</v>
      </c>
      <c r="X24" s="1566"/>
      <c r="Y24" s="3486"/>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86"/>
      <c r="Q25" s="1151">
        <f t="shared" si="11"/>
        <v>111</v>
      </c>
      <c r="R25" s="1567" t="s">
        <v>8</v>
      </c>
      <c r="S25" s="1568">
        <f>F25</f>
        <v>100</v>
      </c>
      <c r="T25" s="1567" t="s">
        <v>8</v>
      </c>
      <c r="U25" s="1568">
        <f>H25</f>
        <v>100</v>
      </c>
      <c r="V25" s="1567" t="s">
        <v>8</v>
      </c>
      <c r="W25" s="1568">
        <f>J25</f>
        <v>100</v>
      </c>
      <c r="X25" s="1569"/>
      <c r="Y25" s="3486"/>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8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8"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88"/>
      <c r="Q27" s="1604" t="str">
        <f t="shared" si="11"/>
        <v>成新率</v>
      </c>
      <c r="R27" s="1576" t="s">
        <v>8</v>
      </c>
      <c r="S27" s="1577" t="e">
        <f t="shared" si="12"/>
        <v>#N/A</v>
      </c>
      <c r="T27" s="1576" t="s">
        <v>8</v>
      </c>
      <c r="U27" s="1577" t="e">
        <f t="shared" si="13"/>
        <v>#N/A</v>
      </c>
      <c r="V27" s="1576" t="s">
        <v>8</v>
      </c>
      <c r="W27" s="1577" t="e">
        <f t="shared" si="14"/>
        <v>#N/A</v>
      </c>
      <c r="X27" s="1578"/>
      <c r="Y27" s="3488"/>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88"/>
      <c r="Q28" s="1571" t="str">
        <f t="shared" si="11"/>
        <v>物业等级</v>
      </c>
      <c r="R28" s="1572" t="s">
        <v>8</v>
      </c>
      <c r="S28" s="1573">
        <f t="shared" si="12"/>
        <v>100</v>
      </c>
      <c r="T28" s="1572" t="s">
        <v>8</v>
      </c>
      <c r="U28" s="1573">
        <f t="shared" si="13"/>
        <v>100</v>
      </c>
      <c r="V28" s="1572" t="s">
        <v>8</v>
      </c>
      <c r="W28" s="1573">
        <f t="shared" si="14"/>
        <v>100</v>
      </c>
      <c r="X28" s="1566"/>
      <c r="Y28" s="3488"/>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88"/>
      <c r="Q29" s="1571" t="str">
        <f t="shared" si="11"/>
        <v>有无电梯</v>
      </c>
      <c r="R29" s="1572" t="s">
        <v>8</v>
      </c>
      <c r="S29" s="1573">
        <f t="shared" si="12"/>
        <v>100</v>
      </c>
      <c r="T29" s="1572" t="s">
        <v>8</v>
      </c>
      <c r="U29" s="1573">
        <f t="shared" si="13"/>
        <v>100</v>
      </c>
      <c r="V29" s="1572" t="s">
        <v>8</v>
      </c>
      <c r="W29" s="1573">
        <f t="shared" si="14"/>
        <v>100</v>
      </c>
      <c r="X29" s="1566"/>
      <c r="Y29" s="3488"/>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88"/>
      <c r="Q30" s="1571" t="str">
        <f t="shared" si="11"/>
        <v>建筑面积</v>
      </c>
      <c r="R30" s="1572" t="s">
        <v>8</v>
      </c>
      <c r="S30" s="1573" t="e">
        <f t="shared" si="12"/>
        <v>#N/A</v>
      </c>
      <c r="T30" s="1572" t="s">
        <v>8</v>
      </c>
      <c r="U30" s="1573" t="e">
        <f t="shared" si="13"/>
        <v>#N/A</v>
      </c>
      <c r="V30" s="1572" t="s">
        <v>8</v>
      </c>
      <c r="W30" s="1573" t="e">
        <f t="shared" si="14"/>
        <v>#N/A</v>
      </c>
      <c r="X30" s="1566"/>
      <c r="Y30" s="3488"/>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88"/>
      <c r="Q31" s="1151" t="str">
        <f t="shared" si="11"/>
        <v>是否封闭</v>
      </c>
      <c r="R31" s="1567" t="s">
        <v>8</v>
      </c>
      <c r="S31" s="1568">
        <f t="shared" si="12"/>
        <v>100</v>
      </c>
      <c r="T31" s="1567" t="s">
        <v>8</v>
      </c>
      <c r="U31" s="1568">
        <f t="shared" si="13"/>
        <v>100</v>
      </c>
      <c r="V31" s="1567" t="s">
        <v>8</v>
      </c>
      <c r="W31" s="1568">
        <f t="shared" si="14"/>
        <v>100</v>
      </c>
      <c r="X31" s="1569"/>
      <c r="Y31" s="3488"/>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88" t="s">
        <v>549</v>
      </c>
      <c r="Q32" s="1571">
        <f t="shared" si="11"/>
        <v>111</v>
      </c>
      <c r="R32" s="1572" t="s">
        <v>8</v>
      </c>
      <c r="S32" s="1573">
        <f t="shared" si="12"/>
        <v>100</v>
      </c>
      <c r="T32" s="1572" t="s">
        <v>8</v>
      </c>
      <c r="U32" s="1573">
        <f t="shared" si="13"/>
        <v>100</v>
      </c>
      <c r="V32" s="1572" t="s">
        <v>8</v>
      </c>
      <c r="W32" s="1573">
        <f t="shared" si="14"/>
        <v>100</v>
      </c>
      <c r="X32" s="1566"/>
      <c r="Y32" s="3488"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88"/>
      <c r="Q33" s="1571">
        <f t="shared" si="11"/>
        <v>111</v>
      </c>
      <c r="R33" s="1572" t="s">
        <v>8</v>
      </c>
      <c r="S33" s="1573">
        <f t="shared" si="12"/>
        <v>100</v>
      </c>
      <c r="T33" s="1572" t="s">
        <v>8</v>
      </c>
      <c r="U33" s="1573">
        <f t="shared" si="13"/>
        <v>100</v>
      </c>
      <c r="V33" s="1572" t="s">
        <v>8</v>
      </c>
      <c r="W33" s="1573">
        <f t="shared" si="14"/>
        <v>100</v>
      </c>
      <c r="X33" s="1566"/>
      <c r="Y33" s="3488"/>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88"/>
      <c r="Q34" s="1571">
        <f t="shared" si="11"/>
        <v>111</v>
      </c>
      <c r="R34" s="1572" t="s">
        <v>8</v>
      </c>
      <c r="S34" s="1573">
        <f t="shared" si="12"/>
        <v>100</v>
      </c>
      <c r="T34" s="1572" t="s">
        <v>8</v>
      </c>
      <c r="U34" s="1573">
        <f t="shared" si="13"/>
        <v>100</v>
      </c>
      <c r="V34" s="1572" t="s">
        <v>8</v>
      </c>
      <c r="W34" s="1573">
        <f t="shared" si="14"/>
        <v>100</v>
      </c>
      <c r="X34" s="1566"/>
      <c r="Y34" s="3488"/>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49" t="str">
        <f>A35</f>
        <v>成交单价（元/平方米）</v>
      </c>
      <c r="Q35" s="3449"/>
      <c r="R35" s="3545">
        <f>E35</f>
        <v>0</v>
      </c>
      <c r="S35" s="3545"/>
      <c r="T35" s="3545">
        <f>G35</f>
        <v>0</v>
      </c>
      <c r="U35" s="3545"/>
      <c r="V35" s="3545">
        <f>I35</f>
        <v>0</v>
      </c>
      <c r="W35" s="3545"/>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49" t="str">
        <f>A36</f>
        <v>比较价格（元/平方米）</v>
      </c>
      <c r="Q36" s="3449"/>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46" t="str">
        <f>A37</f>
        <v>估价对象XX用房的比较价格（楼面单价，元/平方米）</v>
      </c>
      <c r="Q37" s="3447"/>
      <c r="R37" s="3546" t="e">
        <f>IF(F1="售价",ROUND(AVERAGE(R36:V36),0),ROUND(AVERAGE(R36:V36),1))</f>
        <v>#DIV/0!</v>
      </c>
      <c r="S37" s="3546"/>
      <c r="T37" s="3546"/>
      <c r="U37" s="3546"/>
      <c r="V37" s="3546"/>
      <c r="W37" s="354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81" t="s">
        <v>2304</v>
      </c>
      <c r="D1" s="3582"/>
      <c r="E1" s="3582"/>
      <c r="F1" s="3582"/>
      <c r="G1" s="3582"/>
      <c r="H1" s="3582"/>
      <c r="I1" s="3582"/>
      <c r="J1" s="3582"/>
      <c r="K1" s="3582"/>
      <c r="L1" s="3582"/>
      <c r="M1" s="3582"/>
      <c r="N1" s="3582"/>
      <c r="O1" s="3582"/>
      <c r="P1" s="3582"/>
      <c r="Q1" s="3582"/>
      <c r="R1" s="3582"/>
      <c r="S1" s="35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2" t="s">
        <v>2039</v>
      </c>
      <c r="B1" s="3282"/>
      <c r="C1" s="3282"/>
      <c r="D1" s="3282"/>
      <c r="E1" s="3282"/>
      <c r="F1" s="3282"/>
      <c r="G1" s="3282"/>
      <c r="H1" s="3282"/>
      <c r="I1" s="3282"/>
      <c r="J1" s="3282"/>
      <c r="K1" s="3282"/>
      <c r="L1" s="3282"/>
      <c r="M1" s="3282"/>
      <c r="N1" s="3282"/>
      <c r="O1" s="3282"/>
      <c r="P1" s="3282"/>
      <c r="Q1" s="3282"/>
      <c r="R1" s="3282"/>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3" t="s">
        <v>2030</v>
      </c>
      <c r="B3" s="3283" t="s">
        <v>2728</v>
      </c>
      <c r="C3" s="3284" t="s">
        <v>2031</v>
      </c>
      <c r="D3" s="3283" t="s">
        <v>2732</v>
      </c>
      <c r="E3" s="3286" t="s">
        <v>2032</v>
      </c>
      <c r="F3" s="3286"/>
      <c r="G3" s="3286"/>
      <c r="H3" s="3286" t="s">
        <v>2033</v>
      </c>
      <c r="I3" s="3286"/>
      <c r="J3" s="3286"/>
      <c r="K3" s="3284" t="s">
        <v>2034</v>
      </c>
      <c r="L3" s="3284" t="s">
        <v>2035</v>
      </c>
      <c r="M3" s="3283" t="s">
        <v>2729</v>
      </c>
      <c r="N3" s="3285" t="str">
        <f>"（分摊）"&amp;项目基本情况!B16&amp;"国有建设用地使用权面积/㎡"</f>
        <v>（分摊）出让国有建设用地使用权面积/㎡</v>
      </c>
      <c r="O3" s="3283" t="s">
        <v>2064</v>
      </c>
      <c r="P3" s="3284" t="s">
        <v>2044</v>
      </c>
      <c r="Q3" s="3284" t="s">
        <v>2065</v>
      </c>
      <c r="R3" s="3284" t="s">
        <v>2036</v>
      </c>
    </row>
    <row r="4" spans="1:18" ht="36.75" customHeight="1">
      <c r="A4" s="3283"/>
      <c r="B4" s="3283"/>
      <c r="C4" s="3284"/>
      <c r="D4" s="3283"/>
      <c r="E4" s="2649" t="s">
        <v>2043</v>
      </c>
      <c r="F4" s="2649" t="s">
        <v>2741</v>
      </c>
      <c r="G4" s="2649" t="s">
        <v>2037</v>
      </c>
      <c r="H4" s="2649" t="s">
        <v>2038</v>
      </c>
      <c r="I4" s="2649" t="s">
        <v>2742</v>
      </c>
      <c r="J4" s="2649" t="s">
        <v>2037</v>
      </c>
      <c r="K4" s="3284"/>
      <c r="L4" s="3284"/>
      <c r="M4" s="3283"/>
      <c r="N4" s="3285"/>
      <c r="O4" s="3283"/>
      <c r="P4" s="3284"/>
      <c r="Q4" s="3284"/>
      <c r="R4" s="3284"/>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5680</v>
      </c>
      <c r="Q5" s="1810">
        <f ca="1">结果表!D42</f>
        <v>3787</v>
      </c>
      <c r="R5" s="1811">
        <f ca="1">结果表!C42</f>
        <v>38639</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812">
        <f ca="1">结果表!O39</f>
        <v>38639</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812" t="str">
        <f>结果表!O40</f>
        <v>——</v>
      </c>
    </row>
    <row r="8" spans="1:18">
      <c r="A8" s="3287">
        <f>IF(项目基本情况!B9="市场价格","——",项目基本情况!E9)</f>
        <v>0</v>
      </c>
      <c r="B8" s="3288"/>
      <c r="C8" s="3288"/>
      <c r="D8" s="3288"/>
      <c r="E8" s="3288"/>
      <c r="F8" s="3288"/>
      <c r="G8" s="3288"/>
      <c r="H8" s="3288"/>
      <c r="I8" s="3288"/>
      <c r="J8" s="3288"/>
      <c r="K8" s="3288"/>
      <c r="L8" s="3288"/>
      <c r="M8" s="3288"/>
      <c r="N8" s="3288"/>
      <c r="O8" s="3288"/>
      <c r="P8" s="3288"/>
      <c r="Q8" s="328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91" t="s">
        <v>2066</v>
      </c>
      <c r="B1" s="3291"/>
      <c r="C1" s="3291"/>
      <c r="D1" s="3291"/>
    </row>
    <row r="2" spans="1:4" ht="47.25" customHeight="1">
      <c r="A2" s="3292" t="str">
        <f>"1.权利限制："&amp;项目基本情况!L24&amp;"未设定租赁等其他他项权利。"</f>
        <v>1.权利限制：根据估价对象《不动产权证书》原件、《国有土地使用权》复印件，截至估价期日，估价对象抵押权未见登记。未设定租赁等其他他项权利。</v>
      </c>
      <c r="B2" s="3292"/>
      <c r="C2" s="3292"/>
      <c r="D2" s="3292"/>
    </row>
    <row r="3" spans="1:4" ht="48" customHeight="1">
      <c r="A3" s="32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1"/>
      <c r="C3" s="3291"/>
      <c r="D3" s="3291"/>
    </row>
    <row r="4" spans="1:4" ht="36.75" customHeight="1">
      <c r="A4" s="3291" t="str">
        <f>"3.估价规划限制条件：详见"&amp;项目基本情况!E21&amp;"。"</f>
        <v>3.估价规划限制条件：详见《建设工程规划许可证》[]、《出让合同》[]。</v>
      </c>
      <c r="B4" s="3291"/>
      <c r="C4" s="3291"/>
      <c r="D4" s="3291"/>
    </row>
    <row r="5" spans="1:4">
      <c r="A5" s="3290" t="s">
        <v>2067</v>
      </c>
      <c r="B5" s="3290"/>
      <c r="C5" s="3290"/>
      <c r="D5" s="3290"/>
    </row>
    <row r="6" spans="1:4">
      <c r="A6" s="3291" t="s">
        <v>2045</v>
      </c>
      <c r="B6" s="3291"/>
      <c r="C6" s="3291"/>
      <c r="D6" s="3291"/>
    </row>
    <row r="7" spans="1:4" ht="33" customHeight="1">
      <c r="A7" s="3291" t="s">
        <v>2573</v>
      </c>
      <c r="B7" s="3291"/>
      <c r="C7" s="3291"/>
      <c r="D7" s="3291"/>
    </row>
    <row r="8" spans="1:4" ht="32.25" customHeight="1">
      <c r="A8" s="32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1"/>
      <c r="C8" s="3291"/>
      <c r="D8" s="3291"/>
    </row>
    <row r="9" spans="1:4" ht="33.75" customHeight="1">
      <c r="A9" s="32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1"/>
      <c r="C9" s="3291"/>
      <c r="D9" s="3291"/>
    </row>
    <row r="10" spans="1:4">
      <c r="A10" s="3291" t="str">
        <f>IF(项目基本情况!B8="抵押","4.估价师所知悉的法定优先受偿款情况为：","——")</f>
        <v>4.估价师所知悉的法定优先受偿款情况为：</v>
      </c>
      <c r="B10" s="3291"/>
      <c r="C10" s="3291"/>
      <c r="D10" s="3291"/>
    </row>
    <row r="11" spans="1:4" ht="37.5" customHeight="1">
      <c r="A11" s="32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3"/>
      <c r="C11" s="3293"/>
      <c r="D11" s="3293"/>
    </row>
    <row r="12" spans="1:4" ht="168" customHeight="1">
      <c r="A12" s="3290" t="s">
        <v>2069</v>
      </c>
      <c r="B12" s="3290"/>
      <c r="C12" s="3290"/>
      <c r="D12" s="3290"/>
    </row>
    <row r="13" spans="1:4">
      <c r="A13" s="3294" t="s">
        <v>2743</v>
      </c>
      <c r="B13" s="3294"/>
      <c r="C13" s="3294"/>
      <c r="D13" s="3294"/>
    </row>
    <row r="14" spans="1:4">
      <c r="A14" s="3293" t="str">
        <f>IF(项目基本情况!B8="抵押","综上，"&amp;结果表!K47,"——")</f>
        <v>综上，本次评估不存在估价师知悉的法定优先受偿款</v>
      </c>
      <c r="B14" s="3293"/>
      <c r="C14" s="3293"/>
      <c r="D14" s="3293"/>
    </row>
    <row r="15" spans="1:4" ht="58.5" customHeight="1">
      <c r="A15" s="32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1"/>
      <c r="C15" s="3291"/>
      <c r="D15" s="3291"/>
    </row>
    <row r="16" spans="1:4" ht="70.5" customHeight="1">
      <c r="A16" s="32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1"/>
      <c r="C16" s="3291"/>
      <c r="D16" s="3291"/>
    </row>
    <row r="17" spans="1:4">
      <c r="A17" s="3291" t="s">
        <v>2699</v>
      </c>
      <c r="B17" s="3291"/>
      <c r="C17" s="3291"/>
      <c r="D17" s="3291"/>
    </row>
    <row r="18" spans="1:4">
      <c r="A18" s="3291" t="s">
        <v>2691</v>
      </c>
      <c r="B18" s="3291"/>
      <c r="C18" s="3291"/>
      <c r="D18" s="3291"/>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91" t="s">
        <v>2696</v>
      </c>
      <c r="B23" s="3291"/>
      <c r="C23" s="3291"/>
      <c r="D23" s="3291"/>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2" t="s">
        <v>53</v>
      </c>
      <c r="B15" s="3303" t="s">
        <v>845</v>
      </c>
      <c r="C15" s="3299"/>
    </row>
    <row r="16" spans="1:7" ht="14.4">
      <c r="A16" s="3302"/>
      <c r="B16" s="3300" t="s">
        <v>54</v>
      </c>
      <c r="C16" s="1172" t="s">
        <v>53</v>
      </c>
    </row>
    <row r="17" spans="1:3" ht="14.4">
      <c r="A17" s="3302"/>
      <c r="B17" s="3300"/>
      <c r="C17" s="1172" t="s">
        <v>55</v>
      </c>
    </row>
    <row r="18" spans="1:3" ht="14.4">
      <c r="A18" s="3302"/>
      <c r="B18" s="3300"/>
      <c r="C18" s="1172" t="s">
        <v>56</v>
      </c>
    </row>
    <row r="19" spans="1:3" ht="14.4">
      <c r="A19" s="3302"/>
      <c r="B19" s="3298" t="s">
        <v>57</v>
      </c>
      <c r="C19" s="3299"/>
    </row>
    <row r="20" spans="1:3" ht="14.4">
      <c r="A20" s="1173" t="s">
        <v>58</v>
      </c>
      <c r="B20" s="1174"/>
      <c r="C20" s="1175"/>
    </row>
    <row r="21" spans="1:3" ht="14.4">
      <c r="A21" s="3301" t="s">
        <v>59</v>
      </c>
      <c r="B21" s="3298" t="s">
        <v>60</v>
      </c>
      <c r="C21" s="3299"/>
    </row>
    <row r="22" spans="1:3" ht="14.4">
      <c r="A22" s="3301"/>
      <c r="B22" s="3298" t="s">
        <v>61</v>
      </c>
      <c r="C22" s="3299"/>
    </row>
    <row r="23" spans="1:3" ht="14.4">
      <c r="A23" s="3301"/>
      <c r="B23" s="3298" t="s">
        <v>62</v>
      </c>
      <c r="C23" s="3299"/>
    </row>
    <row r="24" spans="1:3" ht="14.4">
      <c r="A24" s="3301"/>
      <c r="B24" s="3304" t="s">
        <v>63</v>
      </c>
      <c r="C24" s="1176" t="s">
        <v>836</v>
      </c>
    </row>
    <row r="25" spans="1:3" ht="14.4">
      <c r="A25" s="3301"/>
      <c r="B25" s="3305"/>
      <c r="C25" s="1176" t="s">
        <v>837</v>
      </c>
    </row>
    <row r="26" spans="1:3" ht="14.4">
      <c r="A26" s="3301"/>
      <c r="B26" s="3305"/>
      <c r="C26" s="1176" t="s">
        <v>838</v>
      </c>
    </row>
    <row r="27" spans="1:3" ht="14.4">
      <c r="A27" s="3301"/>
      <c r="B27" s="3305"/>
      <c r="C27" s="1176" t="s">
        <v>839</v>
      </c>
    </row>
    <row r="28" spans="1:3" ht="14.4">
      <c r="A28" s="3301"/>
      <c r="B28" s="3305"/>
      <c r="C28" s="1176" t="s">
        <v>840</v>
      </c>
    </row>
    <row r="29" spans="1:3" ht="14.4">
      <c r="A29" s="3301"/>
      <c r="B29" s="3305"/>
      <c r="C29" s="1176" t="s">
        <v>841</v>
      </c>
    </row>
    <row r="30" spans="1:3" ht="14.4">
      <c r="A30" s="3301"/>
      <c r="B30" s="3305"/>
      <c r="C30" s="1176" t="s">
        <v>842</v>
      </c>
    </row>
    <row r="31" spans="1:3" ht="14.4">
      <c r="A31" s="3301"/>
      <c r="B31" s="3305"/>
      <c r="C31" s="1176" t="s">
        <v>843</v>
      </c>
    </row>
    <row r="32" spans="1:3" ht="14.4">
      <c r="A32" s="3301"/>
      <c r="B32" s="3305"/>
      <c r="C32" s="1176" t="s">
        <v>1646</v>
      </c>
    </row>
    <row r="33" spans="1:3" ht="14.4">
      <c r="A33" s="3301"/>
      <c r="B33" s="3295" t="s">
        <v>1652</v>
      </c>
      <c r="C33" s="1176" t="s">
        <v>1647</v>
      </c>
    </row>
    <row r="34" spans="1:3" ht="14.4">
      <c r="A34" s="3301"/>
      <c r="B34" s="3296"/>
      <c r="C34" s="1181" t="s">
        <v>1648</v>
      </c>
    </row>
    <row r="35" spans="1:3" ht="14.4">
      <c r="A35" s="3301"/>
      <c r="B35" s="3296"/>
      <c r="C35" s="1182" t="s">
        <v>1649</v>
      </c>
    </row>
    <row r="36" spans="1:3" ht="14.4">
      <c r="A36" s="3301"/>
      <c r="B36" s="3296"/>
      <c r="C36" s="1182" t="s">
        <v>1650</v>
      </c>
    </row>
    <row r="37" spans="1:3" ht="14.4">
      <c r="A37" s="3301"/>
      <c r="B37" s="3297"/>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6" t="s">
        <v>1927</v>
      </c>
      <c r="B25" s="3306"/>
      <c r="C25" s="3306"/>
      <c r="D25" s="3306"/>
      <c r="E25" s="3306"/>
      <c r="F25" s="3306"/>
      <c r="G25" s="3306"/>
    </row>
    <row r="26" spans="1:7" ht="20.25" customHeight="1">
      <c r="A26" s="3307" t="s">
        <v>1928</v>
      </c>
      <c r="B26" s="3307"/>
      <c r="C26" s="3307"/>
      <c r="D26" s="3307" t="s">
        <v>1929</v>
      </c>
      <c r="E26" s="3307"/>
      <c r="F26" s="330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2019-06-27T05:39:18Z</dcterms:modified>
</cp:coreProperties>
</file>