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381重庆恒大云湖上郡\F01\"/>
    </mc:Choice>
  </mc:AlternateContent>
  <bookViews>
    <workbookView xWindow="-12" yWindow="216"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项目资料" sheetId="79" r:id="rId19"/>
    <sheet name="汇总表" sheetId="80" r:id="rId20"/>
    <sheet name="年期修正表" sheetId="81" r:id="rId21"/>
    <sheet name="土地案例" sheetId="73"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洋房" sheetId="78" r:id="rId34"/>
    <sheet name="不动产比较法-高层" sheetId="21" state="hidden" r:id="rId35"/>
    <sheet name="不动产收益法-办公" sheetId="77" state="hidden" r:id="rId36"/>
    <sheet name="不动产收益法-商业" sheetId="15" r:id="rId37"/>
    <sheet name="酒店收入计算" sheetId="57" state="hidden" r:id="rId38"/>
    <sheet name="成本逼近法" sheetId="11" state="hidden" r:id="rId39"/>
    <sheet name="不动产收益法车库" sheetId="72"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4" hidden="1">'比较法-工业'!$A$1:$L$45</definedName>
    <definedName name="_xlnm._FilterDatabase" localSheetId="17"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4" hidden="1">'不动产比较法-高层'!$A$1:$L$49</definedName>
    <definedName name="_xlnm._FilterDatabase" localSheetId="42" hidden="1">'不动产比较法-工业'!$A$1:$L$43</definedName>
    <definedName name="_xlnm._FilterDatabase" localSheetId="40" hidden="1">'不动产比较法-商业'!$A$1:$L$49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'不动产比较法-洋房'!$B$88:$M$88</definedName>
    <definedName name="住宅朝向">'不动产比较法-高层'!$B$88:$M$88</definedName>
    <definedName name="住宅房型" localSheetId="33">'不动产比较法-洋房'!$B$118:$M$118</definedName>
    <definedName name="住宅房型">'不动产比较法-高层'!$B$118:$M$118</definedName>
    <definedName name="住宅公共部分装修" localSheetId="33">'不动产比较法-洋房'!$B$109:$M$109</definedName>
    <definedName name="住宅公共部分装修">'不动产比较法-高层'!$B$109:$M$109</definedName>
    <definedName name="住宅基础设施水平" localSheetId="33">'不动产比较法-洋房'!$B$116:$M$116</definedName>
    <definedName name="住宅基础设施水平">'不动产比较法-高层'!$B$116:$M$116</definedName>
    <definedName name="住宅建筑结构" localSheetId="33">'不动产比较法-洋房'!$B$105:$M$105</definedName>
    <definedName name="住宅建筑结构">'不动产比较法-高层'!$B$105:$M$105</definedName>
    <definedName name="住宅建筑类型" localSheetId="33">'不动产比较法-洋房'!$B$100:$M$100</definedName>
    <definedName name="住宅建筑类型">'不动产比较法-高层'!$B$100:$M$100</definedName>
    <definedName name="住宅建筑品质" localSheetId="33">'不动产比较法-洋房'!$B$107:$M$107</definedName>
    <definedName name="住宅建筑品质">'不动产比较法-高层'!$B$107:$M$107</definedName>
    <definedName name="住宅交易情况" localSheetId="33">'不动产比较法-洋房'!$A$61:$M$61</definedName>
    <definedName name="住宅交易情况">'不动产比较法-高层'!$A$61:$M$61</definedName>
    <definedName name="住宅楼层" localSheetId="33">'不动产比较法-洋房'!$B$86:$M$86</definedName>
    <definedName name="住宅楼层">'不动产比较法-高层'!$B$86:$M$86</definedName>
    <definedName name="住宅内部装修" localSheetId="33">'不动产比较法-洋房'!$B$122:$M$122</definedName>
    <definedName name="住宅内部装修">'不动产比较法-高层'!$B$122:$M$122</definedName>
    <definedName name="住宅物业管理" localSheetId="33">'不动产比较法-洋房'!$B$114:$M$114</definedName>
    <definedName name="住宅物业管理">'不动产比较法-高层'!$B$114:$M$114</definedName>
    <definedName name="住宅用途" localSheetId="33">'不动产比较法-洋房'!$B$63:$M$63</definedName>
    <definedName name="住宅用途">'不动产比较法-高层'!$B$63:$M$63</definedName>
    <definedName name="住宅主力户型面积" localSheetId="33">'不动产比较法-洋房'!$B$120:$M$120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J12" i="39" l="1"/>
  <c r="H12" i="39"/>
  <c r="F12" i="39"/>
  <c r="I48" i="39"/>
  <c r="G48" i="39"/>
  <c r="E48" i="39"/>
  <c r="C15" i="66" l="1"/>
  <c r="D15" i="66" l="1"/>
  <c r="L12" i="81" l="1"/>
  <c r="B12" i="81" s="1"/>
  <c r="J12" i="81"/>
  <c r="H12" i="81"/>
  <c r="E5" i="81"/>
  <c r="B15" i="81" l="1"/>
  <c r="D9" i="81"/>
  <c r="D10" i="81"/>
  <c r="E4" i="81"/>
  <c r="E3" i="81"/>
  <c r="B3" i="81"/>
  <c r="B4" i="81"/>
  <c r="C3" i="81"/>
  <c r="D3" i="81" s="1"/>
  <c r="C4" i="81"/>
  <c r="D4" i="81" s="1"/>
  <c r="C5" i="81"/>
  <c r="D5" i="81" s="1"/>
  <c r="F9" i="81"/>
  <c r="F10" i="81"/>
  <c r="C13" i="81" l="1"/>
  <c r="C16" i="81"/>
  <c r="B13" i="81"/>
  <c r="B16" i="81"/>
  <c r="B15" i="66" l="1"/>
  <c r="D103" i="78" l="1"/>
  <c r="E103" i="78" s="1"/>
  <c r="F103" i="78" s="1"/>
  <c r="G103" i="78" s="1"/>
  <c r="H103" i="78" s="1"/>
  <c r="I103" i="78" s="1"/>
  <c r="D73" i="39"/>
  <c r="E73" i="39" s="1"/>
  <c r="F73" i="39" s="1"/>
  <c r="G73" i="39" s="1"/>
  <c r="H73" i="39" s="1"/>
  <c r="I73" i="39" s="1"/>
  <c r="J73" i="39" s="1"/>
  <c r="K73" i="39" s="1"/>
  <c r="L73" i="39" s="1"/>
  <c r="M73" i="39" s="1"/>
  <c r="N73" i="39" s="1"/>
  <c r="I7" i="78"/>
  <c r="G7" i="78"/>
  <c r="A3" i="3" l="1"/>
  <c r="F25" i="79"/>
  <c r="C40" i="39"/>
  <c r="H4" i="80" l="1"/>
  <c r="H5" i="80"/>
  <c r="H6" i="80"/>
  <c r="H7" i="80"/>
  <c r="H8" i="80"/>
  <c r="H9" i="80"/>
  <c r="H10" i="80"/>
  <c r="H11" i="80"/>
  <c r="H12" i="80"/>
  <c r="H13" i="80"/>
  <c r="H14" i="80"/>
  <c r="H15" i="80"/>
  <c r="H3" i="80"/>
  <c r="D15" i="79" l="1"/>
  <c r="H12" i="79"/>
  <c r="I12" i="79"/>
  <c r="H11" i="79"/>
  <c r="I11" i="79"/>
  <c r="J11" i="79" s="1"/>
  <c r="H10" i="79"/>
  <c r="I10" i="79"/>
  <c r="H9" i="79"/>
  <c r="I9" i="79"/>
  <c r="J9" i="79" s="1"/>
  <c r="H7" i="79"/>
  <c r="I7" i="79"/>
  <c r="J7" i="79" s="1"/>
  <c r="H5" i="79"/>
  <c r="I5" i="79"/>
  <c r="J5" i="79" s="1"/>
  <c r="H4" i="79"/>
  <c r="I13" i="3" s="1"/>
  <c r="I4" i="79"/>
  <c r="K13" i="3" s="1"/>
  <c r="H13" i="3" s="1"/>
  <c r="H3" i="79"/>
  <c r="I3" i="79"/>
  <c r="J3" i="79" s="1"/>
  <c r="H6" i="79"/>
  <c r="I6" i="79"/>
  <c r="H8" i="79"/>
  <c r="I8" i="79"/>
  <c r="H13" i="79"/>
  <c r="I13" i="79"/>
  <c r="J13" i="79" s="1"/>
  <c r="H14" i="79"/>
  <c r="I14" i="79"/>
  <c r="J14" i="79" s="1"/>
  <c r="I15" i="79"/>
  <c r="H15" i="79"/>
  <c r="F40" i="39"/>
  <c r="AA40" i="39" s="1"/>
  <c r="J40" i="39"/>
  <c r="AC40" i="39" s="1"/>
  <c r="J4" i="79"/>
  <c r="J6" i="79"/>
  <c r="J8" i="79"/>
  <c r="J10" i="79"/>
  <c r="J12" i="79"/>
  <c r="U6" i="79"/>
  <c r="K16" i="66"/>
  <c r="K17" i="66"/>
  <c r="K18" i="66"/>
  <c r="L16" i="66"/>
  <c r="L17" i="66"/>
  <c r="L18" i="66"/>
  <c r="D3" i="4"/>
  <c r="F20" i="6"/>
  <c r="E20" i="6" s="1"/>
  <c r="BB13" i="3"/>
  <c r="BC13" i="3"/>
  <c r="F19" i="6"/>
  <c r="E19" i="6" s="1"/>
  <c r="L20" i="6"/>
  <c r="L7" i="1"/>
  <c r="L14" i="1"/>
  <c r="K15" i="66"/>
  <c r="I40" i="39"/>
  <c r="G40" i="39"/>
  <c r="H40" i="39" s="1"/>
  <c r="AB40" i="39" s="1"/>
  <c r="E40" i="39"/>
  <c r="I9" i="39"/>
  <c r="G9" i="39"/>
  <c r="E9" i="39"/>
  <c r="I7" i="39"/>
  <c r="G7" i="39"/>
  <c r="E7" i="39"/>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D13" i="3"/>
  <c r="BE13" i="3"/>
  <c r="BF13" i="3"/>
  <c r="BG13" i="3"/>
  <c r="BH13" i="3"/>
  <c r="BI13" i="3"/>
  <c r="BJ13" i="3"/>
  <c r="BK13" i="3"/>
  <c r="BM13" i="3"/>
  <c r="BN13" i="3"/>
  <c r="BO13" i="3"/>
  <c r="BP13" i="3"/>
  <c r="BQ13" i="3"/>
  <c r="BR13" i="3"/>
  <c r="BS13" i="3"/>
  <c r="BT13" i="3"/>
  <c r="BL13" i="3"/>
  <c r="H14" i="3"/>
  <c r="AC14" i="3"/>
  <c r="G14" i="3" s="1"/>
  <c r="H15" i="3"/>
  <c r="AC13" i="3"/>
  <c r="E21" i="6"/>
  <c r="BE10" i="3"/>
  <c r="D69" i="78"/>
  <c r="E69" i="78" s="1"/>
  <c r="F69" i="78" s="1"/>
  <c r="G69" i="78" s="1"/>
  <c r="H69" i="78" s="1"/>
  <c r="I69" i="78" s="1"/>
  <c r="J69" i="78" s="1"/>
  <c r="K69" i="78" s="1"/>
  <c r="L69" i="78" s="1"/>
  <c r="M69" i="78" s="1"/>
  <c r="R47" i="78"/>
  <c r="T47" i="78"/>
  <c r="V47" i="78"/>
  <c r="C5" i="78"/>
  <c r="C145" i="78"/>
  <c r="K139" i="78"/>
  <c r="J142" i="78"/>
  <c r="J140" i="78"/>
  <c r="B130" i="78"/>
  <c r="B128" i="78"/>
  <c r="J45" i="78" s="1"/>
  <c r="B126" i="78"/>
  <c r="E125" i="78"/>
  <c r="F125" i="78" s="1"/>
  <c r="G125" i="78"/>
  <c r="D125" i="78"/>
  <c r="E123" i="78"/>
  <c r="F123" i="78" s="1"/>
  <c r="D123" i="78"/>
  <c r="E119" i="78"/>
  <c r="F119" i="78" s="1"/>
  <c r="G119" i="78" s="1"/>
  <c r="H119" i="78" s="1"/>
  <c r="I119" i="78" s="1"/>
  <c r="J119" i="78" s="1"/>
  <c r="K119" i="78" s="1"/>
  <c r="L119" i="78" s="1"/>
  <c r="M119" i="78"/>
  <c r="D119" i="78"/>
  <c r="G117" i="78"/>
  <c r="D117" i="78"/>
  <c r="E117" i="78" s="1"/>
  <c r="F117" i="78" s="1"/>
  <c r="I115" i="78"/>
  <c r="J115" i="78" s="1"/>
  <c r="K115" i="78" s="1"/>
  <c r="L115" i="78" s="1"/>
  <c r="M115" i="78" s="1"/>
  <c r="D115" i="78"/>
  <c r="E115" i="78" s="1"/>
  <c r="F115" i="78" s="1"/>
  <c r="G115" i="78" s="1"/>
  <c r="H115" i="78" s="1"/>
  <c r="D113" i="78"/>
  <c r="E113" i="78"/>
  <c r="F113" i="78" s="1"/>
  <c r="G113" i="78" s="1"/>
  <c r="H113" i="78" s="1"/>
  <c r="H111" i="78"/>
  <c r="G111" i="78"/>
  <c r="F111" i="78"/>
  <c r="E111" i="78"/>
  <c r="D111" i="78"/>
  <c r="C111" i="78"/>
  <c r="I110" i="78"/>
  <c r="J110" i="78" s="1"/>
  <c r="K110" i="78" s="1"/>
  <c r="L110" i="78" s="1"/>
  <c r="M110" i="78" s="1"/>
  <c r="D110" i="78"/>
  <c r="E110" i="78"/>
  <c r="F110" i="78" s="1"/>
  <c r="G110" i="78" s="1"/>
  <c r="H110" i="78" s="1"/>
  <c r="D108" i="78"/>
  <c r="E108" i="78"/>
  <c r="F108" i="78" s="1"/>
  <c r="G108" i="78" s="1"/>
  <c r="H108" i="78" s="1"/>
  <c r="I108" i="78"/>
  <c r="J108" i="78" s="1"/>
  <c r="K108" i="78" s="1"/>
  <c r="L108" i="78" s="1"/>
  <c r="M108" i="78" s="1"/>
  <c r="I106" i="78"/>
  <c r="J106" i="78" s="1"/>
  <c r="K106" i="78" s="1"/>
  <c r="L106" i="78" s="1"/>
  <c r="M106" i="78" s="1"/>
  <c r="D106" i="78"/>
  <c r="E106" i="78"/>
  <c r="F106" i="78" s="1"/>
  <c r="G106" i="78" s="1"/>
  <c r="H106" i="78" s="1"/>
  <c r="M102" i="78"/>
  <c r="L102" i="78"/>
  <c r="K102" i="78"/>
  <c r="J102" i="78"/>
  <c r="I102" i="78"/>
  <c r="H102" i="78"/>
  <c r="G102" i="78"/>
  <c r="F102" i="78"/>
  <c r="E102" i="78"/>
  <c r="D102" i="78"/>
  <c r="C102" i="78"/>
  <c r="E101" i="78"/>
  <c r="F101" i="78" s="1"/>
  <c r="G101" i="78" s="1"/>
  <c r="H101" i="78" s="1"/>
  <c r="I101" i="78"/>
  <c r="J101" i="78" s="1"/>
  <c r="K101" i="78" s="1"/>
  <c r="L101" i="78" s="1"/>
  <c r="M101" i="78" s="1"/>
  <c r="D101" i="78"/>
  <c r="B98" i="78"/>
  <c r="B96" i="78"/>
  <c r="B94" i="78"/>
  <c r="B92" i="78"/>
  <c r="B90" i="78"/>
  <c r="I89" i="78"/>
  <c r="J89" i="78" s="1"/>
  <c r="K89" i="78" s="1"/>
  <c r="L89" i="78" s="1"/>
  <c r="M89" i="78" s="1"/>
  <c r="D89" i="78"/>
  <c r="E89" i="78"/>
  <c r="F89" i="78" s="1"/>
  <c r="G89" i="78" s="1"/>
  <c r="H89" i="78" s="1"/>
  <c r="M87" i="78"/>
  <c r="L87" i="78"/>
  <c r="K87" i="78"/>
  <c r="J87" i="78"/>
  <c r="I87" i="78"/>
  <c r="H87" i="78"/>
  <c r="G87" i="78"/>
  <c r="F87" i="78"/>
  <c r="E87" i="78"/>
  <c r="D87" i="78"/>
  <c r="D85" i="78"/>
  <c r="E85" i="78" s="1"/>
  <c r="F85" i="78" s="1"/>
  <c r="G85" i="78" s="1"/>
  <c r="D83" i="78"/>
  <c r="D81" i="78"/>
  <c r="E81" i="78" s="1"/>
  <c r="D79" i="78"/>
  <c r="E79" i="78" s="1"/>
  <c r="D77" i="78"/>
  <c r="E77" i="78" s="1"/>
  <c r="F77" i="78" s="1"/>
  <c r="G77" i="78" s="1"/>
  <c r="B74" i="78"/>
  <c r="B72" i="78"/>
  <c r="B70" i="78"/>
  <c r="M67" i="78"/>
  <c r="L67" i="78"/>
  <c r="K67" i="78"/>
  <c r="J67" i="78"/>
  <c r="I67" i="78"/>
  <c r="H67" i="78"/>
  <c r="G67" i="78"/>
  <c r="F67" i="78"/>
  <c r="E67" i="78"/>
  <c r="D67" i="78"/>
  <c r="C67" i="78"/>
  <c r="D66" i="78"/>
  <c r="E66" i="78" s="1"/>
  <c r="C63" i="78"/>
  <c r="I54" i="78"/>
  <c r="J54" i="78" s="1"/>
  <c r="G54" i="78"/>
  <c r="H54" i="78" s="1"/>
  <c r="E54" i="78"/>
  <c r="F54" i="78" s="1"/>
  <c r="P49" i="78"/>
  <c r="P48" i="78"/>
  <c r="P47" i="78"/>
  <c r="Q46" i="78"/>
  <c r="Z46" i="78"/>
  <c r="J46" i="78"/>
  <c r="AC46" i="78"/>
  <c r="H46" i="78"/>
  <c r="AB46" i="78"/>
  <c r="F46" i="78"/>
  <c r="AA46" i="78"/>
  <c r="Q45" i="78"/>
  <c r="Z45" i="78" s="1"/>
  <c r="H45" i="78"/>
  <c r="AB45" i="78" s="1"/>
  <c r="F45" i="78"/>
  <c r="Q44" i="78"/>
  <c r="Z44" i="78" s="1"/>
  <c r="J44" i="78"/>
  <c r="H44" i="78"/>
  <c r="AB44" i="78" s="1"/>
  <c r="F44" i="78"/>
  <c r="AA44" i="78" s="1"/>
  <c r="Q43" i="78"/>
  <c r="Z43" i="78" s="1"/>
  <c r="J43" i="78"/>
  <c r="H43" i="78"/>
  <c r="AB43" i="78" s="1"/>
  <c r="F43" i="78"/>
  <c r="Q42" i="78"/>
  <c r="Z42" i="78" s="1"/>
  <c r="Q41" i="78"/>
  <c r="Z41" i="78" s="1"/>
  <c r="J41" i="78"/>
  <c r="AC41" i="78" s="1"/>
  <c r="H41" i="78"/>
  <c r="F41" i="78"/>
  <c r="Q40" i="78"/>
  <c r="Z40" i="78" s="1"/>
  <c r="J40" i="78"/>
  <c r="H40" i="78"/>
  <c r="F40" i="78"/>
  <c r="AA40" i="78" s="1"/>
  <c r="Q39" i="78"/>
  <c r="Z39" i="78" s="1"/>
  <c r="J39" i="78"/>
  <c r="H39" i="78"/>
  <c r="F39" i="78"/>
  <c r="AA39" i="78" s="1"/>
  <c r="Q38" i="78"/>
  <c r="Z38" i="78" s="1"/>
  <c r="J38" i="78"/>
  <c r="AC38" i="78" s="1"/>
  <c r="H38" i="78"/>
  <c r="F38" i="78"/>
  <c r="Q37" i="78"/>
  <c r="Z37" i="78" s="1"/>
  <c r="J37" i="78"/>
  <c r="AC37" i="78" s="1"/>
  <c r="H37" i="78"/>
  <c r="AB37" i="78" s="1"/>
  <c r="F37" i="78"/>
  <c r="Q36" i="78"/>
  <c r="Z36" i="78" s="1"/>
  <c r="J36" i="78"/>
  <c r="H36" i="78"/>
  <c r="AB36" i="78" s="1"/>
  <c r="F36" i="78"/>
  <c r="AA36" i="78" s="1"/>
  <c r="Q35" i="78"/>
  <c r="Z35" i="78" s="1"/>
  <c r="J35" i="78"/>
  <c r="H35" i="78"/>
  <c r="F35" i="78"/>
  <c r="AA35" i="78" s="1"/>
  <c r="Q34" i="78"/>
  <c r="Z34" i="78" s="1"/>
  <c r="J34" i="78"/>
  <c r="AC34" i="78" s="1"/>
  <c r="H34" i="78"/>
  <c r="F34" i="78"/>
  <c r="Q33" i="78"/>
  <c r="Z33" i="78" s="1"/>
  <c r="Q32" i="78"/>
  <c r="Z32" i="78" s="1"/>
  <c r="J32" i="78"/>
  <c r="AC32" i="78" s="1"/>
  <c r="H32" i="78"/>
  <c r="AB32" i="78" s="1"/>
  <c r="F32" i="78"/>
  <c r="Q31" i="78"/>
  <c r="Z31" i="78" s="1"/>
  <c r="J31" i="78"/>
  <c r="H31" i="78"/>
  <c r="AB31" i="78" s="1"/>
  <c r="F31" i="78"/>
  <c r="Q30" i="78"/>
  <c r="Z30" i="78" s="1"/>
  <c r="J30" i="78"/>
  <c r="AC30" i="78" s="1"/>
  <c r="H30" i="78"/>
  <c r="AB30" i="78" s="1"/>
  <c r="F30" i="78"/>
  <c r="Q29" i="78"/>
  <c r="Z29" i="78" s="1"/>
  <c r="J29" i="78"/>
  <c r="H29" i="78"/>
  <c r="AB29" i="78" s="1"/>
  <c r="F29" i="78"/>
  <c r="Q28" i="78"/>
  <c r="Z28" i="78" s="1"/>
  <c r="J28" i="78"/>
  <c r="H28" i="78"/>
  <c r="F28" i="78"/>
  <c r="AA28" i="78" s="1"/>
  <c r="Q27" i="78"/>
  <c r="Z27" i="78" s="1"/>
  <c r="J27" i="78"/>
  <c r="AC27" i="78" s="1"/>
  <c r="H27" i="78"/>
  <c r="F27" i="78"/>
  <c r="Q26" i="78"/>
  <c r="Z26" i="78" s="1"/>
  <c r="J26" i="78"/>
  <c r="H26" i="78"/>
  <c r="AB26" i="78" s="1"/>
  <c r="F26" i="78"/>
  <c r="Q25" i="78"/>
  <c r="Z25" i="78" s="1"/>
  <c r="J25" i="78"/>
  <c r="H25" i="78"/>
  <c r="AB25" i="78" s="1"/>
  <c r="F25" i="78"/>
  <c r="AA25" i="78" s="1"/>
  <c r="Q23" i="78"/>
  <c r="Z23" i="78" s="1"/>
  <c r="C23" i="78"/>
  <c r="Q21" i="78"/>
  <c r="Z21" i="78"/>
  <c r="H21" i="78"/>
  <c r="C21" i="78"/>
  <c r="Q19" i="78"/>
  <c r="Z19" i="78"/>
  <c r="C19" i="78"/>
  <c r="Q17" i="78"/>
  <c r="Z17" i="78" s="1"/>
  <c r="C17" i="78"/>
  <c r="Q15" i="78"/>
  <c r="Z15" i="78"/>
  <c r="J15" i="78"/>
  <c r="AC15" i="78" s="1"/>
  <c r="H15" i="78"/>
  <c r="AB15" i="78" s="1"/>
  <c r="F15" i="78"/>
  <c r="AA15" i="78" s="1"/>
  <c r="C15" i="78"/>
  <c r="Q14" i="78"/>
  <c r="Z14" i="78"/>
  <c r="Q13" i="78"/>
  <c r="Z13" i="78"/>
  <c r="J13" i="78"/>
  <c r="AC13" i="78"/>
  <c r="H13" i="78"/>
  <c r="AB13" i="78"/>
  <c r="F13" i="78"/>
  <c r="AA13" i="78"/>
  <c r="Q12" i="78"/>
  <c r="Z12" i="78"/>
  <c r="Q11" i="78"/>
  <c r="Z11" i="78"/>
  <c r="Q10" i="78"/>
  <c r="Z10" i="78"/>
  <c r="Q9" i="78"/>
  <c r="Z9" i="78"/>
  <c r="J9" i="78"/>
  <c r="AC9" i="78"/>
  <c r="H9" i="78"/>
  <c r="AB9" i="78"/>
  <c r="F9" i="78"/>
  <c r="AA9" i="78"/>
  <c r="S8" i="78"/>
  <c r="J8" i="78"/>
  <c r="W8" i="78" s="1"/>
  <c r="AC8" i="78"/>
  <c r="H8" i="78"/>
  <c r="U8" i="78"/>
  <c r="F8" i="78"/>
  <c r="AA8" i="78"/>
  <c r="Q73" i="77"/>
  <c r="Q60" i="77"/>
  <c r="D60" i="77"/>
  <c r="Q59" i="77"/>
  <c r="K59" i="77"/>
  <c r="P75" i="77"/>
  <c r="F58" i="77"/>
  <c r="Q52" i="77"/>
  <c r="J50" i="77"/>
  <c r="M47" i="77"/>
  <c r="L46" i="77" s="1"/>
  <c r="F33" i="77"/>
  <c r="F60" i="77" s="1"/>
  <c r="F31" i="77"/>
  <c r="F23" i="77"/>
  <c r="D24" i="77" s="1"/>
  <c r="D23" i="77"/>
  <c r="F21" i="77"/>
  <c r="F20" i="77"/>
  <c r="M19" i="77"/>
  <c r="F18" i="77"/>
  <c r="M17" i="77"/>
  <c r="F17" i="77"/>
  <c r="F15" i="77"/>
  <c r="U32" i="78"/>
  <c r="AB8" i="78"/>
  <c r="S9" i="78"/>
  <c r="W9" i="78"/>
  <c r="U13" i="78"/>
  <c r="S15" i="78"/>
  <c r="U25" i="78"/>
  <c r="S28" i="78"/>
  <c r="U29" i="78"/>
  <c r="W30" i="78"/>
  <c r="U9" i="78"/>
  <c r="S13" i="78"/>
  <c r="W13" i="78"/>
  <c r="U26" i="78"/>
  <c r="U30" i="78"/>
  <c r="K143" i="78"/>
  <c r="K141" i="78"/>
  <c r="U31" i="78"/>
  <c r="W32" i="78"/>
  <c r="S35" i="78"/>
  <c r="U36" i="78"/>
  <c r="W37" i="78"/>
  <c r="S39" i="78"/>
  <c r="W41" i="78"/>
  <c r="U44" i="78"/>
  <c r="AC45" i="78"/>
  <c r="W45" i="78"/>
  <c r="S46" i="78"/>
  <c r="W34" i="78"/>
  <c r="S36" i="78"/>
  <c r="U37" i="78"/>
  <c r="W38" i="78"/>
  <c r="S40" i="78"/>
  <c r="U43" i="78"/>
  <c r="U45" i="78"/>
  <c r="W46" i="78"/>
  <c r="K145" i="78"/>
  <c r="U46" i="78"/>
  <c r="K144" i="78"/>
  <c r="P62" i="77"/>
  <c r="E8" i="39"/>
  <c r="G8" i="39" s="1"/>
  <c r="I8" i="39"/>
  <c r="I6" i="21"/>
  <c r="D123" i="21"/>
  <c r="E123" i="21" s="1"/>
  <c r="F123" i="21" s="1"/>
  <c r="D69" i="21"/>
  <c r="E69" i="21"/>
  <c r="F69" i="21" s="1"/>
  <c r="AC15" i="3"/>
  <c r="H16" i="3"/>
  <c r="AC16" i="3"/>
  <c r="H17" i="3"/>
  <c r="AC17" i="3"/>
  <c r="H18" i="3"/>
  <c r="AC18" i="3"/>
  <c r="H19" i="3"/>
  <c r="AC19" i="3"/>
  <c r="H20" i="3"/>
  <c r="AC20" i="3"/>
  <c r="G20" i="3" s="1"/>
  <c r="H21" i="3"/>
  <c r="AC21" i="3"/>
  <c r="H22" i="3"/>
  <c r="AC22" i="3"/>
  <c r="G22" i="3"/>
  <c r="H23" i="3"/>
  <c r="AC23" i="3"/>
  <c r="H24" i="3"/>
  <c r="AC24" i="3"/>
  <c r="H25" i="3"/>
  <c r="AC25" i="3"/>
  <c r="H26" i="3"/>
  <c r="AC26" i="3"/>
  <c r="H27" i="3"/>
  <c r="AC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L20" i="3" s="1"/>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L30" i="3" s="1"/>
  <c r="BQ30" i="3"/>
  <c r="BR30" i="3"/>
  <c r="BS30" i="3"/>
  <c r="BT30" i="3"/>
  <c r="BB31" i="3"/>
  <c r="BC31" i="3"/>
  <c r="BD31" i="3"/>
  <c r="BE31" i="3"/>
  <c r="BF31" i="3"/>
  <c r="BG31" i="3"/>
  <c r="BH31" i="3"/>
  <c r="BI31" i="3"/>
  <c r="BJ31" i="3"/>
  <c r="BK31" i="3"/>
  <c r="BM31" i="3"/>
  <c r="BN31" i="3"/>
  <c r="BO31" i="3"/>
  <c r="BP31" i="3"/>
  <c r="BQ31" i="3"/>
  <c r="BR31" i="3"/>
  <c r="BS31" i="3"/>
  <c r="BT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L33" i="3" s="1"/>
  <c r="BQ33" i="3"/>
  <c r="BR33" i="3"/>
  <c r="BS33" i="3"/>
  <c r="BT33" i="3"/>
  <c r="BB34" i="3"/>
  <c r="BC34" i="3"/>
  <c r="BD34" i="3"/>
  <c r="BA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L37" i="3" s="1"/>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A40" i="3" s="1"/>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L41" i="3" s="1"/>
  <c r="BQ41" i="3"/>
  <c r="BR41" i="3"/>
  <c r="BS41" i="3"/>
  <c r="BT41" i="3"/>
  <c r="BB42" i="3"/>
  <c r="BC42" i="3"/>
  <c r="BD42" i="3"/>
  <c r="BA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L45" i="3" s="1"/>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A48" i="3" s="1"/>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L49" i="3" s="1"/>
  <c r="BQ49" i="3"/>
  <c r="BR49" i="3"/>
  <c r="BS49" i="3"/>
  <c r="BT49" i="3"/>
  <c r="BB50" i="3"/>
  <c r="BC50" i="3"/>
  <c r="BD50" i="3"/>
  <c r="BA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L53" i="3" s="1"/>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A56" i="3" s="1"/>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A61" i="3" s="1"/>
  <c r="BF61" i="3"/>
  <c r="BG61" i="3"/>
  <c r="BH61" i="3"/>
  <c r="BI61" i="3"/>
  <c r="BJ61" i="3"/>
  <c r="BK61" i="3"/>
  <c r="BM61" i="3"/>
  <c r="BN61" i="3"/>
  <c r="BO61" i="3"/>
  <c r="BP61" i="3"/>
  <c r="BQ61" i="3"/>
  <c r="BL61" i="3" s="1"/>
  <c r="BR61" i="3"/>
  <c r="BS61" i="3"/>
  <c r="BT61" i="3"/>
  <c r="BB62" i="3"/>
  <c r="BC62" i="3"/>
  <c r="BD62" i="3"/>
  <c r="BE62" i="3"/>
  <c r="BF62" i="3"/>
  <c r="BG62" i="3"/>
  <c r="BH62" i="3"/>
  <c r="BI62" i="3"/>
  <c r="BJ62" i="3"/>
  <c r="BK62" i="3"/>
  <c r="BM62" i="3"/>
  <c r="BN62" i="3"/>
  <c r="BO62" i="3"/>
  <c r="BP62" i="3"/>
  <c r="BQ62" i="3"/>
  <c r="BR62" i="3"/>
  <c r="BS62" i="3"/>
  <c r="BT62" i="3"/>
  <c r="BL62" i="3"/>
  <c r="BB63" i="3"/>
  <c r="BC63" i="3"/>
  <c r="BA63" i="3" s="1"/>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A67" i="3" s="1"/>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A71" i="3" s="1"/>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A75" i="3" s="1"/>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L79" i="3" s="1"/>
  <c r="BR79" i="3"/>
  <c r="BS79" i="3"/>
  <c r="BT79" i="3"/>
  <c r="BB80" i="3"/>
  <c r="BC80" i="3"/>
  <c r="BD80" i="3"/>
  <c r="BE80" i="3"/>
  <c r="BF80" i="3"/>
  <c r="BG80" i="3"/>
  <c r="BH80" i="3"/>
  <c r="BI80" i="3"/>
  <c r="BJ80" i="3"/>
  <c r="BK80" i="3"/>
  <c r="BM80" i="3"/>
  <c r="BN80" i="3"/>
  <c r="BO80" i="3"/>
  <c r="BP80" i="3"/>
  <c r="BQ80" i="3"/>
  <c r="BR80" i="3"/>
  <c r="BS80" i="3"/>
  <c r="BT80" i="3"/>
  <c r="BL80" i="3"/>
  <c r="BB81" i="3"/>
  <c r="BC81" i="3"/>
  <c r="BA81" i="3" s="1"/>
  <c r="BD81" i="3"/>
  <c r="BE81" i="3"/>
  <c r="BF81" i="3"/>
  <c r="BG81" i="3"/>
  <c r="BH81" i="3"/>
  <c r="BI81" i="3"/>
  <c r="BJ81" i="3"/>
  <c r="BK81" i="3"/>
  <c r="BM81" i="3"/>
  <c r="BN81" i="3"/>
  <c r="BO81" i="3"/>
  <c r="BP81" i="3"/>
  <c r="BQ81" i="3"/>
  <c r="BR81" i="3"/>
  <c r="BS81" i="3"/>
  <c r="BT81" i="3"/>
  <c r="BB82" i="3"/>
  <c r="BC82" i="3"/>
  <c r="BD82" i="3"/>
  <c r="BA82" i="3"/>
  <c r="BE82" i="3"/>
  <c r="BF82" i="3"/>
  <c r="BG82" i="3"/>
  <c r="BH82" i="3"/>
  <c r="BI82" i="3"/>
  <c r="BJ82" i="3"/>
  <c r="BK82" i="3"/>
  <c r="BM82" i="3"/>
  <c r="BN82" i="3"/>
  <c r="BO82" i="3"/>
  <c r="BP82" i="3"/>
  <c r="BQ82" i="3"/>
  <c r="BR82" i="3"/>
  <c r="BS82" i="3"/>
  <c r="BT82" i="3"/>
  <c r="BB83" i="3"/>
  <c r="BC83" i="3"/>
  <c r="BA83" i="3"/>
  <c r="BD83" i="3"/>
  <c r="BE83" i="3"/>
  <c r="BF83" i="3"/>
  <c r="BG83" i="3"/>
  <c r="BH83" i="3"/>
  <c r="BI83" i="3"/>
  <c r="BJ83" i="3"/>
  <c r="BK83" i="3"/>
  <c r="BM83" i="3"/>
  <c r="BN83" i="3"/>
  <c r="BO83" i="3"/>
  <c r="BP83" i="3"/>
  <c r="BQ83" i="3"/>
  <c r="BR83" i="3"/>
  <c r="BS83" i="3"/>
  <c r="BT83" i="3"/>
  <c r="BB84" i="3"/>
  <c r="BC84" i="3"/>
  <c r="BD84" i="3"/>
  <c r="BA84" i="3"/>
  <c r="BE84" i="3"/>
  <c r="BF84" i="3"/>
  <c r="BG84" i="3"/>
  <c r="BH84" i="3"/>
  <c r="BI84" i="3"/>
  <c r="BJ84" i="3"/>
  <c r="BK84" i="3"/>
  <c r="BM84" i="3"/>
  <c r="BN84" i="3"/>
  <c r="BO84" i="3"/>
  <c r="BP84" i="3"/>
  <c r="BQ84" i="3"/>
  <c r="BR84" i="3"/>
  <c r="BS84" i="3"/>
  <c r="BT84" i="3"/>
  <c r="BB85" i="3"/>
  <c r="BC85" i="3"/>
  <c r="BD85" i="3"/>
  <c r="BE85" i="3"/>
  <c r="BA85" i="3" s="1"/>
  <c r="BF85" i="3"/>
  <c r="BG85" i="3"/>
  <c r="BH85" i="3"/>
  <c r="BI85" i="3"/>
  <c r="BJ85" i="3"/>
  <c r="BK85" i="3"/>
  <c r="BM85" i="3"/>
  <c r="BN85" i="3"/>
  <c r="BO85" i="3"/>
  <c r="BP85" i="3"/>
  <c r="BQ85" i="3"/>
  <c r="BL85" i="3" s="1"/>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M87" i="3"/>
  <c r="BN87" i="3"/>
  <c r="BO87" i="3"/>
  <c r="BP87" i="3"/>
  <c r="BQ87" i="3"/>
  <c r="BL87" i="3" s="1"/>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M89" i="3"/>
  <c r="BN89" i="3"/>
  <c r="BO89" i="3"/>
  <c r="BP89" i="3"/>
  <c r="BQ89" i="3"/>
  <c r="BL89" i="3" s="1"/>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A97" i="3" s="1"/>
  <c r="BF97" i="3"/>
  <c r="BG97" i="3"/>
  <c r="BH97" i="3"/>
  <c r="BI97" i="3"/>
  <c r="BJ97" i="3"/>
  <c r="BK97" i="3"/>
  <c r="BM97" i="3"/>
  <c r="BN97" i="3"/>
  <c r="BO97" i="3"/>
  <c r="BP97" i="3"/>
  <c r="BQ97" i="3"/>
  <c r="BL97" i="3" s="1"/>
  <c r="BR97" i="3"/>
  <c r="BS97" i="3"/>
  <c r="BT97" i="3"/>
  <c r="BB98" i="3"/>
  <c r="BC98" i="3"/>
  <c r="BD98" i="3"/>
  <c r="BE98" i="3"/>
  <c r="BF98" i="3"/>
  <c r="BG98" i="3"/>
  <c r="BH98" i="3"/>
  <c r="BI98" i="3"/>
  <c r="BJ98" i="3"/>
  <c r="BK98" i="3"/>
  <c r="BM98" i="3"/>
  <c r="BN98" i="3"/>
  <c r="BO98" i="3"/>
  <c r="BP98" i="3"/>
  <c r="BQ98" i="3"/>
  <c r="BR98" i="3"/>
  <c r="BS98" i="3"/>
  <c r="BT98" i="3"/>
  <c r="BL98" i="3"/>
  <c r="BB99" i="3"/>
  <c r="BC99" i="3"/>
  <c r="BA99" i="3" s="1"/>
  <c r="BD99" i="3"/>
  <c r="BE99" i="3"/>
  <c r="BF99" i="3"/>
  <c r="BG99" i="3"/>
  <c r="BH99" i="3"/>
  <c r="BI99" i="3"/>
  <c r="BJ99" i="3"/>
  <c r="BK99" i="3"/>
  <c r="BM99" i="3"/>
  <c r="BN99" i="3"/>
  <c r="BO99" i="3"/>
  <c r="BP99" i="3"/>
  <c r="BQ99" i="3"/>
  <c r="BL99" i="3" s="1"/>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A101" i="3" s="1"/>
  <c r="BD101" i="3"/>
  <c r="BE101" i="3"/>
  <c r="BF101" i="3"/>
  <c r="BG101" i="3"/>
  <c r="BH101" i="3"/>
  <c r="BI101" i="3"/>
  <c r="BJ101" i="3"/>
  <c r="BK101" i="3"/>
  <c r="BM101" i="3"/>
  <c r="BN101" i="3"/>
  <c r="BO101" i="3"/>
  <c r="BP101" i="3"/>
  <c r="BQ101" i="3"/>
  <c r="BR101" i="3"/>
  <c r="BS101" i="3"/>
  <c r="BT101" i="3"/>
  <c r="BB102" i="3"/>
  <c r="BC102" i="3"/>
  <c r="BD102" i="3"/>
  <c r="BA102" i="3"/>
  <c r="BE102" i="3"/>
  <c r="BF102" i="3"/>
  <c r="BG102" i="3"/>
  <c r="BH102" i="3"/>
  <c r="BI102" i="3"/>
  <c r="BJ102" i="3"/>
  <c r="BK102" i="3"/>
  <c r="BM102" i="3"/>
  <c r="BN102" i="3"/>
  <c r="BO102" i="3"/>
  <c r="BP102" i="3"/>
  <c r="BQ102" i="3"/>
  <c r="BR102" i="3"/>
  <c r="BS102" i="3"/>
  <c r="BT102" i="3"/>
  <c r="BB103" i="3"/>
  <c r="BC103" i="3"/>
  <c r="BA103" i="3"/>
  <c r="BD103" i="3"/>
  <c r="BE103" i="3"/>
  <c r="BF103" i="3"/>
  <c r="BG103" i="3"/>
  <c r="BH103" i="3"/>
  <c r="BI103" i="3"/>
  <c r="BJ103" i="3"/>
  <c r="BK103" i="3"/>
  <c r="BM103" i="3"/>
  <c r="BN103" i="3"/>
  <c r="BO103" i="3"/>
  <c r="BP103" i="3"/>
  <c r="BQ103" i="3"/>
  <c r="BR103" i="3"/>
  <c r="BS103" i="3"/>
  <c r="BT103" i="3"/>
  <c r="BB104" i="3"/>
  <c r="BC104" i="3"/>
  <c r="BD104" i="3"/>
  <c r="BE104" i="3"/>
  <c r="BA104" i="3" s="1"/>
  <c r="BF104" i="3"/>
  <c r="BG104" i="3"/>
  <c r="BH104" i="3"/>
  <c r="BI104" i="3"/>
  <c r="BJ104" i="3"/>
  <c r="BK104" i="3"/>
  <c r="BM104" i="3"/>
  <c r="BN104" i="3"/>
  <c r="BO104" i="3"/>
  <c r="BP104" i="3"/>
  <c r="BQ104" i="3"/>
  <c r="BR104" i="3"/>
  <c r="BS104" i="3"/>
  <c r="BT104" i="3"/>
  <c r="BB105" i="3"/>
  <c r="BC105" i="3"/>
  <c r="BD105" i="3"/>
  <c r="BA105" i="3" s="1"/>
  <c r="BE105" i="3"/>
  <c r="BF105" i="3"/>
  <c r="BG105" i="3"/>
  <c r="BH105" i="3"/>
  <c r="BI105" i="3"/>
  <c r="BJ105" i="3"/>
  <c r="BK105" i="3"/>
  <c r="BM105" i="3"/>
  <c r="BN105" i="3"/>
  <c r="BO105" i="3"/>
  <c r="BP105" i="3"/>
  <c r="BQ105" i="3"/>
  <c r="BR105" i="3"/>
  <c r="BS105" i="3"/>
  <c r="BT105" i="3"/>
  <c r="BB106" i="3"/>
  <c r="BC106" i="3"/>
  <c r="BD106" i="3"/>
  <c r="BE106" i="3"/>
  <c r="BA106" i="3" s="1"/>
  <c r="BF106" i="3"/>
  <c r="BG106" i="3"/>
  <c r="BH106" i="3"/>
  <c r="BI106" i="3"/>
  <c r="BJ106" i="3"/>
  <c r="BK106" i="3"/>
  <c r="BM106" i="3"/>
  <c r="BN106" i="3"/>
  <c r="BO106" i="3"/>
  <c r="BP106" i="3"/>
  <c r="BQ106" i="3"/>
  <c r="BR106" i="3"/>
  <c r="BS106" i="3"/>
  <c r="BT106" i="3"/>
  <c r="BB107" i="3"/>
  <c r="BC107" i="3"/>
  <c r="BD107" i="3"/>
  <c r="BA107" i="3" s="1"/>
  <c r="BE107" i="3"/>
  <c r="BF107" i="3"/>
  <c r="BG107" i="3"/>
  <c r="BH107" i="3"/>
  <c r="BI107" i="3"/>
  <c r="BJ107" i="3"/>
  <c r="BK107" i="3"/>
  <c r="BM107" i="3"/>
  <c r="BN107" i="3"/>
  <c r="BO107" i="3"/>
  <c r="BP107" i="3"/>
  <c r="BQ107" i="3"/>
  <c r="BR107" i="3"/>
  <c r="BS107" i="3"/>
  <c r="BT107" i="3"/>
  <c r="BB108" i="3"/>
  <c r="BC108" i="3"/>
  <c r="BD108" i="3"/>
  <c r="BE108" i="3"/>
  <c r="BA108" i="3" s="1"/>
  <c r="BF108" i="3"/>
  <c r="BG108" i="3"/>
  <c r="BH108" i="3"/>
  <c r="BI108" i="3"/>
  <c r="BJ108" i="3"/>
  <c r="BK108" i="3"/>
  <c r="BM108" i="3"/>
  <c r="BN108" i="3"/>
  <c r="BO108" i="3"/>
  <c r="BP108" i="3"/>
  <c r="BQ108" i="3"/>
  <c r="BR108" i="3"/>
  <c r="BS108" i="3"/>
  <c r="BT108" i="3"/>
  <c r="BB109" i="3"/>
  <c r="BC109" i="3"/>
  <c r="BD109" i="3"/>
  <c r="BA109" i="3" s="1"/>
  <c r="BE109" i="3"/>
  <c r="BF109" i="3"/>
  <c r="BG109" i="3"/>
  <c r="BH109" i="3"/>
  <c r="BI109" i="3"/>
  <c r="BJ109" i="3"/>
  <c r="BK109" i="3"/>
  <c r="BM109" i="3"/>
  <c r="BN109" i="3"/>
  <c r="BO109" i="3"/>
  <c r="BP109" i="3"/>
  <c r="BQ109" i="3"/>
  <c r="BR109" i="3"/>
  <c r="BS109" i="3"/>
  <c r="BT109" i="3"/>
  <c r="BB110" i="3"/>
  <c r="BC110" i="3"/>
  <c r="BD110" i="3"/>
  <c r="BE110" i="3"/>
  <c r="BA110" i="3" s="1"/>
  <c r="BF110" i="3"/>
  <c r="BG110" i="3"/>
  <c r="BH110" i="3"/>
  <c r="BI110" i="3"/>
  <c r="BJ110" i="3"/>
  <c r="BK110" i="3"/>
  <c r="BM110" i="3"/>
  <c r="BN110" i="3"/>
  <c r="BO110" i="3"/>
  <c r="BP110" i="3"/>
  <c r="BQ110" i="3"/>
  <c r="BR110" i="3"/>
  <c r="BS110" i="3"/>
  <c r="BT110" i="3"/>
  <c r="BB111" i="3"/>
  <c r="BC111" i="3"/>
  <c r="BD111" i="3"/>
  <c r="BE111" i="3"/>
  <c r="BA111" i="3" s="1"/>
  <c r="BF111" i="3"/>
  <c r="BG111" i="3"/>
  <c r="BH111" i="3"/>
  <c r="BI111" i="3"/>
  <c r="BJ111" i="3"/>
  <c r="BK111" i="3"/>
  <c r="BM111" i="3"/>
  <c r="BN111" i="3"/>
  <c r="BO111" i="3"/>
  <c r="BP111" i="3"/>
  <c r="BQ111" i="3"/>
  <c r="BL111" i="3" s="1"/>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A113" i="3" s="1"/>
  <c r="BD113" i="3"/>
  <c r="BE113" i="3"/>
  <c r="BF113" i="3"/>
  <c r="BG113" i="3"/>
  <c r="BH113" i="3"/>
  <c r="BI113" i="3"/>
  <c r="BJ113" i="3"/>
  <c r="BK113" i="3"/>
  <c r="BM113" i="3"/>
  <c r="BN113" i="3"/>
  <c r="BO113" i="3"/>
  <c r="BP113" i="3"/>
  <c r="BQ113" i="3"/>
  <c r="BL113" i="3" s="1"/>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A115" i="3" s="1"/>
  <c r="AZ115" i="3" s="1"/>
  <c r="BD115" i="3"/>
  <c r="BE115" i="3"/>
  <c r="BF115" i="3"/>
  <c r="BG115" i="3"/>
  <c r="BH115" i="3"/>
  <c r="BI115" i="3"/>
  <c r="BJ115" i="3"/>
  <c r="BK115" i="3"/>
  <c r="BM115" i="3"/>
  <c r="BN115" i="3"/>
  <c r="BO115" i="3"/>
  <c r="BP115" i="3"/>
  <c r="BQ115" i="3"/>
  <c r="BL115" i="3" s="1"/>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A117" i="3" s="1"/>
  <c r="BD117" i="3"/>
  <c r="BE117" i="3"/>
  <c r="BF117" i="3"/>
  <c r="BG117" i="3"/>
  <c r="BH117" i="3"/>
  <c r="BI117" i="3"/>
  <c r="BJ117" i="3"/>
  <c r="BK117" i="3"/>
  <c r="BM117" i="3"/>
  <c r="BN117" i="3"/>
  <c r="BO117" i="3"/>
  <c r="BP117" i="3"/>
  <c r="BQ117" i="3"/>
  <c r="BL117" i="3" s="1"/>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A119" i="3" s="1"/>
  <c r="AZ119" i="3" s="1"/>
  <c r="BD119" i="3"/>
  <c r="BE119" i="3"/>
  <c r="BF119" i="3"/>
  <c r="BG119" i="3"/>
  <c r="BH119" i="3"/>
  <c r="BI119" i="3"/>
  <c r="BJ119" i="3"/>
  <c r="BK119" i="3"/>
  <c r="BM119" i="3"/>
  <c r="BN119" i="3"/>
  <c r="BO119" i="3"/>
  <c r="BP119" i="3"/>
  <c r="BQ119" i="3"/>
  <c r="BL119" i="3" s="1"/>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A121" i="3" s="1"/>
  <c r="BD121" i="3"/>
  <c r="BE121" i="3"/>
  <c r="BF121" i="3"/>
  <c r="BG121" i="3"/>
  <c r="BH121" i="3"/>
  <c r="BI121" i="3"/>
  <c r="BJ121" i="3"/>
  <c r="BK121" i="3"/>
  <c r="BM121" i="3"/>
  <c r="BN121" i="3"/>
  <c r="BO121" i="3"/>
  <c r="BP121" i="3"/>
  <c r="BQ121" i="3"/>
  <c r="BL121" i="3" s="1"/>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A124" i="3"/>
  <c r="BE124" i="3"/>
  <c r="BF124" i="3"/>
  <c r="BG124" i="3"/>
  <c r="BH124" i="3"/>
  <c r="BI124" i="3"/>
  <c r="BJ124" i="3"/>
  <c r="BK124" i="3"/>
  <c r="BM124" i="3"/>
  <c r="BN124" i="3"/>
  <c r="BO124" i="3"/>
  <c r="BP124" i="3"/>
  <c r="BQ124" i="3"/>
  <c r="BR124" i="3"/>
  <c r="BS124" i="3"/>
  <c r="BT124" i="3"/>
  <c r="BB125" i="3"/>
  <c r="BC125" i="3"/>
  <c r="BA125" i="3"/>
  <c r="BD125" i="3"/>
  <c r="BE125" i="3"/>
  <c r="BF125" i="3"/>
  <c r="BG125" i="3"/>
  <c r="BH125" i="3"/>
  <c r="BI125" i="3"/>
  <c r="BJ125" i="3"/>
  <c r="BK125" i="3"/>
  <c r="BM125" i="3"/>
  <c r="BN125" i="3"/>
  <c r="BO125" i="3"/>
  <c r="BP125" i="3"/>
  <c r="BQ125" i="3"/>
  <c r="BR125" i="3"/>
  <c r="BS125" i="3"/>
  <c r="BT125" i="3"/>
  <c r="BB126" i="3"/>
  <c r="BC126" i="3"/>
  <c r="BD126" i="3"/>
  <c r="BA126" i="3"/>
  <c r="BE126" i="3"/>
  <c r="BF126" i="3"/>
  <c r="BG126" i="3"/>
  <c r="BH126" i="3"/>
  <c r="BI126" i="3"/>
  <c r="BJ126" i="3"/>
  <c r="BK126" i="3"/>
  <c r="BM126" i="3"/>
  <c r="BN126" i="3"/>
  <c r="BO126" i="3"/>
  <c r="BP126" i="3"/>
  <c r="BQ126" i="3"/>
  <c r="BR126" i="3"/>
  <c r="BS126" i="3"/>
  <c r="BT126" i="3"/>
  <c r="BB127" i="3"/>
  <c r="BC127" i="3"/>
  <c r="BD127" i="3"/>
  <c r="BE127" i="3"/>
  <c r="BA127" i="3" s="1"/>
  <c r="BF127" i="3"/>
  <c r="BG127" i="3"/>
  <c r="BH127" i="3"/>
  <c r="BI127" i="3"/>
  <c r="BJ127" i="3"/>
  <c r="BK127" i="3"/>
  <c r="BM127" i="3"/>
  <c r="BN127" i="3"/>
  <c r="BO127" i="3"/>
  <c r="BP127" i="3"/>
  <c r="BQ127" i="3"/>
  <c r="BL127" i="3" s="1"/>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M129" i="3"/>
  <c r="BN129" i="3"/>
  <c r="BO129" i="3"/>
  <c r="BP129" i="3"/>
  <c r="BQ129" i="3"/>
  <c r="BL129" i="3" s="1"/>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M131" i="3"/>
  <c r="BN131" i="3"/>
  <c r="BO131" i="3"/>
  <c r="BP131" i="3"/>
  <c r="BQ131" i="3"/>
  <c r="BR131" i="3"/>
  <c r="BS131" i="3"/>
  <c r="BT131" i="3"/>
  <c r="BB132" i="3"/>
  <c r="BC132" i="3"/>
  <c r="BD132" i="3"/>
  <c r="BE132" i="3"/>
  <c r="BA132" i="3" s="1"/>
  <c r="BF132" i="3"/>
  <c r="BG132" i="3"/>
  <c r="BH132" i="3"/>
  <c r="BI132" i="3"/>
  <c r="BJ132" i="3"/>
  <c r="BK132" i="3"/>
  <c r="BM132" i="3"/>
  <c r="BN132" i="3"/>
  <c r="BO132" i="3"/>
  <c r="BP132" i="3"/>
  <c r="BQ132" i="3"/>
  <c r="BR132" i="3"/>
  <c r="BS132" i="3"/>
  <c r="BT132" i="3"/>
  <c r="BB133" i="3"/>
  <c r="BC133" i="3"/>
  <c r="BD133" i="3"/>
  <c r="BA133" i="3" s="1"/>
  <c r="BE133" i="3"/>
  <c r="BF133" i="3"/>
  <c r="BG133" i="3"/>
  <c r="BH133" i="3"/>
  <c r="BI133" i="3"/>
  <c r="BJ133" i="3"/>
  <c r="BK133" i="3"/>
  <c r="BM133" i="3"/>
  <c r="BN133" i="3"/>
  <c r="BO133" i="3"/>
  <c r="BP133" i="3"/>
  <c r="BQ133" i="3"/>
  <c r="BR133" i="3"/>
  <c r="BS133" i="3"/>
  <c r="BT133" i="3"/>
  <c r="BB134" i="3"/>
  <c r="BC134" i="3"/>
  <c r="BD134" i="3"/>
  <c r="BE134" i="3"/>
  <c r="BA134" i="3" s="1"/>
  <c r="BF134" i="3"/>
  <c r="BG134" i="3"/>
  <c r="BH134" i="3"/>
  <c r="BI134" i="3"/>
  <c r="BJ134" i="3"/>
  <c r="BK134" i="3"/>
  <c r="BM134" i="3"/>
  <c r="BN134" i="3"/>
  <c r="BO134" i="3"/>
  <c r="BP134" i="3"/>
  <c r="BQ134" i="3"/>
  <c r="BR134" i="3"/>
  <c r="BS134" i="3"/>
  <c r="BT134" i="3"/>
  <c r="BB135" i="3"/>
  <c r="BC135" i="3"/>
  <c r="BD135" i="3"/>
  <c r="BE135" i="3"/>
  <c r="BA135" i="3" s="1"/>
  <c r="BF135" i="3"/>
  <c r="BG135" i="3"/>
  <c r="BH135" i="3"/>
  <c r="BI135" i="3"/>
  <c r="BJ135" i="3"/>
  <c r="BK135" i="3"/>
  <c r="BM135" i="3"/>
  <c r="BN135" i="3"/>
  <c r="BO135" i="3"/>
  <c r="BP135" i="3"/>
  <c r="BQ135" i="3"/>
  <c r="BL135" i="3" s="1"/>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A137" i="3" s="1"/>
  <c r="AZ137" i="3" s="1"/>
  <c r="BD137" i="3"/>
  <c r="BE137" i="3"/>
  <c r="BF137" i="3"/>
  <c r="BG137" i="3"/>
  <c r="BH137" i="3"/>
  <c r="BI137" i="3"/>
  <c r="BJ137" i="3"/>
  <c r="BK137" i="3"/>
  <c r="BM137" i="3"/>
  <c r="BN137" i="3"/>
  <c r="BO137" i="3"/>
  <c r="BP137" i="3"/>
  <c r="BQ137" i="3"/>
  <c r="BL137" i="3" s="1"/>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A139" i="3" s="1"/>
  <c r="BD139" i="3"/>
  <c r="BE139" i="3"/>
  <c r="BF139" i="3"/>
  <c r="BG139" i="3"/>
  <c r="BH139" i="3"/>
  <c r="BI139" i="3"/>
  <c r="BJ139" i="3"/>
  <c r="BK139" i="3"/>
  <c r="BM139" i="3"/>
  <c r="BN139" i="3"/>
  <c r="BO139" i="3"/>
  <c r="BP139" i="3"/>
  <c r="BQ139" i="3"/>
  <c r="BR139" i="3"/>
  <c r="BS139" i="3"/>
  <c r="BT139" i="3"/>
  <c r="BB140" i="3"/>
  <c r="BC140" i="3"/>
  <c r="BD140" i="3"/>
  <c r="BA140" i="3"/>
  <c r="BE140" i="3"/>
  <c r="BF140" i="3"/>
  <c r="BG140" i="3"/>
  <c r="BH140" i="3"/>
  <c r="BI140" i="3"/>
  <c r="BJ140" i="3"/>
  <c r="BK140" i="3"/>
  <c r="BM140" i="3"/>
  <c r="BN140" i="3"/>
  <c r="BO140" i="3"/>
  <c r="BP140" i="3"/>
  <c r="BQ140" i="3"/>
  <c r="BR140" i="3"/>
  <c r="BS140" i="3"/>
  <c r="BT140" i="3"/>
  <c r="BB141" i="3"/>
  <c r="BC141" i="3"/>
  <c r="BA141" i="3"/>
  <c r="BD141" i="3"/>
  <c r="BE141" i="3"/>
  <c r="BF141" i="3"/>
  <c r="BG141" i="3"/>
  <c r="BH141" i="3"/>
  <c r="BI141" i="3"/>
  <c r="BJ141" i="3"/>
  <c r="BK141" i="3"/>
  <c r="BM141" i="3"/>
  <c r="BN141" i="3"/>
  <c r="BO141" i="3"/>
  <c r="BP141" i="3"/>
  <c r="BQ141" i="3"/>
  <c r="BR141" i="3"/>
  <c r="BS141" i="3"/>
  <c r="BT141" i="3"/>
  <c r="BB142" i="3"/>
  <c r="BC142" i="3"/>
  <c r="BD142" i="3"/>
  <c r="BA142" i="3"/>
  <c r="BE142" i="3"/>
  <c r="BF142" i="3"/>
  <c r="BG142" i="3"/>
  <c r="BH142" i="3"/>
  <c r="BI142" i="3"/>
  <c r="BJ142" i="3"/>
  <c r="BK142" i="3"/>
  <c r="BM142" i="3"/>
  <c r="BN142" i="3"/>
  <c r="BO142" i="3"/>
  <c r="BP142" i="3"/>
  <c r="BQ142" i="3"/>
  <c r="BR142" i="3"/>
  <c r="BS142" i="3"/>
  <c r="BT142" i="3"/>
  <c r="BB143" i="3"/>
  <c r="BC143" i="3"/>
  <c r="BD143" i="3"/>
  <c r="BE143" i="3"/>
  <c r="BA143" i="3" s="1"/>
  <c r="BF143" i="3"/>
  <c r="BG143" i="3"/>
  <c r="BH143" i="3"/>
  <c r="BI143" i="3"/>
  <c r="BJ143" i="3"/>
  <c r="BK143" i="3"/>
  <c r="BM143" i="3"/>
  <c r="BN143" i="3"/>
  <c r="BO143" i="3"/>
  <c r="BP143" i="3"/>
  <c r="BQ143" i="3"/>
  <c r="BL143" i="3" s="1"/>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L145" i="3" s="1"/>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A148" i="3" s="1"/>
  <c r="BF148" i="3"/>
  <c r="BG148" i="3"/>
  <c r="BH148" i="3"/>
  <c r="BI148" i="3"/>
  <c r="BJ148" i="3"/>
  <c r="BK148" i="3"/>
  <c r="BM148" i="3"/>
  <c r="BN148" i="3"/>
  <c r="BO148" i="3"/>
  <c r="BP148" i="3"/>
  <c r="BQ148" i="3"/>
  <c r="BR148" i="3"/>
  <c r="BS148" i="3"/>
  <c r="BT148" i="3"/>
  <c r="BB149" i="3"/>
  <c r="BC149" i="3"/>
  <c r="BD149" i="3"/>
  <c r="BA149" i="3" s="1"/>
  <c r="BE149" i="3"/>
  <c r="BF149" i="3"/>
  <c r="BG149" i="3"/>
  <c r="BH149" i="3"/>
  <c r="BI149" i="3"/>
  <c r="BJ149" i="3"/>
  <c r="BK149" i="3"/>
  <c r="BM149" i="3"/>
  <c r="BN149" i="3"/>
  <c r="BO149" i="3"/>
  <c r="BP149" i="3"/>
  <c r="BQ149" i="3"/>
  <c r="BR149" i="3"/>
  <c r="BS149" i="3"/>
  <c r="BT149" i="3"/>
  <c r="BB150" i="3"/>
  <c r="BC150" i="3"/>
  <c r="BD150" i="3"/>
  <c r="BE150" i="3"/>
  <c r="BA150" i="3" s="1"/>
  <c r="BF150" i="3"/>
  <c r="BG150" i="3"/>
  <c r="BH150" i="3"/>
  <c r="BI150" i="3"/>
  <c r="BJ150" i="3"/>
  <c r="BK150" i="3"/>
  <c r="BM150" i="3"/>
  <c r="BN150" i="3"/>
  <c r="BO150" i="3"/>
  <c r="BP150" i="3"/>
  <c r="BQ150" i="3"/>
  <c r="BR150" i="3"/>
  <c r="BS150" i="3"/>
  <c r="BT150" i="3"/>
  <c r="BB151" i="3"/>
  <c r="BC151" i="3"/>
  <c r="BD151" i="3"/>
  <c r="BE151" i="3"/>
  <c r="BA151" i="3" s="1"/>
  <c r="BF151" i="3"/>
  <c r="BG151" i="3"/>
  <c r="BH151" i="3"/>
  <c r="BI151" i="3"/>
  <c r="BJ151" i="3"/>
  <c r="BK151" i="3"/>
  <c r="BM151" i="3"/>
  <c r="BN151" i="3"/>
  <c r="BO151" i="3"/>
  <c r="BP151" i="3"/>
  <c r="BQ151" i="3"/>
  <c r="BL151" i="3" s="1"/>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L153" i="3" s="1"/>
  <c r="BR153" i="3"/>
  <c r="BS153" i="3"/>
  <c r="BT153" i="3"/>
  <c r="BB154" i="3"/>
  <c r="BC154" i="3"/>
  <c r="BD154" i="3"/>
  <c r="BA154" i="3" s="1"/>
  <c r="AZ154" i="3" s="1"/>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M157" i="3"/>
  <c r="BN157" i="3"/>
  <c r="BO157" i="3"/>
  <c r="BP157" i="3"/>
  <c r="BQ157" i="3"/>
  <c r="BL157" i="3" s="1"/>
  <c r="BR157" i="3"/>
  <c r="BS157" i="3"/>
  <c r="BT157" i="3"/>
  <c r="BB158" i="3"/>
  <c r="BC158" i="3"/>
  <c r="BA158" i="3"/>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L161" i="3" s="1"/>
  <c r="BR161" i="3"/>
  <c r="BS161" i="3"/>
  <c r="BT161" i="3"/>
  <c r="BB162" i="3"/>
  <c r="BC162" i="3"/>
  <c r="BD162" i="3"/>
  <c r="BA162" i="3" s="1"/>
  <c r="AZ162" i="3" s="1"/>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M163" i="3"/>
  <c r="BN163" i="3"/>
  <c r="BO163" i="3"/>
  <c r="BP163" i="3"/>
  <c r="BQ163" i="3"/>
  <c r="BR163" i="3"/>
  <c r="BS163" i="3"/>
  <c r="BT163" i="3"/>
  <c r="BB164" i="3"/>
  <c r="BC164" i="3"/>
  <c r="BD164" i="3"/>
  <c r="BE164" i="3"/>
  <c r="BA164" i="3" s="1"/>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AZ165" i="3" s="1"/>
  <c r="BM165" i="3"/>
  <c r="BN165" i="3"/>
  <c r="BL165" i="3" s="1"/>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A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A169" i="3"/>
  <c r="BM169" i="3"/>
  <c r="BN169" i="3"/>
  <c r="BO169" i="3"/>
  <c r="BL169" i="3"/>
  <c r="BP169" i="3"/>
  <c r="BQ169" i="3"/>
  <c r="BR169" i="3"/>
  <c r="BS169" i="3"/>
  <c r="BT169" i="3"/>
  <c r="BB170" i="3"/>
  <c r="BC170" i="3"/>
  <c r="BD170" i="3"/>
  <c r="BE170" i="3"/>
  <c r="BA170" i="3" s="1"/>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L171" i="3" s="1"/>
  <c r="BQ171" i="3"/>
  <c r="BR171" i="3"/>
  <c r="BS171" i="3"/>
  <c r="BT171" i="3"/>
  <c r="BB172" i="3"/>
  <c r="BC172" i="3"/>
  <c r="BD172" i="3"/>
  <c r="BA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AZ173" i="3" s="1"/>
  <c r="BM173" i="3"/>
  <c r="BN173" i="3"/>
  <c r="BL173" i="3" s="1"/>
  <c r="BO173" i="3"/>
  <c r="BP173" i="3"/>
  <c r="BQ173" i="3"/>
  <c r="BR173" i="3"/>
  <c r="BS173" i="3"/>
  <c r="BT173" i="3"/>
  <c r="BB174" i="3"/>
  <c r="BC174" i="3"/>
  <c r="BD174" i="3"/>
  <c r="BE174" i="3"/>
  <c r="BA174" i="3" s="1"/>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L175" i="3" s="1"/>
  <c r="BQ175" i="3"/>
  <c r="BR175" i="3"/>
  <c r="BS175" i="3"/>
  <c r="BT175" i="3"/>
  <c r="BB176" i="3"/>
  <c r="BC176" i="3"/>
  <c r="BD176" i="3"/>
  <c r="BA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s="1"/>
  <c r="BM177" i="3"/>
  <c r="BN177" i="3"/>
  <c r="BO177" i="3"/>
  <c r="BP177" i="3"/>
  <c r="BQ177" i="3"/>
  <c r="BL177" i="3" s="1"/>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L179" i="3" s="1"/>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B182" i="3"/>
  <c r="BC182" i="3"/>
  <c r="BD182" i="3"/>
  <c r="BE182" i="3"/>
  <c r="BA182" i="3" s="1"/>
  <c r="BF182" i="3"/>
  <c r="BG182" i="3"/>
  <c r="BH182" i="3"/>
  <c r="BI182" i="3"/>
  <c r="BJ182" i="3"/>
  <c r="BK182" i="3"/>
  <c r="BM182" i="3"/>
  <c r="BN182" i="3"/>
  <c r="BO182" i="3"/>
  <c r="BP182" i="3"/>
  <c r="BQ182" i="3"/>
  <c r="BR182" i="3"/>
  <c r="BS182" i="3"/>
  <c r="BT182" i="3"/>
  <c r="BB183" i="3"/>
  <c r="BC183" i="3"/>
  <c r="BD183" i="3"/>
  <c r="BA183" i="3" s="1"/>
  <c r="BE183" i="3"/>
  <c r="BF183" i="3"/>
  <c r="BG183" i="3"/>
  <c r="BH183" i="3"/>
  <c r="BI183" i="3"/>
  <c r="BJ183" i="3"/>
  <c r="BK183" i="3"/>
  <c r="BM183" i="3"/>
  <c r="BN183" i="3"/>
  <c r="BO183" i="3"/>
  <c r="BP183" i="3"/>
  <c r="BQ183" i="3"/>
  <c r="BR183" i="3"/>
  <c r="BS183" i="3"/>
  <c r="BT183" i="3"/>
  <c r="BB184" i="3"/>
  <c r="BC184" i="3"/>
  <c r="BD184" i="3"/>
  <c r="BE184" i="3"/>
  <c r="BA184" i="3" s="1"/>
  <c r="BF184" i="3"/>
  <c r="BG184" i="3"/>
  <c r="BH184" i="3"/>
  <c r="BI184" i="3"/>
  <c r="BJ184" i="3"/>
  <c r="BK184" i="3"/>
  <c r="BM184" i="3"/>
  <c r="BN184" i="3"/>
  <c r="BO184" i="3"/>
  <c r="BP184" i="3"/>
  <c r="BQ184" i="3"/>
  <c r="BR184" i="3"/>
  <c r="BS184" i="3"/>
  <c r="BT184" i="3"/>
  <c r="BB185" i="3"/>
  <c r="BC185" i="3"/>
  <c r="BD185" i="3"/>
  <c r="BE185" i="3"/>
  <c r="BA185" i="3" s="1"/>
  <c r="BF185" i="3"/>
  <c r="BG185" i="3"/>
  <c r="BH185" i="3"/>
  <c r="BI185" i="3"/>
  <c r="BJ185" i="3"/>
  <c r="BK185" i="3"/>
  <c r="BM185" i="3"/>
  <c r="BN185" i="3"/>
  <c r="BO185" i="3"/>
  <c r="BP185" i="3"/>
  <c r="BQ185" i="3"/>
  <c r="BL185" i="3" s="1"/>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A187" i="3" s="1"/>
  <c r="AZ187" i="3" s="1"/>
  <c r="BD187" i="3"/>
  <c r="BE187" i="3"/>
  <c r="BF187" i="3"/>
  <c r="BG187" i="3"/>
  <c r="BH187" i="3"/>
  <c r="BI187" i="3"/>
  <c r="BJ187" i="3"/>
  <c r="BK187" i="3"/>
  <c r="BM187" i="3"/>
  <c r="BN187" i="3"/>
  <c r="BO187" i="3"/>
  <c r="BP187" i="3"/>
  <c r="BQ187" i="3"/>
  <c r="BL187" i="3" s="1"/>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A189" i="3" s="1"/>
  <c r="BD189" i="3"/>
  <c r="BE189" i="3"/>
  <c r="BF189" i="3"/>
  <c r="BG189" i="3"/>
  <c r="BH189" i="3"/>
  <c r="BI189" i="3"/>
  <c r="BJ189" i="3"/>
  <c r="BK189" i="3"/>
  <c r="BM189" i="3"/>
  <c r="BN189" i="3"/>
  <c r="BO189" i="3"/>
  <c r="BP189" i="3"/>
  <c r="BQ189" i="3"/>
  <c r="BR189" i="3"/>
  <c r="BS189" i="3"/>
  <c r="BT189" i="3"/>
  <c r="BB190" i="3"/>
  <c r="BC190" i="3"/>
  <c r="BD190" i="3"/>
  <c r="BA190" i="3"/>
  <c r="BE190" i="3"/>
  <c r="BF190" i="3"/>
  <c r="BG190" i="3"/>
  <c r="BH190" i="3"/>
  <c r="BI190" i="3"/>
  <c r="BJ190" i="3"/>
  <c r="BK190" i="3"/>
  <c r="BM190" i="3"/>
  <c r="BN190" i="3"/>
  <c r="BO190" i="3"/>
  <c r="BP190" i="3"/>
  <c r="BQ190" i="3"/>
  <c r="BR190" i="3"/>
  <c r="BS190" i="3"/>
  <c r="BT190" i="3"/>
  <c r="BB191" i="3"/>
  <c r="BC191" i="3"/>
  <c r="BA191" i="3"/>
  <c r="BD191" i="3"/>
  <c r="BE191" i="3"/>
  <c r="BF191" i="3"/>
  <c r="BG191" i="3"/>
  <c r="BH191" i="3"/>
  <c r="BI191" i="3"/>
  <c r="BJ191" i="3"/>
  <c r="BK191" i="3"/>
  <c r="BM191" i="3"/>
  <c r="BN191" i="3"/>
  <c r="BO191" i="3"/>
  <c r="BP191" i="3"/>
  <c r="BQ191" i="3"/>
  <c r="BR191" i="3"/>
  <c r="BS191" i="3"/>
  <c r="BT191" i="3"/>
  <c r="BB192" i="3"/>
  <c r="BC192" i="3"/>
  <c r="BD192" i="3"/>
  <c r="BA192" i="3"/>
  <c r="BE192" i="3"/>
  <c r="BF192" i="3"/>
  <c r="BG192" i="3"/>
  <c r="BH192" i="3"/>
  <c r="BI192" i="3"/>
  <c r="BJ192" i="3"/>
  <c r="BK192" i="3"/>
  <c r="BM192" i="3"/>
  <c r="BN192" i="3"/>
  <c r="BO192" i="3"/>
  <c r="BP192" i="3"/>
  <c r="BQ192" i="3"/>
  <c r="BR192" i="3"/>
  <c r="BS192" i="3"/>
  <c r="BT192" i="3"/>
  <c r="BB193" i="3"/>
  <c r="BC193" i="3"/>
  <c r="BD193" i="3"/>
  <c r="BE193" i="3"/>
  <c r="BA193" i="3" s="1"/>
  <c r="BF193" i="3"/>
  <c r="BG193" i="3"/>
  <c r="BH193" i="3"/>
  <c r="BI193" i="3"/>
  <c r="BJ193" i="3"/>
  <c r="BK193" i="3"/>
  <c r="BM193" i="3"/>
  <c r="BN193" i="3"/>
  <c r="BO193" i="3"/>
  <c r="BP193" i="3"/>
  <c r="BQ193" i="3"/>
  <c r="BL193" i="3" s="1"/>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M195" i="3"/>
  <c r="BN195" i="3"/>
  <c r="BO195" i="3"/>
  <c r="BP195" i="3"/>
  <c r="BQ195" i="3"/>
  <c r="BL195" i="3" s="1"/>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A201" i="3" s="1"/>
  <c r="BF201" i="3"/>
  <c r="BG201" i="3"/>
  <c r="BH201" i="3"/>
  <c r="BI201" i="3"/>
  <c r="BJ201" i="3"/>
  <c r="BK201" i="3"/>
  <c r="BM201" i="3"/>
  <c r="BN201" i="3"/>
  <c r="BO201" i="3"/>
  <c r="BP201" i="3"/>
  <c r="BQ201" i="3"/>
  <c r="BL201" i="3" s="1"/>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AZ203" i="3" s="1"/>
  <c r="BD203" i="3"/>
  <c r="BE203" i="3"/>
  <c r="BF203" i="3"/>
  <c r="BG203" i="3"/>
  <c r="BH203" i="3"/>
  <c r="BI203" i="3"/>
  <c r="BJ203" i="3"/>
  <c r="BK203" i="3"/>
  <c r="BM203" i="3"/>
  <c r="BN203" i="3"/>
  <c r="BO203" i="3"/>
  <c r="BP203" i="3"/>
  <c r="BQ203" i="3"/>
  <c r="BL203" i="3" s="1"/>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A205" i="3" s="1"/>
  <c r="BD205" i="3"/>
  <c r="BE205" i="3"/>
  <c r="BF205" i="3"/>
  <c r="BG205" i="3"/>
  <c r="BH205" i="3"/>
  <c r="BI205" i="3"/>
  <c r="BJ205" i="3"/>
  <c r="BK205" i="3"/>
  <c r="BM205" i="3"/>
  <c r="BN205" i="3"/>
  <c r="BO205" i="3"/>
  <c r="BP205" i="3"/>
  <c r="BQ205" i="3"/>
  <c r="BR205" i="3"/>
  <c r="BS205" i="3"/>
  <c r="BT205" i="3"/>
  <c r="BB206" i="3"/>
  <c r="BC206" i="3"/>
  <c r="BD206" i="3"/>
  <c r="BA206" i="3"/>
  <c r="BE206" i="3"/>
  <c r="BF206" i="3"/>
  <c r="BG206" i="3"/>
  <c r="BH206" i="3"/>
  <c r="BI206" i="3"/>
  <c r="BJ206" i="3"/>
  <c r="BK206" i="3"/>
  <c r="BM206" i="3"/>
  <c r="BN206" i="3"/>
  <c r="BO206" i="3"/>
  <c r="BP206" i="3"/>
  <c r="BQ206" i="3"/>
  <c r="BR206" i="3"/>
  <c r="BS206" i="3"/>
  <c r="BT206" i="3"/>
  <c r="BB207" i="3"/>
  <c r="BC207" i="3"/>
  <c r="BA207" i="3"/>
  <c r="BD207" i="3"/>
  <c r="BE207" i="3"/>
  <c r="BF207" i="3"/>
  <c r="BG207" i="3"/>
  <c r="BH207" i="3"/>
  <c r="BI207" i="3"/>
  <c r="BJ207" i="3"/>
  <c r="BK207" i="3"/>
  <c r="BM207" i="3"/>
  <c r="BN207" i="3"/>
  <c r="BO207" i="3"/>
  <c r="BP207" i="3"/>
  <c r="BQ207" i="3"/>
  <c r="BR207" i="3"/>
  <c r="BS207" i="3"/>
  <c r="BT207" i="3"/>
  <c r="BB208" i="3"/>
  <c r="BC208" i="3"/>
  <c r="BD208" i="3"/>
  <c r="BA208" i="3"/>
  <c r="BE208" i="3"/>
  <c r="BF208" i="3"/>
  <c r="BG208" i="3"/>
  <c r="BH208" i="3"/>
  <c r="BI208" i="3"/>
  <c r="BJ208" i="3"/>
  <c r="BK208" i="3"/>
  <c r="BM208" i="3"/>
  <c r="BN208" i="3"/>
  <c r="BO208" i="3"/>
  <c r="BP208" i="3"/>
  <c r="BQ208" i="3"/>
  <c r="BR208" i="3"/>
  <c r="BS208" i="3"/>
  <c r="BT208" i="3"/>
  <c r="BB209" i="3"/>
  <c r="BC209" i="3"/>
  <c r="BD209" i="3"/>
  <c r="BE209" i="3"/>
  <c r="BA209" i="3" s="1"/>
  <c r="BF209" i="3"/>
  <c r="BG209" i="3"/>
  <c r="BH209" i="3"/>
  <c r="BI209" i="3"/>
  <c r="BJ209" i="3"/>
  <c r="BK209" i="3"/>
  <c r="BM209" i="3"/>
  <c r="BN209" i="3"/>
  <c r="BO209" i="3"/>
  <c r="BP209" i="3"/>
  <c r="BQ209" i="3"/>
  <c r="BL209" i="3" s="1"/>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M211" i="3"/>
  <c r="BN211" i="3"/>
  <c r="BO211" i="3"/>
  <c r="BP211" i="3"/>
  <c r="BQ211" i="3"/>
  <c r="BL211" i="3" s="1"/>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M213" i="3"/>
  <c r="BN213" i="3"/>
  <c r="BO213" i="3"/>
  <c r="BP213" i="3"/>
  <c r="BQ213" i="3"/>
  <c r="BR213" i="3"/>
  <c r="BS213" i="3"/>
  <c r="BT213" i="3"/>
  <c r="BB214" i="3"/>
  <c r="BC214" i="3"/>
  <c r="BD214" i="3"/>
  <c r="BE214" i="3"/>
  <c r="BA214" i="3" s="1"/>
  <c r="BF214" i="3"/>
  <c r="BG214" i="3"/>
  <c r="BH214" i="3"/>
  <c r="BI214" i="3"/>
  <c r="BJ214" i="3"/>
  <c r="BK214" i="3"/>
  <c r="BM214" i="3"/>
  <c r="BN214" i="3"/>
  <c r="BO214" i="3"/>
  <c r="BP214" i="3"/>
  <c r="BQ214" i="3"/>
  <c r="BR214" i="3"/>
  <c r="BS214" i="3"/>
  <c r="BT214" i="3"/>
  <c r="BB215" i="3"/>
  <c r="BC215" i="3"/>
  <c r="BD215" i="3"/>
  <c r="BA215" i="3" s="1"/>
  <c r="BE215" i="3"/>
  <c r="BF215" i="3"/>
  <c r="BG215" i="3"/>
  <c r="BH215" i="3"/>
  <c r="BI215" i="3"/>
  <c r="BJ215" i="3"/>
  <c r="BK215" i="3"/>
  <c r="BM215" i="3"/>
  <c r="BN215" i="3"/>
  <c r="BO215" i="3"/>
  <c r="BP215" i="3"/>
  <c r="BQ215" i="3"/>
  <c r="BR215" i="3"/>
  <c r="BS215" i="3"/>
  <c r="BT215" i="3"/>
  <c r="BB216" i="3"/>
  <c r="BC216" i="3"/>
  <c r="BD216" i="3"/>
  <c r="BE216" i="3"/>
  <c r="BA216" i="3" s="1"/>
  <c r="BF216" i="3"/>
  <c r="BG216" i="3"/>
  <c r="BH216" i="3"/>
  <c r="BI216" i="3"/>
  <c r="BJ216" i="3"/>
  <c r="BK216" i="3"/>
  <c r="BM216" i="3"/>
  <c r="BN216" i="3"/>
  <c r="BO216" i="3"/>
  <c r="BP216" i="3"/>
  <c r="BQ216" i="3"/>
  <c r="BR216" i="3"/>
  <c r="BS216" i="3"/>
  <c r="BT216" i="3"/>
  <c r="BB217" i="3"/>
  <c r="BC217" i="3"/>
  <c r="BD217" i="3"/>
  <c r="BE217" i="3"/>
  <c r="BA217" i="3" s="1"/>
  <c r="BF217" i="3"/>
  <c r="BG217" i="3"/>
  <c r="BH217" i="3"/>
  <c r="BI217" i="3"/>
  <c r="BJ217" i="3"/>
  <c r="BK217" i="3"/>
  <c r="BM217" i="3"/>
  <c r="BN217" i="3"/>
  <c r="BO217" i="3"/>
  <c r="BP217" i="3"/>
  <c r="BQ217" i="3"/>
  <c r="BL217" i="3" s="1"/>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A219" i="3" s="1"/>
  <c r="BD219" i="3"/>
  <c r="BE219" i="3"/>
  <c r="BF219" i="3"/>
  <c r="BG219" i="3"/>
  <c r="BH219" i="3"/>
  <c r="BI219" i="3"/>
  <c r="BJ219" i="3"/>
  <c r="BK219" i="3"/>
  <c r="BM219" i="3"/>
  <c r="BN219" i="3"/>
  <c r="BO219" i="3"/>
  <c r="BP219" i="3"/>
  <c r="BQ219" i="3"/>
  <c r="BL219" i="3" s="1"/>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A221" i="3" s="1"/>
  <c r="BD221" i="3"/>
  <c r="BE221" i="3"/>
  <c r="BF221" i="3"/>
  <c r="BG221" i="3"/>
  <c r="BH221" i="3"/>
  <c r="BI221" i="3"/>
  <c r="BJ221" i="3"/>
  <c r="BK221" i="3"/>
  <c r="BM221" i="3"/>
  <c r="BN221" i="3"/>
  <c r="BO221" i="3"/>
  <c r="BP221" i="3"/>
  <c r="BQ221" i="3"/>
  <c r="BR221" i="3"/>
  <c r="BS221" i="3"/>
  <c r="BT221" i="3"/>
  <c r="BB222" i="3"/>
  <c r="BC222" i="3"/>
  <c r="BD222" i="3"/>
  <c r="BA222" i="3"/>
  <c r="BE222" i="3"/>
  <c r="BF222" i="3"/>
  <c r="BG222" i="3"/>
  <c r="BH222" i="3"/>
  <c r="BI222" i="3"/>
  <c r="BJ222" i="3"/>
  <c r="BK222" i="3"/>
  <c r="BM222" i="3"/>
  <c r="BN222" i="3"/>
  <c r="BO222" i="3"/>
  <c r="BP222" i="3"/>
  <c r="BQ222" i="3"/>
  <c r="BR222" i="3"/>
  <c r="BS222" i="3"/>
  <c r="BT222" i="3"/>
  <c r="BB223" i="3"/>
  <c r="BC223" i="3"/>
  <c r="BA223" i="3"/>
  <c r="BD223" i="3"/>
  <c r="BE223" i="3"/>
  <c r="BF223" i="3"/>
  <c r="BG223" i="3"/>
  <c r="BH223" i="3"/>
  <c r="BI223" i="3"/>
  <c r="BJ223" i="3"/>
  <c r="BK223" i="3"/>
  <c r="BM223" i="3"/>
  <c r="BN223" i="3"/>
  <c r="BO223" i="3"/>
  <c r="BP223" i="3"/>
  <c r="BQ223" i="3"/>
  <c r="BR223" i="3"/>
  <c r="BS223" i="3"/>
  <c r="BT223" i="3"/>
  <c r="BB224" i="3"/>
  <c r="BC224" i="3"/>
  <c r="BD224" i="3"/>
  <c r="BA224" i="3"/>
  <c r="BE224" i="3"/>
  <c r="BF224" i="3"/>
  <c r="BG224" i="3"/>
  <c r="BH224" i="3"/>
  <c r="BI224" i="3"/>
  <c r="BJ224" i="3"/>
  <c r="BK224" i="3"/>
  <c r="BM224" i="3"/>
  <c r="BN224" i="3"/>
  <c r="BO224" i="3"/>
  <c r="BP224" i="3"/>
  <c r="BQ224" i="3"/>
  <c r="BR224" i="3"/>
  <c r="BS224" i="3"/>
  <c r="BT224" i="3"/>
  <c r="BB225" i="3"/>
  <c r="BC225" i="3"/>
  <c r="BD225" i="3"/>
  <c r="BE225" i="3"/>
  <c r="BA225" i="3" s="1"/>
  <c r="BF225" i="3"/>
  <c r="BG225" i="3"/>
  <c r="BH225" i="3"/>
  <c r="BI225" i="3"/>
  <c r="BJ225" i="3"/>
  <c r="BK225" i="3"/>
  <c r="BM225" i="3"/>
  <c r="BN225" i="3"/>
  <c r="BO225" i="3"/>
  <c r="BP225" i="3"/>
  <c r="BQ225" i="3"/>
  <c r="BL225" i="3" s="1"/>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M227" i="3"/>
  <c r="BN227" i="3"/>
  <c r="BO227" i="3"/>
  <c r="BP227" i="3"/>
  <c r="BQ227" i="3"/>
  <c r="BL227" i="3" s="1"/>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M229" i="3"/>
  <c r="BN229" i="3"/>
  <c r="BO229" i="3"/>
  <c r="BP229" i="3"/>
  <c r="BQ229" i="3"/>
  <c r="BR229" i="3"/>
  <c r="BS229" i="3"/>
  <c r="BT229" i="3"/>
  <c r="BB230" i="3"/>
  <c r="BC230" i="3"/>
  <c r="BD230" i="3"/>
  <c r="BE230" i="3"/>
  <c r="BA230" i="3" s="1"/>
  <c r="BF230" i="3"/>
  <c r="BG230" i="3"/>
  <c r="BH230" i="3"/>
  <c r="BI230" i="3"/>
  <c r="BJ230" i="3"/>
  <c r="BK230" i="3"/>
  <c r="BM230" i="3"/>
  <c r="BN230" i="3"/>
  <c r="BO230" i="3"/>
  <c r="BP230" i="3"/>
  <c r="BQ230" i="3"/>
  <c r="BR230" i="3"/>
  <c r="BS230" i="3"/>
  <c r="BT230" i="3"/>
  <c r="BB231" i="3"/>
  <c r="BC231" i="3"/>
  <c r="BD231" i="3"/>
  <c r="BA231" i="3" s="1"/>
  <c r="BE231" i="3"/>
  <c r="BF231" i="3"/>
  <c r="BG231" i="3"/>
  <c r="BH231" i="3"/>
  <c r="BI231" i="3"/>
  <c r="BJ231" i="3"/>
  <c r="BK231" i="3"/>
  <c r="BM231" i="3"/>
  <c r="BN231" i="3"/>
  <c r="BO231" i="3"/>
  <c r="BP231" i="3"/>
  <c r="BQ231" i="3"/>
  <c r="BR231" i="3"/>
  <c r="BS231" i="3"/>
  <c r="BT231" i="3"/>
  <c r="BB232" i="3"/>
  <c r="BC232" i="3"/>
  <c r="BD232" i="3"/>
  <c r="BE232" i="3"/>
  <c r="BA232" i="3" s="1"/>
  <c r="BF232" i="3"/>
  <c r="BG232" i="3"/>
  <c r="BH232" i="3"/>
  <c r="BI232" i="3"/>
  <c r="BJ232" i="3"/>
  <c r="BK232" i="3"/>
  <c r="BM232" i="3"/>
  <c r="BN232" i="3"/>
  <c r="BO232" i="3"/>
  <c r="BP232" i="3"/>
  <c r="BQ232" i="3"/>
  <c r="BR232" i="3"/>
  <c r="BS232" i="3"/>
  <c r="BT232" i="3"/>
  <c r="BB233" i="3"/>
  <c r="BC233" i="3"/>
  <c r="BD233" i="3"/>
  <c r="BE233" i="3"/>
  <c r="BA233" i="3" s="1"/>
  <c r="BF233" i="3"/>
  <c r="BG233" i="3"/>
  <c r="BH233" i="3"/>
  <c r="BI233" i="3"/>
  <c r="BJ233" i="3"/>
  <c r="BK233" i="3"/>
  <c r="BM233" i="3"/>
  <c r="BN233" i="3"/>
  <c r="BO233" i="3"/>
  <c r="BP233" i="3"/>
  <c r="BQ233" i="3"/>
  <c r="BL233" i="3" s="1"/>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A235" i="3" s="1"/>
  <c r="BD235" i="3"/>
  <c r="BE235" i="3"/>
  <c r="BF235" i="3"/>
  <c r="BG235" i="3"/>
  <c r="BH235" i="3"/>
  <c r="BI235" i="3"/>
  <c r="BJ235" i="3"/>
  <c r="BK235" i="3"/>
  <c r="BM235" i="3"/>
  <c r="BN235" i="3"/>
  <c r="BO235" i="3"/>
  <c r="BP235" i="3"/>
  <c r="BQ235" i="3"/>
  <c r="BL235" i="3" s="1"/>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A237" i="3" s="1"/>
  <c r="BD237" i="3"/>
  <c r="BE237" i="3"/>
  <c r="BF237" i="3"/>
  <c r="BG237" i="3"/>
  <c r="BH237" i="3"/>
  <c r="BI237" i="3"/>
  <c r="BJ237" i="3"/>
  <c r="BK237" i="3"/>
  <c r="BM237" i="3"/>
  <c r="BN237" i="3"/>
  <c r="BO237" i="3"/>
  <c r="BP237" i="3"/>
  <c r="BQ237" i="3"/>
  <c r="BR237" i="3"/>
  <c r="BS237" i="3"/>
  <c r="BT237" i="3"/>
  <c r="BB238" i="3"/>
  <c r="BC238" i="3"/>
  <c r="BD238" i="3"/>
  <c r="BA238" i="3"/>
  <c r="BE238" i="3"/>
  <c r="BF238" i="3"/>
  <c r="BG238" i="3"/>
  <c r="BH238" i="3"/>
  <c r="BI238" i="3"/>
  <c r="BJ238" i="3"/>
  <c r="BK238" i="3"/>
  <c r="BM238" i="3"/>
  <c r="BN238" i="3"/>
  <c r="BO238" i="3"/>
  <c r="BP238" i="3"/>
  <c r="BQ238" i="3"/>
  <c r="BR238" i="3"/>
  <c r="BS238" i="3"/>
  <c r="BT238" i="3"/>
  <c r="BB239" i="3"/>
  <c r="BC239" i="3"/>
  <c r="BA239" i="3"/>
  <c r="BD239" i="3"/>
  <c r="BE239" i="3"/>
  <c r="BF239" i="3"/>
  <c r="BG239" i="3"/>
  <c r="BH239" i="3"/>
  <c r="BI239" i="3"/>
  <c r="BJ239" i="3"/>
  <c r="BK239" i="3"/>
  <c r="BM239" i="3"/>
  <c r="BN239" i="3"/>
  <c r="BO239" i="3"/>
  <c r="BP239" i="3"/>
  <c r="BQ239" i="3"/>
  <c r="BR239" i="3"/>
  <c r="BS239" i="3"/>
  <c r="BT239" i="3"/>
  <c r="BB240" i="3"/>
  <c r="BC240" i="3"/>
  <c r="BD240" i="3"/>
  <c r="BA240" i="3"/>
  <c r="BE240" i="3"/>
  <c r="BF240" i="3"/>
  <c r="BG240" i="3"/>
  <c r="BH240" i="3"/>
  <c r="BI240" i="3"/>
  <c r="BJ240" i="3"/>
  <c r="BK240" i="3"/>
  <c r="BM240" i="3"/>
  <c r="BN240" i="3"/>
  <c r="BO240" i="3"/>
  <c r="BP240" i="3"/>
  <c r="BQ240" i="3"/>
  <c r="BR240" i="3"/>
  <c r="BS240" i="3"/>
  <c r="BT240" i="3"/>
  <c r="BB241" i="3"/>
  <c r="BC241" i="3"/>
  <c r="BD241" i="3"/>
  <c r="BE241" i="3"/>
  <c r="BA241" i="3" s="1"/>
  <c r="BF241" i="3"/>
  <c r="BG241" i="3"/>
  <c r="BH241" i="3"/>
  <c r="BI241" i="3"/>
  <c r="BJ241" i="3"/>
  <c r="BK241" i="3"/>
  <c r="BM241" i="3"/>
  <c r="BN241" i="3"/>
  <c r="BO241" i="3"/>
  <c r="BP241" i="3"/>
  <c r="BQ241" i="3"/>
  <c r="BL241" i="3" s="1"/>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M243" i="3"/>
  <c r="BN243" i="3"/>
  <c r="BO243" i="3"/>
  <c r="BP243" i="3"/>
  <c r="BQ243" i="3"/>
  <c r="BL243" i="3" s="1"/>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A246" i="3" s="1"/>
  <c r="BF246" i="3"/>
  <c r="BG246" i="3"/>
  <c r="BH246" i="3"/>
  <c r="BI246" i="3"/>
  <c r="BJ246" i="3"/>
  <c r="BK246" i="3"/>
  <c r="BM246" i="3"/>
  <c r="BN246" i="3"/>
  <c r="BO246" i="3"/>
  <c r="BP246" i="3"/>
  <c r="BQ246" i="3"/>
  <c r="BR246" i="3"/>
  <c r="BS246" i="3"/>
  <c r="BT246" i="3"/>
  <c r="BB247" i="3"/>
  <c r="BC247" i="3"/>
  <c r="BD247" i="3"/>
  <c r="BA247" i="3" s="1"/>
  <c r="BE247" i="3"/>
  <c r="BF247" i="3"/>
  <c r="BG247" i="3"/>
  <c r="BH247" i="3"/>
  <c r="BI247" i="3"/>
  <c r="BJ247" i="3"/>
  <c r="BK247" i="3"/>
  <c r="BM247" i="3"/>
  <c r="BN247" i="3"/>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A249" i="3" s="1"/>
  <c r="BF249" i="3"/>
  <c r="BG249" i="3"/>
  <c r="BH249" i="3"/>
  <c r="BI249" i="3"/>
  <c r="BJ249" i="3"/>
  <c r="BK249" i="3"/>
  <c r="BM249" i="3"/>
  <c r="BN249" i="3"/>
  <c r="BO249" i="3"/>
  <c r="BP249" i="3"/>
  <c r="BQ249" i="3"/>
  <c r="BL249" i="3" s="1"/>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L251" i="3" s="1"/>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A253" i="3" s="1"/>
  <c r="BD253" i="3"/>
  <c r="BE253" i="3"/>
  <c r="BF253" i="3"/>
  <c r="BG253" i="3"/>
  <c r="BH253" i="3"/>
  <c r="BI253" i="3"/>
  <c r="BJ253" i="3"/>
  <c r="BK253" i="3"/>
  <c r="BM253" i="3"/>
  <c r="BN253" i="3"/>
  <c r="BO253" i="3"/>
  <c r="BP253" i="3"/>
  <c r="BQ253" i="3"/>
  <c r="BR253" i="3"/>
  <c r="BS253" i="3"/>
  <c r="BT253" i="3"/>
  <c r="BB254" i="3"/>
  <c r="BC254" i="3"/>
  <c r="BD254" i="3"/>
  <c r="BA254" i="3"/>
  <c r="BE254" i="3"/>
  <c r="BF254" i="3"/>
  <c r="BG254" i="3"/>
  <c r="BH254" i="3"/>
  <c r="BI254" i="3"/>
  <c r="BJ254" i="3"/>
  <c r="BK254" i="3"/>
  <c r="BM254" i="3"/>
  <c r="BN254" i="3"/>
  <c r="BO254" i="3"/>
  <c r="BP254" i="3"/>
  <c r="BQ254" i="3"/>
  <c r="BR254" i="3"/>
  <c r="BS254" i="3"/>
  <c r="BT254" i="3"/>
  <c r="BB255" i="3"/>
  <c r="BC255" i="3"/>
  <c r="BA255" i="3"/>
  <c r="BD255" i="3"/>
  <c r="BE255" i="3"/>
  <c r="BF255" i="3"/>
  <c r="BG255" i="3"/>
  <c r="BH255" i="3"/>
  <c r="BI255" i="3"/>
  <c r="BJ255" i="3"/>
  <c r="BK255" i="3"/>
  <c r="BM255" i="3"/>
  <c r="BN255" i="3"/>
  <c r="BO255" i="3"/>
  <c r="BP255" i="3"/>
  <c r="BQ255" i="3"/>
  <c r="BR255" i="3"/>
  <c r="BS255" i="3"/>
  <c r="BT255" i="3"/>
  <c r="BB256" i="3"/>
  <c r="BC256" i="3"/>
  <c r="BD256" i="3"/>
  <c r="BA256" i="3"/>
  <c r="BE256" i="3"/>
  <c r="BF256" i="3"/>
  <c r="BG256" i="3"/>
  <c r="BH256" i="3"/>
  <c r="BI256" i="3"/>
  <c r="BJ256" i="3"/>
  <c r="BK256" i="3"/>
  <c r="BM256" i="3"/>
  <c r="BN256" i="3"/>
  <c r="BO256" i="3"/>
  <c r="BP256" i="3"/>
  <c r="BQ256" i="3"/>
  <c r="BR256" i="3"/>
  <c r="BS256" i="3"/>
  <c r="BT256" i="3"/>
  <c r="BB257" i="3"/>
  <c r="BC257" i="3"/>
  <c r="BD257" i="3"/>
  <c r="BE257" i="3"/>
  <c r="BA257" i="3" s="1"/>
  <c r="BF257" i="3"/>
  <c r="BG257" i="3"/>
  <c r="BH257" i="3"/>
  <c r="BI257" i="3"/>
  <c r="BJ257" i="3"/>
  <c r="BK257" i="3"/>
  <c r="BM257" i="3"/>
  <c r="BN257" i="3"/>
  <c r="BO257" i="3"/>
  <c r="BP257" i="3"/>
  <c r="BQ257" i="3"/>
  <c r="BL257" i="3" s="1"/>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M259" i="3"/>
  <c r="BN259" i="3"/>
  <c r="BO259" i="3"/>
  <c r="BP259" i="3"/>
  <c r="BQ259" i="3"/>
  <c r="BL259" i="3" s="1"/>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M261" i="3"/>
  <c r="BN261" i="3"/>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A263" i="3" s="1"/>
  <c r="BE263" i="3"/>
  <c r="BF263" i="3"/>
  <c r="BG263" i="3"/>
  <c r="BH263" i="3"/>
  <c r="BI263" i="3"/>
  <c r="BJ263" i="3"/>
  <c r="BK263" i="3"/>
  <c r="BM263" i="3"/>
  <c r="BN263" i="3"/>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A265" i="3" s="1"/>
  <c r="BF265" i="3"/>
  <c r="BG265" i="3"/>
  <c r="BH265" i="3"/>
  <c r="BI265" i="3"/>
  <c r="BJ265" i="3"/>
  <c r="BK265" i="3"/>
  <c r="BM265" i="3"/>
  <c r="BN265" i="3"/>
  <c r="BO265" i="3"/>
  <c r="BP265" i="3"/>
  <c r="BQ265" i="3"/>
  <c r="BL265" i="3" s="1"/>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L267" i="3" s="1"/>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A270" i="3"/>
  <c r="BE270" i="3"/>
  <c r="BF270" i="3"/>
  <c r="BG270" i="3"/>
  <c r="BH270" i="3"/>
  <c r="BI270" i="3"/>
  <c r="BJ270" i="3"/>
  <c r="BK270" i="3"/>
  <c r="BM270" i="3"/>
  <c r="BN270" i="3"/>
  <c r="BO270" i="3"/>
  <c r="BP270" i="3"/>
  <c r="BQ270" i="3"/>
  <c r="BR270" i="3"/>
  <c r="BS270" i="3"/>
  <c r="BT270" i="3"/>
  <c r="BB271" i="3"/>
  <c r="BC271" i="3"/>
  <c r="BA271" i="3"/>
  <c r="BD271" i="3"/>
  <c r="BE271" i="3"/>
  <c r="BF271" i="3"/>
  <c r="BG271" i="3"/>
  <c r="BH271" i="3"/>
  <c r="BI271" i="3"/>
  <c r="BJ271" i="3"/>
  <c r="BK271" i="3"/>
  <c r="BM271" i="3"/>
  <c r="BN271" i="3"/>
  <c r="BO271" i="3"/>
  <c r="BP271" i="3"/>
  <c r="BQ271" i="3"/>
  <c r="BR271" i="3"/>
  <c r="BS271" i="3"/>
  <c r="BT271" i="3"/>
  <c r="BB272" i="3"/>
  <c r="BC272" i="3"/>
  <c r="BD272" i="3"/>
  <c r="BA272" i="3"/>
  <c r="BE272" i="3"/>
  <c r="BF272" i="3"/>
  <c r="BG272" i="3"/>
  <c r="BH272" i="3"/>
  <c r="BI272" i="3"/>
  <c r="BJ272" i="3"/>
  <c r="BK272" i="3"/>
  <c r="BM272" i="3"/>
  <c r="BN272" i="3"/>
  <c r="BO272" i="3"/>
  <c r="BP272" i="3"/>
  <c r="BQ272" i="3"/>
  <c r="BR272" i="3"/>
  <c r="BS272" i="3"/>
  <c r="BT272" i="3"/>
  <c r="BB273" i="3"/>
  <c r="BC273" i="3"/>
  <c r="BD273" i="3"/>
  <c r="BE273" i="3"/>
  <c r="BA273" i="3" s="1"/>
  <c r="BF273" i="3"/>
  <c r="BG273" i="3"/>
  <c r="BH273" i="3"/>
  <c r="BI273" i="3"/>
  <c r="BJ273" i="3"/>
  <c r="BK273" i="3"/>
  <c r="BM273" i="3"/>
  <c r="BN273" i="3"/>
  <c r="BO273" i="3"/>
  <c r="BP273" i="3"/>
  <c r="BQ273" i="3"/>
  <c r="BL273" i="3" s="1"/>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M275" i="3"/>
  <c r="BN275" i="3"/>
  <c r="BO275" i="3"/>
  <c r="BP275" i="3"/>
  <c r="BQ275" i="3"/>
  <c r="BL275" i="3" s="1"/>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M277" i="3"/>
  <c r="BN277" i="3"/>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A279" i="3" s="1"/>
  <c r="BE279" i="3"/>
  <c r="BF279" i="3"/>
  <c r="BG279" i="3"/>
  <c r="BH279" i="3"/>
  <c r="BI279" i="3"/>
  <c r="BJ279" i="3"/>
  <c r="BK279" i="3"/>
  <c r="BM279" i="3"/>
  <c r="BN279" i="3"/>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A281" i="3" s="1"/>
  <c r="BF281" i="3"/>
  <c r="BG281" i="3"/>
  <c r="BH281" i="3"/>
  <c r="BI281" i="3"/>
  <c r="BJ281" i="3"/>
  <c r="BK281" i="3"/>
  <c r="BM281" i="3"/>
  <c r="BN281" i="3"/>
  <c r="BO281" i="3"/>
  <c r="BP281" i="3"/>
  <c r="BQ281" i="3"/>
  <c r="BL281" i="3" s="1"/>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L283" i="3" s="1"/>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A286" i="3"/>
  <c r="BE286" i="3"/>
  <c r="BF286" i="3"/>
  <c r="BG286" i="3"/>
  <c r="BH286" i="3"/>
  <c r="BI286" i="3"/>
  <c r="BJ286" i="3"/>
  <c r="BK286" i="3"/>
  <c r="BM286" i="3"/>
  <c r="BN286" i="3"/>
  <c r="BO286" i="3"/>
  <c r="BP286" i="3"/>
  <c r="BQ286" i="3"/>
  <c r="BR286" i="3"/>
  <c r="BS286" i="3"/>
  <c r="BT286" i="3"/>
  <c r="BB287" i="3"/>
  <c r="BC287" i="3"/>
  <c r="BA287" i="3"/>
  <c r="BD287" i="3"/>
  <c r="BE287" i="3"/>
  <c r="BF287" i="3"/>
  <c r="BG287" i="3"/>
  <c r="BH287" i="3"/>
  <c r="BI287" i="3"/>
  <c r="BJ287" i="3"/>
  <c r="BK287" i="3"/>
  <c r="BM287" i="3"/>
  <c r="BN287" i="3"/>
  <c r="BO287" i="3"/>
  <c r="BP287" i="3"/>
  <c r="BQ287" i="3"/>
  <c r="BR287" i="3"/>
  <c r="BS287" i="3"/>
  <c r="BT287" i="3"/>
  <c r="BB288" i="3"/>
  <c r="BC288" i="3"/>
  <c r="BD288" i="3"/>
  <c r="BA288" i="3"/>
  <c r="BE288" i="3"/>
  <c r="BF288" i="3"/>
  <c r="BG288" i="3"/>
  <c r="BH288" i="3"/>
  <c r="BI288" i="3"/>
  <c r="BJ288" i="3"/>
  <c r="BK288" i="3"/>
  <c r="BM288" i="3"/>
  <c r="BN288" i="3"/>
  <c r="BO288" i="3"/>
  <c r="BP288" i="3"/>
  <c r="BQ288" i="3"/>
  <c r="BR288" i="3"/>
  <c r="BS288" i="3"/>
  <c r="BT288" i="3"/>
  <c r="BB289" i="3"/>
  <c r="BC289" i="3"/>
  <c r="BD289" i="3"/>
  <c r="BE289" i="3"/>
  <c r="BA289" i="3" s="1"/>
  <c r="BF289" i="3"/>
  <c r="BG289" i="3"/>
  <c r="BH289" i="3"/>
  <c r="BI289" i="3"/>
  <c r="BJ289" i="3"/>
  <c r="BK289" i="3"/>
  <c r="BM289" i="3"/>
  <c r="BN289" i="3"/>
  <c r="BO289" i="3"/>
  <c r="BP289" i="3"/>
  <c r="BQ289" i="3"/>
  <c r="BL289" i="3" s="1"/>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M291" i="3"/>
  <c r="BN291" i="3"/>
  <c r="BO291" i="3"/>
  <c r="BP291" i="3"/>
  <c r="BQ291" i="3"/>
  <c r="BL291" i="3" s="1"/>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L298" i="3" s="1"/>
  <c r="BS298" i="3"/>
  <c r="BT298" i="3"/>
  <c r="BB299" i="3"/>
  <c r="BC299" i="3"/>
  <c r="BD299" i="3"/>
  <c r="BE299" i="3"/>
  <c r="BF299" i="3"/>
  <c r="BG299" i="3"/>
  <c r="BH299" i="3"/>
  <c r="BI299" i="3"/>
  <c r="BJ299" i="3"/>
  <c r="BK299" i="3"/>
  <c r="BM299" i="3"/>
  <c r="BN299" i="3"/>
  <c r="BO299" i="3"/>
  <c r="BP299" i="3"/>
  <c r="BL299" i="3" s="1"/>
  <c r="BQ299" i="3"/>
  <c r="BR299" i="3"/>
  <c r="BS299" i="3"/>
  <c r="BT299" i="3"/>
  <c r="BB300" i="3"/>
  <c r="BC300" i="3"/>
  <c r="BD300" i="3"/>
  <c r="BE300" i="3"/>
  <c r="BF300" i="3"/>
  <c r="BG300" i="3"/>
  <c r="BH300" i="3"/>
  <c r="BI300" i="3"/>
  <c r="BJ300" i="3"/>
  <c r="BK300" i="3"/>
  <c r="BM300" i="3"/>
  <c r="BN300" i="3"/>
  <c r="BO300" i="3"/>
  <c r="BL300" i="3" s="1"/>
  <c r="BP300" i="3"/>
  <c r="BQ300" i="3"/>
  <c r="BR300" i="3"/>
  <c r="BS300" i="3"/>
  <c r="BT300" i="3"/>
  <c r="BB301" i="3"/>
  <c r="BC301" i="3"/>
  <c r="BD301" i="3"/>
  <c r="BE301" i="3"/>
  <c r="BA301" i="3" s="1"/>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A303" i="3" s="1"/>
  <c r="BD303" i="3"/>
  <c r="BE303" i="3"/>
  <c r="BF303" i="3"/>
  <c r="BG303" i="3"/>
  <c r="BH303" i="3"/>
  <c r="BI303" i="3"/>
  <c r="BJ303" i="3"/>
  <c r="BK303" i="3"/>
  <c r="BM303" i="3"/>
  <c r="BN303" i="3"/>
  <c r="BO303" i="3"/>
  <c r="BP303" i="3"/>
  <c r="BL303" i="3" s="1"/>
  <c r="BQ303" i="3"/>
  <c r="BR303" i="3"/>
  <c r="BS303" i="3"/>
  <c r="BT303" i="3"/>
  <c r="BB304" i="3"/>
  <c r="BC304" i="3"/>
  <c r="BD304" i="3"/>
  <c r="BE304" i="3"/>
  <c r="BF304" i="3"/>
  <c r="BG304" i="3"/>
  <c r="BH304" i="3"/>
  <c r="BI304" i="3"/>
  <c r="BJ304" i="3"/>
  <c r="BK304" i="3"/>
  <c r="BM304" i="3"/>
  <c r="BN304" i="3"/>
  <c r="BL304" i="3"/>
  <c r="BO304" i="3"/>
  <c r="BP304" i="3"/>
  <c r="BQ304" i="3"/>
  <c r="BR304" i="3"/>
  <c r="BS304" i="3"/>
  <c r="BT304" i="3"/>
  <c r="BB305" i="3"/>
  <c r="BC305" i="3"/>
  <c r="BD305" i="3"/>
  <c r="BE305" i="3"/>
  <c r="BA305" i="3" s="1"/>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AZ306" i="3" s="1"/>
  <c r="BM306" i="3"/>
  <c r="BN306" i="3"/>
  <c r="BL306" i="3" s="1"/>
  <c r="BO306" i="3"/>
  <c r="BP306" i="3"/>
  <c r="BQ306" i="3"/>
  <c r="BR306" i="3"/>
  <c r="BS306" i="3"/>
  <c r="BT306" i="3"/>
  <c r="BB307" i="3"/>
  <c r="BC307" i="3"/>
  <c r="BD307" i="3"/>
  <c r="BE307" i="3"/>
  <c r="BF307" i="3"/>
  <c r="BG307" i="3"/>
  <c r="BH307" i="3"/>
  <c r="BI307" i="3"/>
  <c r="BJ307" i="3"/>
  <c r="BK307" i="3"/>
  <c r="BM307" i="3"/>
  <c r="BN307" i="3"/>
  <c r="BO307" i="3"/>
  <c r="BP307" i="3"/>
  <c r="BL307" i="3" s="1"/>
  <c r="BQ307" i="3"/>
  <c r="BR307" i="3"/>
  <c r="BS307" i="3"/>
  <c r="BT307" i="3"/>
  <c r="BB308" i="3"/>
  <c r="BC308" i="3"/>
  <c r="BD308" i="3"/>
  <c r="BE308" i="3"/>
  <c r="BF308" i="3"/>
  <c r="BG308" i="3"/>
  <c r="BH308" i="3"/>
  <c r="BI308" i="3"/>
  <c r="BJ308" i="3"/>
  <c r="BK308" i="3"/>
  <c r="BM308" i="3"/>
  <c r="BN308" i="3"/>
  <c r="BO308" i="3"/>
  <c r="BL308" i="3" s="1"/>
  <c r="BP308" i="3"/>
  <c r="BQ308" i="3"/>
  <c r="BR308" i="3"/>
  <c r="BS308" i="3"/>
  <c r="BT308" i="3"/>
  <c r="BB309" i="3"/>
  <c r="BC309" i="3"/>
  <c r="BD309" i="3"/>
  <c r="BE309" i="3"/>
  <c r="BA309" i="3" s="1"/>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L311" i="3" s="1"/>
  <c r="BQ311" i="3"/>
  <c r="BR311" i="3"/>
  <c r="BS311" i="3"/>
  <c r="BT311" i="3"/>
  <c r="BB312" i="3"/>
  <c r="BC312" i="3"/>
  <c r="BD312" i="3"/>
  <c r="BE312" i="3"/>
  <c r="BF312" i="3"/>
  <c r="BG312" i="3"/>
  <c r="BH312" i="3"/>
  <c r="BI312" i="3"/>
  <c r="BJ312" i="3"/>
  <c r="BK312" i="3"/>
  <c r="BM312" i="3"/>
  <c r="BN312" i="3"/>
  <c r="BL312" i="3"/>
  <c r="BO312" i="3"/>
  <c r="BP312" i="3"/>
  <c r="BQ312" i="3"/>
  <c r="BR312" i="3"/>
  <c r="BS312" i="3"/>
  <c r="BT312" i="3"/>
  <c r="BB313" i="3"/>
  <c r="BC313" i="3"/>
  <c r="BD313" i="3"/>
  <c r="BE313" i="3"/>
  <c r="BA313" i="3" s="1"/>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A314" i="3"/>
  <c r="AZ314" i="3" s="1"/>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L315" i="3" s="1"/>
  <c r="BQ315" i="3"/>
  <c r="BR315" i="3"/>
  <c r="BS315" i="3"/>
  <c r="BT315" i="3"/>
  <c r="BB316" i="3"/>
  <c r="BC316" i="3"/>
  <c r="BD316" i="3"/>
  <c r="BE316" i="3"/>
  <c r="BF316" i="3"/>
  <c r="BG316" i="3"/>
  <c r="BH316" i="3"/>
  <c r="BI316" i="3"/>
  <c r="BJ316" i="3"/>
  <c r="BK316" i="3"/>
  <c r="BM316" i="3"/>
  <c r="BN316" i="3"/>
  <c r="BO316" i="3"/>
  <c r="BL316" i="3" s="1"/>
  <c r="BP316" i="3"/>
  <c r="BQ316" i="3"/>
  <c r="BR316" i="3"/>
  <c r="BS316" i="3"/>
  <c r="BT316" i="3"/>
  <c r="BB317" i="3"/>
  <c r="BC317" i="3"/>
  <c r="BD317" i="3"/>
  <c r="BE317" i="3"/>
  <c r="BA317" i="3" s="1"/>
  <c r="BF317" i="3"/>
  <c r="BG317" i="3"/>
  <c r="BH317" i="3"/>
  <c r="BI317" i="3"/>
  <c r="BJ317" i="3"/>
  <c r="BK317" i="3"/>
  <c r="BM317" i="3"/>
  <c r="BN317" i="3"/>
  <c r="BL317" i="3" s="1"/>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L322" i="3" s="1"/>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M324" i="3"/>
  <c r="BN324" i="3"/>
  <c r="BO324" i="3"/>
  <c r="BP324" i="3"/>
  <c r="BQ324" i="3"/>
  <c r="BL324" i="3" s="1"/>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L326" i="3" s="1"/>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M328" i="3"/>
  <c r="BN328" i="3"/>
  <c r="BO328" i="3"/>
  <c r="BP328" i="3"/>
  <c r="BQ328" i="3"/>
  <c r="BL328" i="3" s="1"/>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M330" i="3"/>
  <c r="BN330" i="3"/>
  <c r="BO330" i="3"/>
  <c r="BP330" i="3"/>
  <c r="BQ330" i="3"/>
  <c r="BL330" i="3" s="1"/>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M332" i="3"/>
  <c r="BN332" i="3"/>
  <c r="BO332" i="3"/>
  <c r="BP332" i="3"/>
  <c r="BQ332" i="3"/>
  <c r="BL332" i="3" s="1"/>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M334" i="3"/>
  <c r="BN334" i="3"/>
  <c r="BO334" i="3"/>
  <c r="BP334" i="3"/>
  <c r="BQ334" i="3"/>
  <c r="BL334" i="3" s="1"/>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M336" i="3"/>
  <c r="BN336" i="3"/>
  <c r="BO336" i="3"/>
  <c r="BP336" i="3"/>
  <c r="BQ336" i="3"/>
  <c r="BL336" i="3" s="1"/>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M338" i="3"/>
  <c r="BN338" i="3"/>
  <c r="BO338" i="3"/>
  <c r="BP338" i="3"/>
  <c r="BQ338" i="3"/>
  <c r="BL338" i="3" s="1"/>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M340" i="3"/>
  <c r="BN340" i="3"/>
  <c r="BO340" i="3"/>
  <c r="BP340" i="3"/>
  <c r="BQ340" i="3"/>
  <c r="BL340" i="3" s="1"/>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M342" i="3"/>
  <c r="BN342" i="3"/>
  <c r="BO342" i="3"/>
  <c r="BP342" i="3"/>
  <c r="BQ342" i="3"/>
  <c r="BL342" i="3" s="1"/>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M344" i="3"/>
  <c r="BN344" i="3"/>
  <c r="BO344" i="3"/>
  <c r="BP344" i="3"/>
  <c r="BQ344" i="3"/>
  <c r="BR344" i="3"/>
  <c r="BS344" i="3"/>
  <c r="BT344" i="3"/>
  <c r="BB345" i="3"/>
  <c r="BC345" i="3"/>
  <c r="BD345" i="3"/>
  <c r="BE345" i="3"/>
  <c r="BA345" i="3" s="1"/>
  <c r="BF345" i="3"/>
  <c r="BG345" i="3"/>
  <c r="BH345" i="3"/>
  <c r="BI345" i="3"/>
  <c r="BJ345" i="3"/>
  <c r="BK345" i="3"/>
  <c r="BM345" i="3"/>
  <c r="BN345" i="3"/>
  <c r="BO345" i="3"/>
  <c r="BP345" i="3"/>
  <c r="BQ345" i="3"/>
  <c r="BR345" i="3"/>
  <c r="BS345" i="3"/>
  <c r="BT345" i="3"/>
  <c r="BB346" i="3"/>
  <c r="BC346" i="3"/>
  <c r="BD346" i="3"/>
  <c r="BA346" i="3" s="1"/>
  <c r="BE346" i="3"/>
  <c r="BF346" i="3"/>
  <c r="BG346" i="3"/>
  <c r="BH346" i="3"/>
  <c r="BI346" i="3"/>
  <c r="BJ346" i="3"/>
  <c r="BK346" i="3"/>
  <c r="BM346" i="3"/>
  <c r="BN346" i="3"/>
  <c r="BO346" i="3"/>
  <c r="BP346" i="3"/>
  <c r="BQ346" i="3"/>
  <c r="BR346" i="3"/>
  <c r="BS346" i="3"/>
  <c r="BT346" i="3"/>
  <c r="BB347" i="3"/>
  <c r="BC347" i="3"/>
  <c r="BD347" i="3"/>
  <c r="BE347" i="3"/>
  <c r="BA347" i="3" s="1"/>
  <c r="BF347" i="3"/>
  <c r="BG347" i="3"/>
  <c r="BH347" i="3"/>
  <c r="BI347" i="3"/>
  <c r="BJ347" i="3"/>
  <c r="BK347" i="3"/>
  <c r="BM347" i="3"/>
  <c r="BN347" i="3"/>
  <c r="BO347" i="3"/>
  <c r="BP347" i="3"/>
  <c r="BQ347" i="3"/>
  <c r="BR347" i="3"/>
  <c r="BS347" i="3"/>
  <c r="BT347" i="3"/>
  <c r="BB348" i="3"/>
  <c r="BC348" i="3"/>
  <c r="BD348" i="3"/>
  <c r="BA348" i="3" s="1"/>
  <c r="BE348" i="3"/>
  <c r="BF348" i="3"/>
  <c r="BG348" i="3"/>
  <c r="BH348" i="3"/>
  <c r="BI348" i="3"/>
  <c r="BJ348" i="3"/>
  <c r="BK348" i="3"/>
  <c r="BM348" i="3"/>
  <c r="BN348" i="3"/>
  <c r="BO348" i="3"/>
  <c r="BP348" i="3"/>
  <c r="BQ348" i="3"/>
  <c r="BR348" i="3"/>
  <c r="BS348" i="3"/>
  <c r="BT348" i="3"/>
  <c r="BB349" i="3"/>
  <c r="BC349" i="3"/>
  <c r="BD349" i="3"/>
  <c r="BE349" i="3"/>
  <c r="BA349" i="3" s="1"/>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L350" i="3" s="1"/>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L352" i="3" s="1"/>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A354" i="3" s="1"/>
  <c r="BD354" i="3"/>
  <c r="BE354" i="3"/>
  <c r="BF354" i="3"/>
  <c r="BG354" i="3"/>
  <c r="BH354" i="3"/>
  <c r="BI354" i="3"/>
  <c r="BJ354" i="3"/>
  <c r="BK354" i="3"/>
  <c r="BM354" i="3"/>
  <c r="BN354" i="3"/>
  <c r="BO354" i="3"/>
  <c r="BP354" i="3"/>
  <c r="BQ354" i="3"/>
  <c r="BR354" i="3"/>
  <c r="BS354" i="3"/>
  <c r="BT354" i="3"/>
  <c r="BB355" i="3"/>
  <c r="BC355" i="3"/>
  <c r="BD355" i="3"/>
  <c r="BE355" i="3"/>
  <c r="BF355" i="3"/>
  <c r="BA355" i="3" s="1"/>
  <c r="AZ355" i="3" s="1"/>
  <c r="BG355" i="3"/>
  <c r="BH355" i="3"/>
  <c r="BI355" i="3"/>
  <c r="BJ355" i="3"/>
  <c r="BK355" i="3"/>
  <c r="BM355" i="3"/>
  <c r="BN355" i="3"/>
  <c r="BO355" i="3"/>
  <c r="BP355" i="3"/>
  <c r="BQ355" i="3"/>
  <c r="BR355" i="3"/>
  <c r="BS355" i="3"/>
  <c r="BT355" i="3"/>
  <c r="BL355" i="3"/>
  <c r="BB356" i="3"/>
  <c r="BC356" i="3"/>
  <c r="BA356" i="3" s="1"/>
  <c r="AZ356" i="3" s="1"/>
  <c r="BD356" i="3"/>
  <c r="BE356" i="3"/>
  <c r="BF356" i="3"/>
  <c r="BG356" i="3"/>
  <c r="BH356" i="3"/>
  <c r="BI356" i="3"/>
  <c r="BJ356" i="3"/>
  <c r="BK356" i="3"/>
  <c r="BM356" i="3"/>
  <c r="BN356" i="3"/>
  <c r="BO356" i="3"/>
  <c r="BP356" i="3"/>
  <c r="BQ356" i="3"/>
  <c r="BL356" i="3" s="1"/>
  <c r="BR356" i="3"/>
  <c r="BS356" i="3"/>
  <c r="BT356" i="3"/>
  <c r="BB357" i="3"/>
  <c r="BA357" i="3" s="1"/>
  <c r="AZ357" i="3" s="1"/>
  <c r="BC357" i="3"/>
  <c r="BD357" i="3"/>
  <c r="BE357" i="3"/>
  <c r="BF357" i="3"/>
  <c r="BG357" i="3"/>
  <c r="BH357" i="3"/>
  <c r="BI357" i="3"/>
  <c r="BJ357" i="3"/>
  <c r="BK357" i="3"/>
  <c r="BM357" i="3"/>
  <c r="BN357" i="3"/>
  <c r="BO357" i="3"/>
  <c r="BP357" i="3"/>
  <c r="BQ357" i="3"/>
  <c r="BR357" i="3"/>
  <c r="BS357" i="3"/>
  <c r="BT357" i="3"/>
  <c r="BL357" i="3"/>
  <c r="BB358" i="3"/>
  <c r="BC358" i="3"/>
  <c r="BA358" i="3" s="1"/>
  <c r="BD358" i="3"/>
  <c r="BE358" i="3"/>
  <c r="BF358" i="3"/>
  <c r="BG358" i="3"/>
  <c r="BH358" i="3"/>
  <c r="BI358" i="3"/>
  <c r="BJ358" i="3"/>
  <c r="BK358" i="3"/>
  <c r="BM358" i="3"/>
  <c r="BL358" i="3" s="1"/>
  <c r="BN358" i="3"/>
  <c r="BO358" i="3"/>
  <c r="BP358" i="3"/>
  <c r="BQ358" i="3"/>
  <c r="BR358" i="3"/>
  <c r="BS358" i="3"/>
  <c r="BT358" i="3"/>
  <c r="BB359" i="3"/>
  <c r="BC359" i="3"/>
  <c r="BD359" i="3"/>
  <c r="BE359" i="3"/>
  <c r="BA359" i="3" s="1"/>
  <c r="BF359" i="3"/>
  <c r="BG359" i="3"/>
  <c r="BH359" i="3"/>
  <c r="BI359" i="3"/>
  <c r="BJ359" i="3"/>
  <c r="BK359" i="3"/>
  <c r="BM359" i="3"/>
  <c r="BN359" i="3"/>
  <c r="BL359" i="3" s="1"/>
  <c r="BO359" i="3"/>
  <c r="BP359" i="3"/>
  <c r="BQ359" i="3"/>
  <c r="BR359" i="3"/>
  <c r="BS359" i="3"/>
  <c r="BT359" i="3"/>
  <c r="BB360" i="3"/>
  <c r="BC360" i="3"/>
  <c r="BD360" i="3"/>
  <c r="BA360" i="3" s="1"/>
  <c r="BE360" i="3"/>
  <c r="BF360" i="3"/>
  <c r="BG360" i="3"/>
  <c r="BH360" i="3"/>
  <c r="BI360" i="3"/>
  <c r="BJ360" i="3"/>
  <c r="BK360" i="3"/>
  <c r="BM360" i="3"/>
  <c r="BL360" i="3" s="1"/>
  <c r="BN360" i="3"/>
  <c r="BO360" i="3"/>
  <c r="BP360" i="3"/>
  <c r="BQ360" i="3"/>
  <c r="BR360" i="3"/>
  <c r="BS360" i="3"/>
  <c r="BT360" i="3"/>
  <c r="BB361" i="3"/>
  <c r="BC361" i="3"/>
  <c r="BD361" i="3"/>
  <c r="BE361" i="3"/>
  <c r="BA361" i="3" s="1"/>
  <c r="BF361" i="3"/>
  <c r="BG361" i="3"/>
  <c r="BH361" i="3"/>
  <c r="BI361" i="3"/>
  <c r="BJ361" i="3"/>
  <c r="BK361" i="3"/>
  <c r="BM361" i="3"/>
  <c r="BN361" i="3"/>
  <c r="BL361" i="3" s="1"/>
  <c r="BO361" i="3"/>
  <c r="BP361" i="3"/>
  <c r="BQ361" i="3"/>
  <c r="BR361" i="3"/>
  <c r="BS361" i="3"/>
  <c r="BT361" i="3"/>
  <c r="BB362" i="3"/>
  <c r="BC362" i="3"/>
  <c r="BD362" i="3"/>
  <c r="BE362" i="3"/>
  <c r="BA362" i="3" s="1"/>
  <c r="BF362" i="3"/>
  <c r="BG362" i="3"/>
  <c r="BH362" i="3"/>
  <c r="BI362" i="3"/>
  <c r="BJ362" i="3"/>
  <c r="BK362" i="3"/>
  <c r="BM362" i="3"/>
  <c r="BN362" i="3"/>
  <c r="BO362" i="3"/>
  <c r="BP362" i="3"/>
  <c r="BQ362" i="3"/>
  <c r="BL362" i="3" s="1"/>
  <c r="BR362" i="3"/>
  <c r="BS362" i="3"/>
  <c r="BT362" i="3"/>
  <c r="BB363" i="3"/>
  <c r="BA363" i="3" s="1"/>
  <c r="AZ363" i="3" s="1"/>
  <c r="BC363" i="3"/>
  <c r="BD363" i="3"/>
  <c r="BE363" i="3"/>
  <c r="BF363" i="3"/>
  <c r="BG363" i="3"/>
  <c r="BH363" i="3"/>
  <c r="BI363" i="3"/>
  <c r="BJ363" i="3"/>
  <c r="BK363" i="3"/>
  <c r="BM363" i="3"/>
  <c r="BN363" i="3"/>
  <c r="BO363" i="3"/>
  <c r="BP363" i="3"/>
  <c r="BQ363" i="3"/>
  <c r="BR363" i="3"/>
  <c r="BS363" i="3"/>
  <c r="BT363" i="3"/>
  <c r="BL363" i="3"/>
  <c r="BB364" i="3"/>
  <c r="BC364" i="3"/>
  <c r="BA364" i="3" s="1"/>
  <c r="BD364" i="3"/>
  <c r="BE364" i="3"/>
  <c r="BF364" i="3"/>
  <c r="BG364" i="3"/>
  <c r="BH364" i="3"/>
  <c r="BI364" i="3"/>
  <c r="BJ364" i="3"/>
  <c r="BK364" i="3"/>
  <c r="BM364" i="3"/>
  <c r="BN364" i="3"/>
  <c r="BO364" i="3"/>
  <c r="BP364" i="3"/>
  <c r="BQ364" i="3"/>
  <c r="BL364" i="3" s="1"/>
  <c r="BR364" i="3"/>
  <c r="BS364" i="3"/>
  <c r="BT364" i="3"/>
  <c r="BB365" i="3"/>
  <c r="BA365" i="3" s="1"/>
  <c r="AZ365" i="3" s="1"/>
  <c r="BC365" i="3"/>
  <c r="BD365" i="3"/>
  <c r="BE365" i="3"/>
  <c r="BF365" i="3"/>
  <c r="BG365" i="3"/>
  <c r="BH365" i="3"/>
  <c r="BI365" i="3"/>
  <c r="BJ365" i="3"/>
  <c r="BK365" i="3"/>
  <c r="BM365" i="3"/>
  <c r="BN365" i="3"/>
  <c r="BO365" i="3"/>
  <c r="BP365" i="3"/>
  <c r="BQ365" i="3"/>
  <c r="BR365" i="3"/>
  <c r="BS365" i="3"/>
  <c r="BT365" i="3"/>
  <c r="BL365" i="3"/>
  <c r="BB366" i="3"/>
  <c r="BC366" i="3"/>
  <c r="BA366" i="3" s="1"/>
  <c r="BD366" i="3"/>
  <c r="BE366" i="3"/>
  <c r="BF366" i="3"/>
  <c r="BG366" i="3"/>
  <c r="BH366" i="3"/>
  <c r="BI366" i="3"/>
  <c r="BJ366" i="3"/>
  <c r="BK366" i="3"/>
  <c r="BM366" i="3"/>
  <c r="BL366" i="3" s="1"/>
  <c r="BN366" i="3"/>
  <c r="BO366" i="3"/>
  <c r="BP366" i="3"/>
  <c r="BQ366" i="3"/>
  <c r="BR366" i="3"/>
  <c r="BS366" i="3"/>
  <c r="BT366" i="3"/>
  <c r="BB367" i="3"/>
  <c r="BC367" i="3"/>
  <c r="BD367" i="3"/>
  <c r="BE367" i="3"/>
  <c r="BA367" i="3" s="1"/>
  <c r="BF367" i="3"/>
  <c r="BG367" i="3"/>
  <c r="BH367" i="3"/>
  <c r="BI367" i="3"/>
  <c r="BJ367" i="3"/>
  <c r="BK367" i="3"/>
  <c r="BM367" i="3"/>
  <c r="BN367" i="3"/>
  <c r="BL367" i="3" s="1"/>
  <c r="BO367" i="3"/>
  <c r="BP367" i="3"/>
  <c r="BQ367" i="3"/>
  <c r="BR367" i="3"/>
  <c r="BS367" i="3"/>
  <c r="BT367" i="3"/>
  <c r="BB368" i="3"/>
  <c r="BC368" i="3"/>
  <c r="BD368" i="3"/>
  <c r="BA368" i="3" s="1"/>
  <c r="BE368" i="3"/>
  <c r="BF368" i="3"/>
  <c r="BG368" i="3"/>
  <c r="BH368" i="3"/>
  <c r="BI368" i="3"/>
  <c r="BJ368" i="3"/>
  <c r="BK368" i="3"/>
  <c r="BM368" i="3"/>
  <c r="BL368" i="3" s="1"/>
  <c r="BN368" i="3"/>
  <c r="BO368" i="3"/>
  <c r="BP368" i="3"/>
  <c r="BQ368" i="3"/>
  <c r="BR368" i="3"/>
  <c r="BS368" i="3"/>
  <c r="BT368" i="3"/>
  <c r="BB369" i="3"/>
  <c r="BC369" i="3"/>
  <c r="BD369" i="3"/>
  <c r="BE369" i="3"/>
  <c r="BA369" i="3" s="1"/>
  <c r="BF369" i="3"/>
  <c r="BG369" i="3"/>
  <c r="BH369" i="3"/>
  <c r="BI369" i="3"/>
  <c r="BJ369" i="3"/>
  <c r="BK369" i="3"/>
  <c r="BM369" i="3"/>
  <c r="BN369" i="3"/>
  <c r="BL369" i="3" s="1"/>
  <c r="BO369" i="3"/>
  <c r="BP369" i="3"/>
  <c r="BQ369" i="3"/>
  <c r="BR369" i="3"/>
  <c r="BS369" i="3"/>
  <c r="BT369" i="3"/>
  <c r="BB370" i="3"/>
  <c r="BC370" i="3"/>
  <c r="BD370" i="3"/>
  <c r="BE370" i="3"/>
  <c r="BA370" i="3" s="1"/>
  <c r="BF370" i="3"/>
  <c r="BG370" i="3"/>
  <c r="BH370" i="3"/>
  <c r="BI370" i="3"/>
  <c r="BJ370" i="3"/>
  <c r="BK370" i="3"/>
  <c r="BM370" i="3"/>
  <c r="BN370" i="3"/>
  <c r="BO370" i="3"/>
  <c r="BP370" i="3"/>
  <c r="BQ370" i="3"/>
  <c r="BL370" i="3" s="1"/>
  <c r="BR370" i="3"/>
  <c r="BS370" i="3"/>
  <c r="BT370" i="3"/>
  <c r="BB371" i="3"/>
  <c r="BA371" i="3" s="1"/>
  <c r="AZ371" i="3" s="1"/>
  <c r="BC371" i="3"/>
  <c r="BD371" i="3"/>
  <c r="BE371" i="3"/>
  <c r="BF371" i="3"/>
  <c r="BG371" i="3"/>
  <c r="BH371" i="3"/>
  <c r="BI371" i="3"/>
  <c r="BJ371" i="3"/>
  <c r="BK371" i="3"/>
  <c r="BM371" i="3"/>
  <c r="BN371" i="3"/>
  <c r="BO371" i="3"/>
  <c r="BP371" i="3"/>
  <c r="BQ371" i="3"/>
  <c r="BR371" i="3"/>
  <c r="BS371" i="3"/>
  <c r="BT371" i="3"/>
  <c r="BL371" i="3"/>
  <c r="BB372" i="3"/>
  <c r="BC372" i="3"/>
  <c r="BA372" i="3" s="1"/>
  <c r="BD372" i="3"/>
  <c r="BE372" i="3"/>
  <c r="BF372" i="3"/>
  <c r="BG372" i="3"/>
  <c r="BH372" i="3"/>
  <c r="BI372" i="3"/>
  <c r="BJ372" i="3"/>
  <c r="BK372" i="3"/>
  <c r="BM372" i="3"/>
  <c r="BN372" i="3"/>
  <c r="BO372" i="3"/>
  <c r="BP372" i="3"/>
  <c r="BQ372" i="3"/>
  <c r="BL372" i="3" s="1"/>
  <c r="BR372" i="3"/>
  <c r="BS372" i="3"/>
  <c r="BT372" i="3"/>
  <c r="BB373" i="3"/>
  <c r="BA373" i="3" s="1"/>
  <c r="AZ373" i="3" s="1"/>
  <c r="BC373" i="3"/>
  <c r="BD373" i="3"/>
  <c r="BE373" i="3"/>
  <c r="BF373" i="3"/>
  <c r="BG373" i="3"/>
  <c r="BH373" i="3"/>
  <c r="BI373" i="3"/>
  <c r="BJ373" i="3"/>
  <c r="BK373" i="3"/>
  <c r="BM373" i="3"/>
  <c r="BN373" i="3"/>
  <c r="BO373" i="3"/>
  <c r="BP373" i="3"/>
  <c r="BQ373" i="3"/>
  <c r="BR373" i="3"/>
  <c r="BS373" i="3"/>
  <c r="BT373" i="3"/>
  <c r="BL373" i="3"/>
  <c r="BB374" i="3"/>
  <c r="BC374" i="3"/>
  <c r="BA374" i="3" s="1"/>
  <c r="BD374" i="3"/>
  <c r="BE374" i="3"/>
  <c r="BF374" i="3"/>
  <c r="BG374" i="3"/>
  <c r="BH374" i="3"/>
  <c r="BI374" i="3"/>
  <c r="BJ374" i="3"/>
  <c r="BK374" i="3"/>
  <c r="BM374" i="3"/>
  <c r="BL374" i="3" s="1"/>
  <c r="BN374" i="3"/>
  <c r="BO374" i="3"/>
  <c r="BP374" i="3"/>
  <c r="BQ374" i="3"/>
  <c r="BR374" i="3"/>
  <c r="BS374" i="3"/>
  <c r="BT374" i="3"/>
  <c r="BB375" i="3"/>
  <c r="BC375" i="3"/>
  <c r="BD375" i="3"/>
  <c r="BE375" i="3"/>
  <c r="BA375" i="3" s="1"/>
  <c r="BF375" i="3"/>
  <c r="BG375" i="3"/>
  <c r="BH375" i="3"/>
  <c r="BI375" i="3"/>
  <c r="BJ375" i="3"/>
  <c r="BK375" i="3"/>
  <c r="BM375" i="3"/>
  <c r="BN375" i="3"/>
  <c r="BL375" i="3" s="1"/>
  <c r="BO375" i="3"/>
  <c r="BP375" i="3"/>
  <c r="BQ375" i="3"/>
  <c r="BR375" i="3"/>
  <c r="BS375" i="3"/>
  <c r="BT375" i="3"/>
  <c r="BB376" i="3"/>
  <c r="BC376" i="3"/>
  <c r="BD376" i="3"/>
  <c r="BA376" i="3" s="1"/>
  <c r="BE376" i="3"/>
  <c r="BF376" i="3"/>
  <c r="BG376" i="3"/>
  <c r="BH376" i="3"/>
  <c r="BI376" i="3"/>
  <c r="BJ376" i="3"/>
  <c r="BK376" i="3"/>
  <c r="BM376" i="3"/>
  <c r="BL376" i="3" s="1"/>
  <c r="BN376" i="3"/>
  <c r="BO376" i="3"/>
  <c r="BP376" i="3"/>
  <c r="BQ376" i="3"/>
  <c r="BR376" i="3"/>
  <c r="BS376" i="3"/>
  <c r="BT376" i="3"/>
  <c r="BB377" i="3"/>
  <c r="BC377" i="3"/>
  <c r="BD377" i="3"/>
  <c r="BE377" i="3"/>
  <c r="BA377" i="3" s="1"/>
  <c r="BF377" i="3"/>
  <c r="BG377" i="3"/>
  <c r="BH377" i="3"/>
  <c r="BI377" i="3"/>
  <c r="BJ377" i="3"/>
  <c r="BK377" i="3"/>
  <c r="BM377" i="3"/>
  <c r="BN377" i="3"/>
  <c r="BL377" i="3" s="1"/>
  <c r="BO377" i="3"/>
  <c r="BP377" i="3"/>
  <c r="BQ377" i="3"/>
  <c r="BR377" i="3"/>
  <c r="BS377" i="3"/>
  <c r="BT377" i="3"/>
  <c r="BB378" i="3"/>
  <c r="BC378" i="3"/>
  <c r="BD378" i="3"/>
  <c r="BE378" i="3"/>
  <c r="BA378" i="3" s="1"/>
  <c r="BF378" i="3"/>
  <c r="BG378" i="3"/>
  <c r="BH378" i="3"/>
  <c r="BI378" i="3"/>
  <c r="BJ378" i="3"/>
  <c r="BK378" i="3"/>
  <c r="BM378" i="3"/>
  <c r="BN378" i="3"/>
  <c r="BO378" i="3"/>
  <c r="BP378" i="3"/>
  <c r="BQ378" i="3"/>
  <c r="BL378" i="3" s="1"/>
  <c r="BR378" i="3"/>
  <c r="BS378" i="3"/>
  <c r="BT378" i="3"/>
  <c r="BB379" i="3"/>
  <c r="BA379" i="3" s="1"/>
  <c r="AZ379" i="3" s="1"/>
  <c r="BC379" i="3"/>
  <c r="BD379" i="3"/>
  <c r="BE379" i="3"/>
  <c r="BF379" i="3"/>
  <c r="BG379" i="3"/>
  <c r="BH379" i="3"/>
  <c r="BI379" i="3"/>
  <c r="BJ379" i="3"/>
  <c r="BK379" i="3"/>
  <c r="BM379" i="3"/>
  <c r="BN379" i="3"/>
  <c r="BO379" i="3"/>
  <c r="BP379" i="3"/>
  <c r="BQ379" i="3"/>
  <c r="BR379" i="3"/>
  <c r="BS379" i="3"/>
  <c r="BT379" i="3"/>
  <c r="BL379" i="3"/>
  <c r="BB380" i="3"/>
  <c r="BC380" i="3"/>
  <c r="BA380" i="3" s="1"/>
  <c r="BD380" i="3"/>
  <c r="BE380" i="3"/>
  <c r="BF380" i="3"/>
  <c r="BG380" i="3"/>
  <c r="BH380" i="3"/>
  <c r="BI380" i="3"/>
  <c r="BJ380" i="3"/>
  <c r="BK380" i="3"/>
  <c r="BM380" i="3"/>
  <c r="BN380" i="3"/>
  <c r="BO380" i="3"/>
  <c r="BP380" i="3"/>
  <c r="BQ380" i="3"/>
  <c r="BL380" i="3" s="1"/>
  <c r="BR380" i="3"/>
  <c r="BS380" i="3"/>
  <c r="BT380" i="3"/>
  <c r="BB381" i="3"/>
  <c r="BA381" i="3" s="1"/>
  <c r="AZ381" i="3" s="1"/>
  <c r="BC381" i="3"/>
  <c r="BD381" i="3"/>
  <c r="BE381" i="3"/>
  <c r="BF381" i="3"/>
  <c r="BG381" i="3"/>
  <c r="BH381" i="3"/>
  <c r="BI381" i="3"/>
  <c r="BJ381" i="3"/>
  <c r="BK381" i="3"/>
  <c r="BM381" i="3"/>
  <c r="BN381" i="3"/>
  <c r="BO381" i="3"/>
  <c r="BP381" i="3"/>
  <c r="BQ381" i="3"/>
  <c r="BR381" i="3"/>
  <c r="BS381" i="3"/>
  <c r="BT381" i="3"/>
  <c r="BL381" i="3"/>
  <c r="BB382" i="3"/>
  <c r="BC382" i="3"/>
  <c r="BA382" i="3" s="1"/>
  <c r="BD382" i="3"/>
  <c r="BE382" i="3"/>
  <c r="BF382" i="3"/>
  <c r="BG382" i="3"/>
  <c r="BH382" i="3"/>
  <c r="BI382" i="3"/>
  <c r="BJ382" i="3"/>
  <c r="BK382" i="3"/>
  <c r="BM382" i="3"/>
  <c r="BL382" i="3" s="1"/>
  <c r="BN382" i="3"/>
  <c r="BO382" i="3"/>
  <c r="BP382" i="3"/>
  <c r="BQ382" i="3"/>
  <c r="BR382" i="3"/>
  <c r="BS382" i="3"/>
  <c r="BT382" i="3"/>
  <c r="BB383" i="3"/>
  <c r="BC383" i="3"/>
  <c r="BD383" i="3"/>
  <c r="BE383" i="3"/>
  <c r="BA383" i="3" s="1"/>
  <c r="BF383" i="3"/>
  <c r="BG383" i="3"/>
  <c r="BH383" i="3"/>
  <c r="BI383" i="3"/>
  <c r="BJ383" i="3"/>
  <c r="BK383" i="3"/>
  <c r="BM383" i="3"/>
  <c r="BN383" i="3"/>
  <c r="BL383" i="3" s="1"/>
  <c r="BO383" i="3"/>
  <c r="BP383" i="3"/>
  <c r="BQ383" i="3"/>
  <c r="BR383" i="3"/>
  <c r="BS383" i="3"/>
  <c r="BT383" i="3"/>
  <c r="BB384" i="3"/>
  <c r="BC384" i="3"/>
  <c r="BD384" i="3"/>
  <c r="BA384" i="3" s="1"/>
  <c r="BE384" i="3"/>
  <c r="BF384" i="3"/>
  <c r="BG384" i="3"/>
  <c r="BH384" i="3"/>
  <c r="BI384" i="3"/>
  <c r="BJ384" i="3"/>
  <c r="BK384" i="3"/>
  <c r="BM384" i="3"/>
  <c r="BL384" i="3" s="1"/>
  <c r="BN384" i="3"/>
  <c r="BO384" i="3"/>
  <c r="BP384" i="3"/>
  <c r="BQ384" i="3"/>
  <c r="BR384" i="3"/>
  <c r="BS384" i="3"/>
  <c r="BT384" i="3"/>
  <c r="BB385" i="3"/>
  <c r="BC385" i="3"/>
  <c r="BD385" i="3"/>
  <c r="BE385" i="3"/>
  <c r="BA385" i="3" s="1"/>
  <c r="BF385" i="3"/>
  <c r="BG385" i="3"/>
  <c r="BH385" i="3"/>
  <c r="BI385" i="3"/>
  <c r="BJ385" i="3"/>
  <c r="BK385" i="3"/>
  <c r="BM385" i="3"/>
  <c r="BN385" i="3"/>
  <c r="BL385" i="3" s="1"/>
  <c r="BO385" i="3"/>
  <c r="BP385" i="3"/>
  <c r="BQ385" i="3"/>
  <c r="BR385" i="3"/>
  <c r="BS385" i="3"/>
  <c r="BT385" i="3"/>
  <c r="BB386" i="3"/>
  <c r="BC386" i="3"/>
  <c r="BD386" i="3"/>
  <c r="BE386" i="3"/>
  <c r="BA386" i="3" s="1"/>
  <c r="BF386" i="3"/>
  <c r="BG386" i="3"/>
  <c r="BH386" i="3"/>
  <c r="BI386" i="3"/>
  <c r="BJ386" i="3"/>
  <c r="BK386" i="3"/>
  <c r="BM386" i="3"/>
  <c r="BN386" i="3"/>
  <c r="BO386" i="3"/>
  <c r="BP386" i="3"/>
  <c r="BQ386" i="3"/>
  <c r="BL386" i="3" s="1"/>
  <c r="BR386" i="3"/>
  <c r="BS386" i="3"/>
  <c r="BT386" i="3"/>
  <c r="BB387" i="3"/>
  <c r="BA387" i="3" s="1"/>
  <c r="AZ387" i="3" s="1"/>
  <c r="BC387" i="3"/>
  <c r="BD387" i="3"/>
  <c r="BE387" i="3"/>
  <c r="BF387" i="3"/>
  <c r="BG387" i="3"/>
  <c r="BH387" i="3"/>
  <c r="BI387" i="3"/>
  <c r="BJ387" i="3"/>
  <c r="BK387" i="3"/>
  <c r="BM387" i="3"/>
  <c r="BN387" i="3"/>
  <c r="BO387" i="3"/>
  <c r="BP387" i="3"/>
  <c r="BQ387" i="3"/>
  <c r="BR387" i="3"/>
  <c r="BS387" i="3"/>
  <c r="BT387" i="3"/>
  <c r="BL387" i="3"/>
  <c r="BB388" i="3"/>
  <c r="BC388" i="3"/>
  <c r="BA388" i="3" s="1"/>
  <c r="BD388" i="3"/>
  <c r="BE388" i="3"/>
  <c r="BF388" i="3"/>
  <c r="BG388" i="3"/>
  <c r="BH388" i="3"/>
  <c r="BI388" i="3"/>
  <c r="BJ388" i="3"/>
  <c r="BK388" i="3"/>
  <c r="BM388" i="3"/>
  <c r="BN388" i="3"/>
  <c r="BO388" i="3"/>
  <c r="BP388" i="3"/>
  <c r="BQ388" i="3"/>
  <c r="BL388" i="3" s="1"/>
  <c r="BR388" i="3"/>
  <c r="BS388" i="3"/>
  <c r="BT388" i="3"/>
  <c r="BB389" i="3"/>
  <c r="BA389" i="3" s="1"/>
  <c r="AZ389" i="3" s="1"/>
  <c r="BC389" i="3"/>
  <c r="BD389" i="3"/>
  <c r="BE389" i="3"/>
  <c r="BF389" i="3"/>
  <c r="BG389" i="3"/>
  <c r="BH389" i="3"/>
  <c r="BI389" i="3"/>
  <c r="BJ389" i="3"/>
  <c r="BK389" i="3"/>
  <c r="BM389" i="3"/>
  <c r="BN389" i="3"/>
  <c r="BO389" i="3"/>
  <c r="BP389" i="3"/>
  <c r="BQ389" i="3"/>
  <c r="BR389" i="3"/>
  <c r="BS389" i="3"/>
  <c r="BT389" i="3"/>
  <c r="BL389" i="3"/>
  <c r="BB390" i="3"/>
  <c r="BC390" i="3"/>
  <c r="BA390" i="3" s="1"/>
  <c r="BD390" i="3"/>
  <c r="BE390" i="3"/>
  <c r="BF390" i="3"/>
  <c r="BG390" i="3"/>
  <c r="BH390" i="3"/>
  <c r="BI390" i="3"/>
  <c r="BJ390" i="3"/>
  <c r="BK390" i="3"/>
  <c r="BM390" i="3"/>
  <c r="BL390" i="3" s="1"/>
  <c r="BN390" i="3"/>
  <c r="BO390" i="3"/>
  <c r="BP390" i="3"/>
  <c r="BQ390" i="3"/>
  <c r="BR390" i="3"/>
  <c r="BS390" i="3"/>
  <c r="BT390" i="3"/>
  <c r="BB391" i="3"/>
  <c r="BC391" i="3"/>
  <c r="BD391" i="3"/>
  <c r="BE391" i="3"/>
  <c r="BA391" i="3" s="1"/>
  <c r="BF391" i="3"/>
  <c r="BG391" i="3"/>
  <c r="BH391" i="3"/>
  <c r="BI391" i="3"/>
  <c r="BJ391" i="3"/>
  <c r="BK391" i="3"/>
  <c r="BM391" i="3"/>
  <c r="BN391" i="3"/>
  <c r="BL391" i="3" s="1"/>
  <c r="BO391" i="3"/>
  <c r="BP391" i="3"/>
  <c r="BQ391" i="3"/>
  <c r="BR391" i="3"/>
  <c r="BS391" i="3"/>
  <c r="BT391" i="3"/>
  <c r="BB392" i="3"/>
  <c r="BC392" i="3"/>
  <c r="BD392" i="3"/>
  <c r="BA392" i="3" s="1"/>
  <c r="BE392" i="3"/>
  <c r="BF392" i="3"/>
  <c r="BG392" i="3"/>
  <c r="BH392" i="3"/>
  <c r="BI392" i="3"/>
  <c r="BJ392" i="3"/>
  <c r="BK392" i="3"/>
  <c r="BM392" i="3"/>
  <c r="BL392" i="3" s="1"/>
  <c r="BN392" i="3"/>
  <c r="BO392" i="3"/>
  <c r="BP392" i="3"/>
  <c r="BQ392" i="3"/>
  <c r="BR392" i="3"/>
  <c r="BS392" i="3"/>
  <c r="BT392" i="3"/>
  <c r="BB393" i="3"/>
  <c r="BC393" i="3"/>
  <c r="BD393" i="3"/>
  <c r="BE393" i="3"/>
  <c r="BA393" i="3" s="1"/>
  <c r="BF393" i="3"/>
  <c r="BG393" i="3"/>
  <c r="BH393" i="3"/>
  <c r="BI393" i="3"/>
  <c r="BJ393" i="3"/>
  <c r="BK393" i="3"/>
  <c r="BM393" i="3"/>
  <c r="BN393" i="3"/>
  <c r="BL393" i="3" s="1"/>
  <c r="BO393" i="3"/>
  <c r="BP393" i="3"/>
  <c r="BQ393" i="3"/>
  <c r="BR393" i="3"/>
  <c r="BS393" i="3"/>
  <c r="BT393" i="3"/>
  <c r="BB394" i="3"/>
  <c r="BC394" i="3"/>
  <c r="BD394" i="3"/>
  <c r="BE394" i="3"/>
  <c r="BA394" i="3" s="1"/>
  <c r="BF394" i="3"/>
  <c r="BG394" i="3"/>
  <c r="BH394" i="3"/>
  <c r="BI394" i="3"/>
  <c r="BJ394" i="3"/>
  <c r="BK394" i="3"/>
  <c r="BM394" i="3"/>
  <c r="BN394" i="3"/>
  <c r="BO394" i="3"/>
  <c r="BP394" i="3"/>
  <c r="BQ394" i="3"/>
  <c r="BL394" i="3" s="1"/>
  <c r="BR394" i="3"/>
  <c r="BS394" i="3"/>
  <c r="BT394" i="3"/>
  <c r="BB395" i="3"/>
  <c r="BA395" i="3" s="1"/>
  <c r="AZ395" i="3" s="1"/>
  <c r="BC395" i="3"/>
  <c r="BD395" i="3"/>
  <c r="BE395" i="3"/>
  <c r="BF395" i="3"/>
  <c r="BG395" i="3"/>
  <c r="BH395" i="3"/>
  <c r="BI395" i="3"/>
  <c r="BJ395" i="3"/>
  <c r="BK395" i="3"/>
  <c r="BM395" i="3"/>
  <c r="BN395" i="3"/>
  <c r="BO395" i="3"/>
  <c r="BP395" i="3"/>
  <c r="BQ395" i="3"/>
  <c r="BR395" i="3"/>
  <c r="BS395" i="3"/>
  <c r="BT395" i="3"/>
  <c r="BL395" i="3"/>
  <c r="BB396" i="3"/>
  <c r="BC396" i="3"/>
  <c r="BA396" i="3" s="1"/>
  <c r="BD396" i="3"/>
  <c r="BE396" i="3"/>
  <c r="BF396" i="3"/>
  <c r="BG396" i="3"/>
  <c r="BH396" i="3"/>
  <c r="BI396" i="3"/>
  <c r="BJ396" i="3"/>
  <c r="BK396" i="3"/>
  <c r="BM396" i="3"/>
  <c r="BN396" i="3"/>
  <c r="BO396" i="3"/>
  <c r="BP396" i="3"/>
  <c r="BQ396" i="3"/>
  <c r="BL396" i="3" s="1"/>
  <c r="BR396" i="3"/>
  <c r="BS396" i="3"/>
  <c r="BT396" i="3"/>
  <c r="BB397" i="3"/>
  <c r="BA397" i="3" s="1"/>
  <c r="AZ397" i="3" s="1"/>
  <c r="BC397" i="3"/>
  <c r="BD397" i="3"/>
  <c r="BE397" i="3"/>
  <c r="BF397" i="3"/>
  <c r="BG397" i="3"/>
  <c r="BH397" i="3"/>
  <c r="BI397" i="3"/>
  <c r="BJ397" i="3"/>
  <c r="BK397" i="3"/>
  <c r="BM397" i="3"/>
  <c r="BN397" i="3"/>
  <c r="BO397" i="3"/>
  <c r="BP397" i="3"/>
  <c r="BQ397" i="3"/>
  <c r="BR397" i="3"/>
  <c r="BS397" i="3"/>
  <c r="BT397" i="3"/>
  <c r="BL397" i="3"/>
  <c r="BB398" i="3"/>
  <c r="BC398" i="3"/>
  <c r="BA398" i="3" s="1"/>
  <c r="BD398" i="3"/>
  <c r="BE398" i="3"/>
  <c r="BF398" i="3"/>
  <c r="BG398" i="3"/>
  <c r="BH398" i="3"/>
  <c r="BI398" i="3"/>
  <c r="BJ398" i="3"/>
  <c r="BK398" i="3"/>
  <c r="BM398" i="3"/>
  <c r="BL398" i="3" s="1"/>
  <c r="BN398" i="3"/>
  <c r="BO398" i="3"/>
  <c r="BP398" i="3"/>
  <c r="BQ398" i="3"/>
  <c r="BR398" i="3"/>
  <c r="BS398" i="3"/>
  <c r="BT398" i="3"/>
  <c r="BB399" i="3"/>
  <c r="BC399" i="3"/>
  <c r="BD399" i="3"/>
  <c r="BE399" i="3"/>
  <c r="BA399" i="3" s="1"/>
  <c r="BF399" i="3"/>
  <c r="BG399" i="3"/>
  <c r="BH399" i="3"/>
  <c r="BI399" i="3"/>
  <c r="BJ399" i="3"/>
  <c r="BK399" i="3"/>
  <c r="BM399" i="3"/>
  <c r="BN399" i="3"/>
  <c r="BL399" i="3" s="1"/>
  <c r="BO399" i="3"/>
  <c r="BP399" i="3"/>
  <c r="BQ399" i="3"/>
  <c r="BR399" i="3"/>
  <c r="BS399" i="3"/>
  <c r="BT399" i="3"/>
  <c r="BB400" i="3"/>
  <c r="BC400" i="3"/>
  <c r="BD400" i="3"/>
  <c r="BA400" i="3" s="1"/>
  <c r="BE400" i="3"/>
  <c r="BF400" i="3"/>
  <c r="BG400" i="3"/>
  <c r="BH400" i="3"/>
  <c r="BI400" i="3"/>
  <c r="BJ400" i="3"/>
  <c r="BK400" i="3"/>
  <c r="BM400" i="3"/>
  <c r="BL400" i="3" s="1"/>
  <c r="BN400" i="3"/>
  <c r="BO400" i="3"/>
  <c r="BP400" i="3"/>
  <c r="BQ400" i="3"/>
  <c r="BR400" i="3"/>
  <c r="BS400" i="3"/>
  <c r="BT400" i="3"/>
  <c r="BB401" i="3"/>
  <c r="BC401" i="3"/>
  <c r="BD401" i="3"/>
  <c r="BE401" i="3"/>
  <c r="BA401" i="3" s="1"/>
  <c r="BF401" i="3"/>
  <c r="BG401" i="3"/>
  <c r="BH401" i="3"/>
  <c r="BI401" i="3"/>
  <c r="BJ401" i="3"/>
  <c r="BK401" i="3"/>
  <c r="BM401" i="3"/>
  <c r="BN401" i="3"/>
  <c r="BL401" i="3" s="1"/>
  <c r="BO401" i="3"/>
  <c r="BP401" i="3"/>
  <c r="BQ401" i="3"/>
  <c r="BR401" i="3"/>
  <c r="BS401" i="3"/>
  <c r="BT401" i="3"/>
  <c r="BB402" i="3"/>
  <c r="BC402" i="3"/>
  <c r="BD402" i="3"/>
  <c r="BE402" i="3"/>
  <c r="BA402" i="3" s="1"/>
  <c r="BF402" i="3"/>
  <c r="BG402" i="3"/>
  <c r="BH402" i="3"/>
  <c r="BI402" i="3"/>
  <c r="BJ402" i="3"/>
  <c r="BK402" i="3"/>
  <c r="BM402" i="3"/>
  <c r="BN402" i="3"/>
  <c r="BO402" i="3"/>
  <c r="BP402" i="3"/>
  <c r="BQ402" i="3"/>
  <c r="BL402" i="3" s="1"/>
  <c r="BR402" i="3"/>
  <c r="BS402" i="3"/>
  <c r="BT402" i="3"/>
  <c r="BB403" i="3"/>
  <c r="BA403" i="3" s="1"/>
  <c r="AZ403" i="3" s="1"/>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L404" i="3" s="1"/>
  <c r="BR404" i="3"/>
  <c r="BS404" i="3"/>
  <c r="BT404" i="3"/>
  <c r="BB405" i="3"/>
  <c r="BA405" i="3" s="1"/>
  <c r="AZ405" i="3" s="1"/>
  <c r="BC405" i="3"/>
  <c r="BD405" i="3"/>
  <c r="BE405" i="3"/>
  <c r="BF405" i="3"/>
  <c r="BG405" i="3"/>
  <c r="BH405" i="3"/>
  <c r="BI405" i="3"/>
  <c r="BJ405" i="3"/>
  <c r="BK405" i="3"/>
  <c r="BM405" i="3"/>
  <c r="BN405" i="3"/>
  <c r="BO405" i="3"/>
  <c r="BP405" i="3"/>
  <c r="BQ405" i="3"/>
  <c r="BR405" i="3"/>
  <c r="BS405" i="3"/>
  <c r="BT405" i="3"/>
  <c r="BL405" i="3"/>
  <c r="BB406" i="3"/>
  <c r="BC406" i="3"/>
  <c r="BA406" i="3" s="1"/>
  <c r="BD406" i="3"/>
  <c r="BE406" i="3"/>
  <c r="BF406" i="3"/>
  <c r="BG406" i="3"/>
  <c r="BH406" i="3"/>
  <c r="BI406" i="3"/>
  <c r="BJ406" i="3"/>
  <c r="BK406" i="3"/>
  <c r="BM406" i="3"/>
  <c r="BL406" i="3" s="1"/>
  <c r="BN406" i="3"/>
  <c r="BO406" i="3"/>
  <c r="BP406" i="3"/>
  <c r="BQ406" i="3"/>
  <c r="BR406" i="3"/>
  <c r="BS406" i="3"/>
  <c r="BT406" i="3"/>
  <c r="BB407" i="3"/>
  <c r="BC407" i="3"/>
  <c r="BD407" i="3"/>
  <c r="BE407" i="3"/>
  <c r="BA407" i="3" s="1"/>
  <c r="BF407" i="3"/>
  <c r="BG407" i="3"/>
  <c r="BH407" i="3"/>
  <c r="BI407" i="3"/>
  <c r="BJ407" i="3"/>
  <c r="BK407" i="3"/>
  <c r="BM407" i="3"/>
  <c r="BN407" i="3"/>
  <c r="BL407" i="3" s="1"/>
  <c r="BO407" i="3"/>
  <c r="BP407" i="3"/>
  <c r="BQ407" i="3"/>
  <c r="BR407" i="3"/>
  <c r="BS407" i="3"/>
  <c r="BT407" i="3"/>
  <c r="BB408" i="3"/>
  <c r="BC408" i="3"/>
  <c r="BD408" i="3"/>
  <c r="BA408" i="3" s="1"/>
  <c r="BE408" i="3"/>
  <c r="BF408" i="3"/>
  <c r="BG408" i="3"/>
  <c r="BH408" i="3"/>
  <c r="BI408" i="3"/>
  <c r="BJ408" i="3"/>
  <c r="BK408" i="3"/>
  <c r="BM408" i="3"/>
  <c r="BL408" i="3" s="1"/>
  <c r="BN408" i="3"/>
  <c r="BO408" i="3"/>
  <c r="BP408" i="3"/>
  <c r="BQ408" i="3"/>
  <c r="BR408" i="3"/>
  <c r="BS408" i="3"/>
  <c r="BT408" i="3"/>
  <c r="BB409" i="3"/>
  <c r="BC409" i="3"/>
  <c r="BD409" i="3"/>
  <c r="BE409" i="3"/>
  <c r="BA409" i="3" s="1"/>
  <c r="BF409" i="3"/>
  <c r="BG409" i="3"/>
  <c r="BH409" i="3"/>
  <c r="BI409" i="3"/>
  <c r="BJ409" i="3"/>
  <c r="BK409" i="3"/>
  <c r="BM409" i="3"/>
  <c r="BN409" i="3"/>
  <c r="BL409" i="3" s="1"/>
  <c r="BO409" i="3"/>
  <c r="BP409" i="3"/>
  <c r="BQ409" i="3"/>
  <c r="BR409" i="3"/>
  <c r="BS409" i="3"/>
  <c r="BT409" i="3"/>
  <c r="BB410" i="3"/>
  <c r="BC410" i="3"/>
  <c r="BD410" i="3"/>
  <c r="BE410" i="3"/>
  <c r="BA410" i="3" s="1"/>
  <c r="BF410" i="3"/>
  <c r="BG410" i="3"/>
  <c r="BH410" i="3"/>
  <c r="BI410" i="3"/>
  <c r="BJ410" i="3"/>
  <c r="BK410" i="3"/>
  <c r="BM410" i="3"/>
  <c r="BN410" i="3"/>
  <c r="BO410" i="3"/>
  <c r="BP410" i="3"/>
  <c r="BQ410" i="3"/>
  <c r="BL410" i="3" s="1"/>
  <c r="BR410" i="3"/>
  <c r="BS410" i="3"/>
  <c r="BT410" i="3"/>
  <c r="BB411" i="3"/>
  <c r="BA411" i="3" s="1"/>
  <c r="AZ411" i="3" s="1"/>
  <c r="BC411" i="3"/>
  <c r="BD411" i="3"/>
  <c r="BE411" i="3"/>
  <c r="BF411" i="3"/>
  <c r="BG411" i="3"/>
  <c r="BH411" i="3"/>
  <c r="BI411" i="3"/>
  <c r="BJ411" i="3"/>
  <c r="BK411" i="3"/>
  <c r="BM411" i="3"/>
  <c r="BN411" i="3"/>
  <c r="BO411" i="3"/>
  <c r="BP411" i="3"/>
  <c r="BQ411" i="3"/>
  <c r="BR411" i="3"/>
  <c r="BS411" i="3"/>
  <c r="BT411" i="3"/>
  <c r="BL411" i="3"/>
  <c r="BB412" i="3"/>
  <c r="BC412" i="3"/>
  <c r="BA412" i="3" s="1"/>
  <c r="BD412" i="3"/>
  <c r="BE412" i="3"/>
  <c r="BF412" i="3"/>
  <c r="BG412" i="3"/>
  <c r="BH412" i="3"/>
  <c r="BI412" i="3"/>
  <c r="BJ412" i="3"/>
  <c r="BK412" i="3"/>
  <c r="BM412" i="3"/>
  <c r="BN412" i="3"/>
  <c r="BO412" i="3"/>
  <c r="BP412" i="3"/>
  <c r="BQ412" i="3"/>
  <c r="BL412" i="3" s="1"/>
  <c r="BR412" i="3"/>
  <c r="BS412" i="3"/>
  <c r="BT412" i="3"/>
  <c r="BB413" i="3"/>
  <c r="BA413" i="3" s="1"/>
  <c r="AZ413" i="3" s="1"/>
  <c r="BC413" i="3"/>
  <c r="BD413" i="3"/>
  <c r="BE413" i="3"/>
  <c r="BF413" i="3"/>
  <c r="BG413" i="3"/>
  <c r="BH413" i="3"/>
  <c r="BI413" i="3"/>
  <c r="BJ413" i="3"/>
  <c r="BK413" i="3"/>
  <c r="BM413" i="3"/>
  <c r="BN413" i="3"/>
  <c r="BO413" i="3"/>
  <c r="BP413" i="3"/>
  <c r="BQ413" i="3"/>
  <c r="BR413" i="3"/>
  <c r="BS413" i="3"/>
  <c r="BT413" i="3"/>
  <c r="BL413" i="3"/>
  <c r="BB414" i="3"/>
  <c r="BC414" i="3"/>
  <c r="BA414" i="3" s="1"/>
  <c r="BD414" i="3"/>
  <c r="BE414" i="3"/>
  <c r="BF414" i="3"/>
  <c r="BG414" i="3"/>
  <c r="BH414" i="3"/>
  <c r="BI414" i="3"/>
  <c r="BJ414" i="3"/>
  <c r="BK414" i="3"/>
  <c r="BM414" i="3"/>
  <c r="BL414" i="3" s="1"/>
  <c r="BN414" i="3"/>
  <c r="BO414" i="3"/>
  <c r="BP414" i="3"/>
  <c r="BQ414" i="3"/>
  <c r="BR414" i="3"/>
  <c r="BS414" i="3"/>
  <c r="BT414" i="3"/>
  <c r="BB415" i="3"/>
  <c r="BC415" i="3"/>
  <c r="BD415" i="3"/>
  <c r="BE415" i="3"/>
  <c r="BA415" i="3" s="1"/>
  <c r="BF415" i="3"/>
  <c r="BG415" i="3"/>
  <c r="BH415" i="3"/>
  <c r="BI415" i="3"/>
  <c r="BJ415" i="3"/>
  <c r="BK415" i="3"/>
  <c r="BM415" i="3"/>
  <c r="BN415" i="3"/>
  <c r="BL415" i="3" s="1"/>
  <c r="BO415" i="3"/>
  <c r="BP415" i="3"/>
  <c r="BQ415" i="3"/>
  <c r="BR415" i="3"/>
  <c r="BS415" i="3"/>
  <c r="BT415" i="3"/>
  <c r="BB416" i="3"/>
  <c r="BC416" i="3"/>
  <c r="BD416" i="3"/>
  <c r="BA416" i="3" s="1"/>
  <c r="BE416" i="3"/>
  <c r="BF416" i="3"/>
  <c r="BG416" i="3"/>
  <c r="BH416" i="3"/>
  <c r="BI416" i="3"/>
  <c r="BJ416" i="3"/>
  <c r="BK416" i="3"/>
  <c r="BM416" i="3"/>
  <c r="BL416" i="3" s="1"/>
  <c r="BN416" i="3"/>
  <c r="BO416" i="3"/>
  <c r="BP416" i="3"/>
  <c r="BQ416" i="3"/>
  <c r="BR416" i="3"/>
  <c r="BS416" i="3"/>
  <c r="BT416" i="3"/>
  <c r="BB417" i="3"/>
  <c r="BC417" i="3"/>
  <c r="BD417" i="3"/>
  <c r="BE417" i="3"/>
  <c r="BA417" i="3" s="1"/>
  <c r="BF417" i="3"/>
  <c r="BG417" i="3"/>
  <c r="BH417" i="3"/>
  <c r="BI417" i="3"/>
  <c r="BJ417" i="3"/>
  <c r="BK417" i="3"/>
  <c r="BM417" i="3"/>
  <c r="BN417" i="3"/>
  <c r="BL417" i="3" s="1"/>
  <c r="BO417" i="3"/>
  <c r="BP417" i="3"/>
  <c r="BQ417" i="3"/>
  <c r="BR417" i="3"/>
  <c r="BS417" i="3"/>
  <c r="BT417" i="3"/>
  <c r="BB418" i="3"/>
  <c r="BC418" i="3"/>
  <c r="BD418" i="3"/>
  <c r="BE418" i="3"/>
  <c r="BA418" i="3" s="1"/>
  <c r="BF418" i="3"/>
  <c r="BG418" i="3"/>
  <c r="BH418" i="3"/>
  <c r="BI418" i="3"/>
  <c r="BJ418" i="3"/>
  <c r="BK418" i="3"/>
  <c r="BM418" i="3"/>
  <c r="BN418" i="3"/>
  <c r="BO418" i="3"/>
  <c r="BP418" i="3"/>
  <c r="BQ418" i="3"/>
  <c r="BL418" i="3" s="1"/>
  <c r="BR418" i="3"/>
  <c r="BS418" i="3"/>
  <c r="BT418" i="3"/>
  <c r="BB419" i="3"/>
  <c r="BA419" i="3" s="1"/>
  <c r="AZ419" i="3" s="1"/>
  <c r="BC419" i="3"/>
  <c r="BD419" i="3"/>
  <c r="BE419" i="3"/>
  <c r="BF419" i="3"/>
  <c r="BG419" i="3"/>
  <c r="BH419" i="3"/>
  <c r="BI419" i="3"/>
  <c r="BJ419" i="3"/>
  <c r="BK419" i="3"/>
  <c r="BM419" i="3"/>
  <c r="BN419" i="3"/>
  <c r="BO419" i="3"/>
  <c r="BP419" i="3"/>
  <c r="BQ419" i="3"/>
  <c r="BR419" i="3"/>
  <c r="BS419" i="3"/>
  <c r="BT419" i="3"/>
  <c r="BL419" i="3"/>
  <c r="BB420" i="3"/>
  <c r="BC420" i="3"/>
  <c r="BA420" i="3" s="1"/>
  <c r="BD420" i="3"/>
  <c r="BE420" i="3"/>
  <c r="BF420" i="3"/>
  <c r="BG420" i="3"/>
  <c r="BH420" i="3"/>
  <c r="BI420" i="3"/>
  <c r="BJ420" i="3"/>
  <c r="BK420" i="3"/>
  <c r="BM420" i="3"/>
  <c r="BN420" i="3"/>
  <c r="BO420" i="3"/>
  <c r="BP420" i="3"/>
  <c r="BQ420" i="3"/>
  <c r="BL420" i="3" s="1"/>
  <c r="BR420" i="3"/>
  <c r="BS420" i="3"/>
  <c r="BT420" i="3"/>
  <c r="BB421" i="3"/>
  <c r="BA421" i="3" s="1"/>
  <c r="AZ421" i="3" s="1"/>
  <c r="BC421" i="3"/>
  <c r="BD421" i="3"/>
  <c r="BE421" i="3"/>
  <c r="BF421" i="3"/>
  <c r="BG421" i="3"/>
  <c r="BH421" i="3"/>
  <c r="BI421" i="3"/>
  <c r="BJ421" i="3"/>
  <c r="BK421" i="3"/>
  <c r="BM421" i="3"/>
  <c r="BN421" i="3"/>
  <c r="BO421" i="3"/>
  <c r="BP421" i="3"/>
  <c r="BQ421" i="3"/>
  <c r="BR421" i="3"/>
  <c r="BS421" i="3"/>
  <c r="BT421" i="3"/>
  <c r="BL421" i="3"/>
  <c r="BB422" i="3"/>
  <c r="BC422" i="3"/>
  <c r="BA422" i="3" s="1"/>
  <c r="BD422" i="3"/>
  <c r="BE422" i="3"/>
  <c r="BF422" i="3"/>
  <c r="BG422" i="3"/>
  <c r="BH422" i="3"/>
  <c r="BI422" i="3"/>
  <c r="BJ422" i="3"/>
  <c r="BK422" i="3"/>
  <c r="BM422" i="3"/>
  <c r="BL422" i="3" s="1"/>
  <c r="BN422" i="3"/>
  <c r="BO422" i="3"/>
  <c r="BP422" i="3"/>
  <c r="BQ422" i="3"/>
  <c r="BR422" i="3"/>
  <c r="BS422" i="3"/>
  <c r="BT422" i="3"/>
  <c r="BB423" i="3"/>
  <c r="BC423" i="3"/>
  <c r="BD423" i="3"/>
  <c r="BE423" i="3"/>
  <c r="BA423" i="3" s="1"/>
  <c r="BF423" i="3"/>
  <c r="BG423" i="3"/>
  <c r="BH423" i="3"/>
  <c r="BI423" i="3"/>
  <c r="BJ423" i="3"/>
  <c r="BK423" i="3"/>
  <c r="BM423" i="3"/>
  <c r="BN423" i="3"/>
  <c r="BL423" i="3" s="1"/>
  <c r="BO423" i="3"/>
  <c r="BP423" i="3"/>
  <c r="BQ423" i="3"/>
  <c r="BR423" i="3"/>
  <c r="BS423" i="3"/>
  <c r="BT423" i="3"/>
  <c r="BB424" i="3"/>
  <c r="BC424" i="3"/>
  <c r="BD424" i="3"/>
  <c r="BA424" i="3" s="1"/>
  <c r="BE424" i="3"/>
  <c r="BF424" i="3"/>
  <c r="BG424" i="3"/>
  <c r="BH424" i="3"/>
  <c r="BI424" i="3"/>
  <c r="BJ424" i="3"/>
  <c r="BK424" i="3"/>
  <c r="BM424" i="3"/>
  <c r="BL424" i="3" s="1"/>
  <c r="BN424" i="3"/>
  <c r="BO424" i="3"/>
  <c r="BP424" i="3"/>
  <c r="BQ424" i="3"/>
  <c r="BR424" i="3"/>
  <c r="BS424" i="3"/>
  <c r="BT424" i="3"/>
  <c r="BB425" i="3"/>
  <c r="BC425" i="3"/>
  <c r="BD425" i="3"/>
  <c r="BE425" i="3"/>
  <c r="BA425" i="3" s="1"/>
  <c r="BF425" i="3"/>
  <c r="BG425" i="3"/>
  <c r="BH425" i="3"/>
  <c r="BI425" i="3"/>
  <c r="BJ425" i="3"/>
  <c r="BK425" i="3"/>
  <c r="BM425" i="3"/>
  <c r="BN425" i="3"/>
  <c r="BL425" i="3" s="1"/>
  <c r="BO425" i="3"/>
  <c r="BP425" i="3"/>
  <c r="BQ425" i="3"/>
  <c r="BR425" i="3"/>
  <c r="BS425" i="3"/>
  <c r="BT425" i="3"/>
  <c r="BB426" i="3"/>
  <c r="BC426" i="3"/>
  <c r="BD426" i="3"/>
  <c r="BE426" i="3"/>
  <c r="BA426" i="3" s="1"/>
  <c r="BF426" i="3"/>
  <c r="BG426" i="3"/>
  <c r="BH426" i="3"/>
  <c r="BI426" i="3"/>
  <c r="BJ426" i="3"/>
  <c r="BK426" i="3"/>
  <c r="BM426" i="3"/>
  <c r="BN426" i="3"/>
  <c r="BO426" i="3"/>
  <c r="BP426" i="3"/>
  <c r="BQ426" i="3"/>
  <c r="BL426" i="3" s="1"/>
  <c r="BR426" i="3"/>
  <c r="BS426" i="3"/>
  <c r="BT426" i="3"/>
  <c r="BB427" i="3"/>
  <c r="BA427" i="3" s="1"/>
  <c r="AZ427" i="3" s="1"/>
  <c r="BC427" i="3"/>
  <c r="BD427" i="3"/>
  <c r="BE427" i="3"/>
  <c r="BF427" i="3"/>
  <c r="BG427" i="3"/>
  <c r="BH427" i="3"/>
  <c r="BI427" i="3"/>
  <c r="BJ427" i="3"/>
  <c r="BK427" i="3"/>
  <c r="BM427" i="3"/>
  <c r="BN427" i="3"/>
  <c r="BO427" i="3"/>
  <c r="BP427" i="3"/>
  <c r="BQ427" i="3"/>
  <c r="BR427" i="3"/>
  <c r="BS427" i="3"/>
  <c r="BT427" i="3"/>
  <c r="BL427" i="3"/>
  <c r="BB428" i="3"/>
  <c r="BC428" i="3"/>
  <c r="BA428" i="3" s="1"/>
  <c r="BD428" i="3"/>
  <c r="BE428" i="3"/>
  <c r="BF428" i="3"/>
  <c r="BG428" i="3"/>
  <c r="BH428" i="3"/>
  <c r="BI428" i="3"/>
  <c r="BJ428" i="3"/>
  <c r="BK428" i="3"/>
  <c r="BM428" i="3"/>
  <c r="BN428" i="3"/>
  <c r="BO428" i="3"/>
  <c r="BP428" i="3"/>
  <c r="BQ428" i="3"/>
  <c r="BL428" i="3" s="1"/>
  <c r="BR428" i="3"/>
  <c r="BS428" i="3"/>
  <c r="BT428" i="3"/>
  <c r="BB429" i="3"/>
  <c r="BA429" i="3" s="1"/>
  <c r="AZ429" i="3" s="1"/>
  <c r="BC429" i="3"/>
  <c r="BD429" i="3"/>
  <c r="BE429" i="3"/>
  <c r="BF429" i="3"/>
  <c r="BG429" i="3"/>
  <c r="BH429" i="3"/>
  <c r="BI429" i="3"/>
  <c r="BJ429" i="3"/>
  <c r="BK429" i="3"/>
  <c r="BM429" i="3"/>
  <c r="BN429" i="3"/>
  <c r="BO429" i="3"/>
  <c r="BP429" i="3"/>
  <c r="BQ429" i="3"/>
  <c r="BR429" i="3"/>
  <c r="BS429" i="3"/>
  <c r="BT429" i="3"/>
  <c r="BL429" i="3"/>
  <c r="BB430" i="3"/>
  <c r="BC430" i="3"/>
  <c r="BA430" i="3" s="1"/>
  <c r="BD430" i="3"/>
  <c r="BE430" i="3"/>
  <c r="BF430" i="3"/>
  <c r="BG430" i="3"/>
  <c r="BH430" i="3"/>
  <c r="BI430" i="3"/>
  <c r="BJ430" i="3"/>
  <c r="BK430" i="3"/>
  <c r="BM430" i="3"/>
  <c r="BL430" i="3" s="1"/>
  <c r="BN430" i="3"/>
  <c r="BO430" i="3"/>
  <c r="BP430" i="3"/>
  <c r="BQ430" i="3"/>
  <c r="BR430" i="3"/>
  <c r="BS430" i="3"/>
  <c r="BT430" i="3"/>
  <c r="BB431" i="3"/>
  <c r="BC431" i="3"/>
  <c r="BD431" i="3"/>
  <c r="BE431" i="3"/>
  <c r="BA431" i="3" s="1"/>
  <c r="BF431" i="3"/>
  <c r="BG431" i="3"/>
  <c r="BH431" i="3"/>
  <c r="BI431" i="3"/>
  <c r="BJ431" i="3"/>
  <c r="BK431" i="3"/>
  <c r="BM431" i="3"/>
  <c r="BN431" i="3"/>
  <c r="BL431" i="3" s="1"/>
  <c r="BO431" i="3"/>
  <c r="BP431" i="3"/>
  <c r="BQ431" i="3"/>
  <c r="BR431" i="3"/>
  <c r="BS431" i="3"/>
  <c r="BT431" i="3"/>
  <c r="BB432" i="3"/>
  <c r="BC432" i="3"/>
  <c r="BD432" i="3"/>
  <c r="BA432" i="3" s="1"/>
  <c r="BE432" i="3"/>
  <c r="BF432" i="3"/>
  <c r="BG432" i="3"/>
  <c r="BH432" i="3"/>
  <c r="BI432" i="3"/>
  <c r="BJ432" i="3"/>
  <c r="BK432" i="3"/>
  <c r="BM432" i="3"/>
  <c r="BL432" i="3" s="1"/>
  <c r="BN432" i="3"/>
  <c r="BO432" i="3"/>
  <c r="BP432" i="3"/>
  <c r="BQ432" i="3"/>
  <c r="BR432" i="3"/>
  <c r="BS432" i="3"/>
  <c r="BT432" i="3"/>
  <c r="BB433" i="3"/>
  <c r="BC433" i="3"/>
  <c r="BD433" i="3"/>
  <c r="BE433" i="3"/>
  <c r="BA433" i="3" s="1"/>
  <c r="BF433" i="3"/>
  <c r="BG433" i="3"/>
  <c r="BH433" i="3"/>
  <c r="BI433" i="3"/>
  <c r="BJ433" i="3"/>
  <c r="BK433" i="3"/>
  <c r="BM433" i="3"/>
  <c r="BN433" i="3"/>
  <c r="BL433" i="3" s="1"/>
  <c r="BO433" i="3"/>
  <c r="BP433" i="3"/>
  <c r="BQ433" i="3"/>
  <c r="BR433" i="3"/>
  <c r="BS433" i="3"/>
  <c r="BT433" i="3"/>
  <c r="BB434" i="3"/>
  <c r="BC434" i="3"/>
  <c r="BD434" i="3"/>
  <c r="BE434" i="3"/>
  <c r="BA434" i="3" s="1"/>
  <c r="BF434" i="3"/>
  <c r="BG434" i="3"/>
  <c r="BH434" i="3"/>
  <c r="BI434" i="3"/>
  <c r="BJ434" i="3"/>
  <c r="BK434" i="3"/>
  <c r="BM434" i="3"/>
  <c r="BN434" i="3"/>
  <c r="BO434" i="3"/>
  <c r="BP434" i="3"/>
  <c r="BQ434" i="3"/>
  <c r="BL434" i="3" s="1"/>
  <c r="BR434" i="3"/>
  <c r="BS434" i="3"/>
  <c r="BT434" i="3"/>
  <c r="BB435" i="3"/>
  <c r="BA435" i="3" s="1"/>
  <c r="AZ435" i="3" s="1"/>
  <c r="BC435" i="3"/>
  <c r="BD435" i="3"/>
  <c r="BE435" i="3"/>
  <c r="BF435" i="3"/>
  <c r="BG435" i="3"/>
  <c r="BH435" i="3"/>
  <c r="BI435" i="3"/>
  <c r="BJ435" i="3"/>
  <c r="BK435" i="3"/>
  <c r="BM435" i="3"/>
  <c r="BN435" i="3"/>
  <c r="BO435" i="3"/>
  <c r="BP435" i="3"/>
  <c r="BQ435" i="3"/>
  <c r="BR435" i="3"/>
  <c r="BS435" i="3"/>
  <c r="BT435" i="3"/>
  <c r="BL435" i="3"/>
  <c r="BB436" i="3"/>
  <c r="BC436" i="3"/>
  <c r="BA436" i="3" s="1"/>
  <c r="BD436" i="3"/>
  <c r="BE436" i="3"/>
  <c r="BF436" i="3"/>
  <c r="BG436" i="3"/>
  <c r="BH436" i="3"/>
  <c r="BI436" i="3"/>
  <c r="BJ436" i="3"/>
  <c r="BK436" i="3"/>
  <c r="BM436" i="3"/>
  <c r="BN436" i="3"/>
  <c r="BO436" i="3"/>
  <c r="BP436" i="3"/>
  <c r="BQ436" i="3"/>
  <c r="BL436" i="3" s="1"/>
  <c r="BR436" i="3"/>
  <c r="BS436" i="3"/>
  <c r="BT436" i="3"/>
  <c r="BB437" i="3"/>
  <c r="BA437" i="3" s="1"/>
  <c r="AZ437" i="3" s="1"/>
  <c r="BC437" i="3"/>
  <c r="BD437" i="3"/>
  <c r="BE437" i="3"/>
  <c r="BF437" i="3"/>
  <c r="BG437" i="3"/>
  <c r="BH437" i="3"/>
  <c r="BI437" i="3"/>
  <c r="BJ437" i="3"/>
  <c r="BK437" i="3"/>
  <c r="BM437" i="3"/>
  <c r="BN437" i="3"/>
  <c r="BO437" i="3"/>
  <c r="BP437" i="3"/>
  <c r="BQ437" i="3"/>
  <c r="BR437" i="3"/>
  <c r="BS437" i="3"/>
  <c r="BT437" i="3"/>
  <c r="BL437" i="3"/>
  <c r="BB438" i="3"/>
  <c r="BC438" i="3"/>
  <c r="BA438" i="3" s="1"/>
  <c r="BD438" i="3"/>
  <c r="BE438" i="3"/>
  <c r="BF438" i="3"/>
  <c r="BG438" i="3"/>
  <c r="BH438" i="3"/>
  <c r="BI438" i="3"/>
  <c r="BJ438" i="3"/>
  <c r="BK438" i="3"/>
  <c r="BM438" i="3"/>
  <c r="BL438" i="3" s="1"/>
  <c r="BN438" i="3"/>
  <c r="BO438" i="3"/>
  <c r="BP438" i="3"/>
  <c r="BQ438" i="3"/>
  <c r="BR438" i="3"/>
  <c r="BS438" i="3"/>
  <c r="BT438" i="3"/>
  <c r="BB439" i="3"/>
  <c r="BC439" i="3"/>
  <c r="BD439" i="3"/>
  <c r="BE439" i="3"/>
  <c r="BA439" i="3" s="1"/>
  <c r="BF439" i="3"/>
  <c r="BG439" i="3"/>
  <c r="BH439" i="3"/>
  <c r="BI439" i="3"/>
  <c r="BJ439" i="3"/>
  <c r="BK439" i="3"/>
  <c r="BM439" i="3"/>
  <c r="BN439" i="3"/>
  <c r="BL439" i="3" s="1"/>
  <c r="BO439" i="3"/>
  <c r="BP439" i="3"/>
  <c r="BQ439" i="3"/>
  <c r="BR439" i="3"/>
  <c r="BS439" i="3"/>
  <c r="BT439" i="3"/>
  <c r="BB440" i="3"/>
  <c r="BC440" i="3"/>
  <c r="BD440" i="3"/>
  <c r="BA440" i="3" s="1"/>
  <c r="BE440" i="3"/>
  <c r="BF440" i="3"/>
  <c r="BG440" i="3"/>
  <c r="BH440" i="3"/>
  <c r="BI440" i="3"/>
  <c r="BJ440" i="3"/>
  <c r="BK440" i="3"/>
  <c r="BM440" i="3"/>
  <c r="BL440" i="3" s="1"/>
  <c r="BN440" i="3"/>
  <c r="BO440" i="3"/>
  <c r="BP440" i="3"/>
  <c r="BQ440" i="3"/>
  <c r="BR440" i="3"/>
  <c r="BS440" i="3"/>
  <c r="BT440" i="3"/>
  <c r="BB441" i="3"/>
  <c r="BC441" i="3"/>
  <c r="BD441" i="3"/>
  <c r="BE441" i="3"/>
  <c r="BA441" i="3" s="1"/>
  <c r="BF441" i="3"/>
  <c r="BG441" i="3"/>
  <c r="BH441" i="3"/>
  <c r="BI441" i="3"/>
  <c r="BJ441" i="3"/>
  <c r="BK441" i="3"/>
  <c r="BM441" i="3"/>
  <c r="BN441" i="3"/>
  <c r="BL441" i="3" s="1"/>
  <c r="BO441" i="3"/>
  <c r="BP441" i="3"/>
  <c r="BQ441" i="3"/>
  <c r="BR441" i="3"/>
  <c r="BS441" i="3"/>
  <c r="BT441" i="3"/>
  <c r="BB442" i="3"/>
  <c r="BC442" i="3"/>
  <c r="BD442" i="3"/>
  <c r="BE442" i="3"/>
  <c r="BA442" i="3" s="1"/>
  <c r="BF442" i="3"/>
  <c r="BG442" i="3"/>
  <c r="BH442" i="3"/>
  <c r="BI442" i="3"/>
  <c r="BJ442" i="3"/>
  <c r="BK442" i="3"/>
  <c r="BM442" i="3"/>
  <c r="BN442" i="3"/>
  <c r="BO442" i="3"/>
  <c r="BP442" i="3"/>
  <c r="BQ442" i="3"/>
  <c r="BL442" i="3" s="1"/>
  <c r="BR442" i="3"/>
  <c r="BS442" i="3"/>
  <c r="BT442" i="3"/>
  <c r="BB443" i="3"/>
  <c r="BA443" i="3" s="1"/>
  <c r="AZ443" i="3" s="1"/>
  <c r="BC443" i="3"/>
  <c r="BD443" i="3"/>
  <c r="BE443" i="3"/>
  <c r="BF443" i="3"/>
  <c r="BG443" i="3"/>
  <c r="BH443" i="3"/>
  <c r="BI443" i="3"/>
  <c r="BJ443" i="3"/>
  <c r="BK443" i="3"/>
  <c r="BM443" i="3"/>
  <c r="BN443" i="3"/>
  <c r="BO443" i="3"/>
  <c r="BP443" i="3"/>
  <c r="BQ443" i="3"/>
  <c r="BR443" i="3"/>
  <c r="BS443" i="3"/>
  <c r="BT443" i="3"/>
  <c r="BL443" i="3"/>
  <c r="BB444" i="3"/>
  <c r="BC444" i="3"/>
  <c r="BA444" i="3" s="1"/>
  <c r="BD444" i="3"/>
  <c r="BE444" i="3"/>
  <c r="BF444" i="3"/>
  <c r="BG444" i="3"/>
  <c r="BH444" i="3"/>
  <c r="BI444" i="3"/>
  <c r="BJ444" i="3"/>
  <c r="BK444" i="3"/>
  <c r="BM444" i="3"/>
  <c r="BN444" i="3"/>
  <c r="BO444" i="3"/>
  <c r="BP444" i="3"/>
  <c r="BQ444" i="3"/>
  <c r="BL444" i="3" s="1"/>
  <c r="BR444" i="3"/>
  <c r="BS444" i="3"/>
  <c r="BT444" i="3"/>
  <c r="BB445" i="3"/>
  <c r="BA445" i="3" s="1"/>
  <c r="AZ445" i="3" s="1"/>
  <c r="BC445" i="3"/>
  <c r="BD445" i="3"/>
  <c r="BE445" i="3"/>
  <c r="BF445" i="3"/>
  <c r="BG445" i="3"/>
  <c r="BH445" i="3"/>
  <c r="BI445" i="3"/>
  <c r="BJ445" i="3"/>
  <c r="BK445" i="3"/>
  <c r="BM445" i="3"/>
  <c r="BN445" i="3"/>
  <c r="BO445" i="3"/>
  <c r="BP445" i="3"/>
  <c r="BQ445" i="3"/>
  <c r="BR445" i="3"/>
  <c r="BS445" i="3"/>
  <c r="BT445" i="3"/>
  <c r="BL445" i="3"/>
  <c r="BB446" i="3"/>
  <c r="BC446" i="3"/>
  <c r="BA446" i="3" s="1"/>
  <c r="BD446" i="3"/>
  <c r="BE446" i="3"/>
  <c r="BF446" i="3"/>
  <c r="BG446" i="3"/>
  <c r="BH446" i="3"/>
  <c r="BI446" i="3"/>
  <c r="BJ446" i="3"/>
  <c r="BK446" i="3"/>
  <c r="BM446" i="3"/>
  <c r="BL446" i="3" s="1"/>
  <c r="BN446" i="3"/>
  <c r="BO446" i="3"/>
  <c r="BP446" i="3"/>
  <c r="BQ446" i="3"/>
  <c r="BR446" i="3"/>
  <c r="BS446" i="3"/>
  <c r="BT446" i="3"/>
  <c r="BB447" i="3"/>
  <c r="BC447" i="3"/>
  <c r="BD447" i="3"/>
  <c r="BE447" i="3"/>
  <c r="BA447" i="3" s="1"/>
  <c r="BF447" i="3"/>
  <c r="BG447" i="3"/>
  <c r="BH447" i="3"/>
  <c r="BI447" i="3"/>
  <c r="BJ447" i="3"/>
  <c r="BK447" i="3"/>
  <c r="BM447" i="3"/>
  <c r="BN447" i="3"/>
  <c r="BL447" i="3" s="1"/>
  <c r="BO447" i="3"/>
  <c r="BP447" i="3"/>
  <c r="BQ447" i="3"/>
  <c r="BR447" i="3"/>
  <c r="BS447" i="3"/>
  <c r="BT447" i="3"/>
  <c r="BB448" i="3"/>
  <c r="BC448" i="3"/>
  <c r="BD448" i="3"/>
  <c r="BA448" i="3" s="1"/>
  <c r="BE448" i="3"/>
  <c r="BF448" i="3"/>
  <c r="BG448" i="3"/>
  <c r="BH448" i="3"/>
  <c r="BI448" i="3"/>
  <c r="BJ448" i="3"/>
  <c r="BK448" i="3"/>
  <c r="BM448" i="3"/>
  <c r="BL448" i="3" s="1"/>
  <c r="BN448" i="3"/>
  <c r="BO448" i="3"/>
  <c r="BP448" i="3"/>
  <c r="BQ448" i="3"/>
  <c r="BR448" i="3"/>
  <c r="BS448" i="3"/>
  <c r="BT448" i="3"/>
  <c r="BB449" i="3"/>
  <c r="BC449" i="3"/>
  <c r="BD449" i="3"/>
  <c r="BE449" i="3"/>
  <c r="BA449" i="3" s="1"/>
  <c r="BF449" i="3"/>
  <c r="BG449" i="3"/>
  <c r="BH449" i="3"/>
  <c r="BI449" i="3"/>
  <c r="BJ449" i="3"/>
  <c r="BK449" i="3"/>
  <c r="BM449" i="3"/>
  <c r="BN449" i="3"/>
  <c r="BL449" i="3" s="1"/>
  <c r="BO449" i="3"/>
  <c r="BP449" i="3"/>
  <c r="BQ449" i="3"/>
  <c r="BR449" i="3"/>
  <c r="BS449" i="3"/>
  <c r="BT449" i="3"/>
  <c r="BB450" i="3"/>
  <c r="BC450" i="3"/>
  <c r="BD450" i="3"/>
  <c r="BE450" i="3"/>
  <c r="BA450" i="3" s="1"/>
  <c r="BF450" i="3"/>
  <c r="BG450" i="3"/>
  <c r="BH450" i="3"/>
  <c r="BI450" i="3"/>
  <c r="BJ450" i="3"/>
  <c r="BK450" i="3"/>
  <c r="BM450" i="3"/>
  <c r="BN450" i="3"/>
  <c r="BO450" i="3"/>
  <c r="BP450" i="3"/>
  <c r="BQ450" i="3"/>
  <c r="BL450" i="3" s="1"/>
  <c r="BR450" i="3"/>
  <c r="BS450" i="3"/>
  <c r="BT450" i="3"/>
  <c r="BB451" i="3"/>
  <c r="BA451" i="3" s="1"/>
  <c r="AZ451" i="3" s="1"/>
  <c r="BC451" i="3"/>
  <c r="BD451" i="3"/>
  <c r="BE451" i="3"/>
  <c r="BF451" i="3"/>
  <c r="BG451" i="3"/>
  <c r="BH451" i="3"/>
  <c r="BI451" i="3"/>
  <c r="BJ451" i="3"/>
  <c r="BK451" i="3"/>
  <c r="BM451" i="3"/>
  <c r="BN451" i="3"/>
  <c r="BO451" i="3"/>
  <c r="BP451" i="3"/>
  <c r="BQ451" i="3"/>
  <c r="BR451" i="3"/>
  <c r="BS451" i="3"/>
  <c r="BT451" i="3"/>
  <c r="BL451" i="3"/>
  <c r="BB452" i="3"/>
  <c r="BC452" i="3"/>
  <c r="BA452" i="3" s="1"/>
  <c r="BD452" i="3"/>
  <c r="BE452" i="3"/>
  <c r="BF452" i="3"/>
  <c r="BG452" i="3"/>
  <c r="BH452" i="3"/>
  <c r="BI452" i="3"/>
  <c r="BJ452" i="3"/>
  <c r="BK452" i="3"/>
  <c r="BM452" i="3"/>
  <c r="BN452" i="3"/>
  <c r="BO452" i="3"/>
  <c r="BP452" i="3"/>
  <c r="BQ452" i="3"/>
  <c r="BL452" i="3" s="1"/>
  <c r="BR452" i="3"/>
  <c r="BS452" i="3"/>
  <c r="BT452" i="3"/>
  <c r="BB453" i="3"/>
  <c r="BA453" i="3" s="1"/>
  <c r="AZ453" i="3" s="1"/>
  <c r="BC453" i="3"/>
  <c r="BD453" i="3"/>
  <c r="BE453" i="3"/>
  <c r="BF453" i="3"/>
  <c r="BG453" i="3"/>
  <c r="BH453" i="3"/>
  <c r="BI453" i="3"/>
  <c r="BJ453" i="3"/>
  <c r="BK453" i="3"/>
  <c r="BM453" i="3"/>
  <c r="BN453" i="3"/>
  <c r="BO453" i="3"/>
  <c r="BP453" i="3"/>
  <c r="BQ453" i="3"/>
  <c r="BR453" i="3"/>
  <c r="BS453" i="3"/>
  <c r="BT453" i="3"/>
  <c r="BL453" i="3"/>
  <c r="BB454" i="3"/>
  <c r="BC454" i="3"/>
  <c r="BA454" i="3" s="1"/>
  <c r="BD454" i="3"/>
  <c r="BE454" i="3"/>
  <c r="BF454" i="3"/>
  <c r="BG454" i="3"/>
  <c r="BH454" i="3"/>
  <c r="BI454" i="3"/>
  <c r="BJ454" i="3"/>
  <c r="BK454" i="3"/>
  <c r="BM454" i="3"/>
  <c r="BL454" i="3" s="1"/>
  <c r="BN454" i="3"/>
  <c r="BO454" i="3"/>
  <c r="BP454" i="3"/>
  <c r="BQ454" i="3"/>
  <c r="BR454" i="3"/>
  <c r="BS454" i="3"/>
  <c r="BT454" i="3"/>
  <c r="BB455" i="3"/>
  <c r="BC455" i="3"/>
  <c r="BD455" i="3"/>
  <c r="BE455" i="3"/>
  <c r="BA455" i="3" s="1"/>
  <c r="BF455" i="3"/>
  <c r="BG455" i="3"/>
  <c r="BH455" i="3"/>
  <c r="BI455" i="3"/>
  <c r="BJ455" i="3"/>
  <c r="BK455" i="3"/>
  <c r="BM455" i="3"/>
  <c r="BN455" i="3"/>
  <c r="BL455" i="3" s="1"/>
  <c r="BO455" i="3"/>
  <c r="BP455" i="3"/>
  <c r="BQ455" i="3"/>
  <c r="BR455" i="3"/>
  <c r="BS455" i="3"/>
  <c r="BT455" i="3"/>
  <c r="BB456" i="3"/>
  <c r="BC456" i="3"/>
  <c r="BD456" i="3"/>
  <c r="BA456" i="3" s="1"/>
  <c r="BE456" i="3"/>
  <c r="BF456" i="3"/>
  <c r="BG456" i="3"/>
  <c r="BH456" i="3"/>
  <c r="BI456" i="3"/>
  <c r="BJ456" i="3"/>
  <c r="BK456" i="3"/>
  <c r="BM456" i="3"/>
  <c r="BL456" i="3" s="1"/>
  <c r="BN456" i="3"/>
  <c r="BO456" i="3"/>
  <c r="BP456" i="3"/>
  <c r="BQ456" i="3"/>
  <c r="BR456" i="3"/>
  <c r="BS456" i="3"/>
  <c r="BT456" i="3"/>
  <c r="BB457" i="3"/>
  <c r="BC457" i="3"/>
  <c r="BD457" i="3"/>
  <c r="BE457" i="3"/>
  <c r="BA457" i="3" s="1"/>
  <c r="BF457" i="3"/>
  <c r="BG457" i="3"/>
  <c r="BH457" i="3"/>
  <c r="BI457" i="3"/>
  <c r="BJ457" i="3"/>
  <c r="BK457" i="3"/>
  <c r="BM457" i="3"/>
  <c r="BN457" i="3"/>
  <c r="BL457" i="3" s="1"/>
  <c r="BO457" i="3"/>
  <c r="BP457" i="3"/>
  <c r="BQ457" i="3"/>
  <c r="BR457" i="3"/>
  <c r="BS457" i="3"/>
  <c r="BT457" i="3"/>
  <c r="BB458" i="3"/>
  <c r="BC458" i="3"/>
  <c r="BD458" i="3"/>
  <c r="BE458" i="3"/>
  <c r="BA458" i="3" s="1"/>
  <c r="BF458" i="3"/>
  <c r="BG458" i="3"/>
  <c r="BH458" i="3"/>
  <c r="BI458" i="3"/>
  <c r="BJ458" i="3"/>
  <c r="BK458" i="3"/>
  <c r="BM458" i="3"/>
  <c r="BN458" i="3"/>
  <c r="BO458" i="3"/>
  <c r="BP458" i="3"/>
  <c r="BQ458" i="3"/>
  <c r="BL458" i="3" s="1"/>
  <c r="BR458" i="3"/>
  <c r="BS458" i="3"/>
  <c r="BT458" i="3"/>
  <c r="BB459" i="3"/>
  <c r="BA459" i="3" s="1"/>
  <c r="AZ459" i="3" s="1"/>
  <c r="BC459" i="3"/>
  <c r="BD459" i="3"/>
  <c r="BE459" i="3"/>
  <c r="BF459" i="3"/>
  <c r="BG459" i="3"/>
  <c r="BH459" i="3"/>
  <c r="BI459" i="3"/>
  <c r="BJ459" i="3"/>
  <c r="BK459" i="3"/>
  <c r="BM459" i="3"/>
  <c r="BN459" i="3"/>
  <c r="BO459" i="3"/>
  <c r="BP459" i="3"/>
  <c r="BQ459" i="3"/>
  <c r="BR459" i="3"/>
  <c r="BS459" i="3"/>
  <c r="BT459" i="3"/>
  <c r="BL459" i="3"/>
  <c r="BB460" i="3"/>
  <c r="BC460" i="3"/>
  <c r="BA460" i="3" s="1"/>
  <c r="BD460" i="3"/>
  <c r="BE460" i="3"/>
  <c r="BF460" i="3"/>
  <c r="BG460" i="3"/>
  <c r="BH460" i="3"/>
  <c r="BI460" i="3"/>
  <c r="BJ460" i="3"/>
  <c r="BK460" i="3"/>
  <c r="BM460" i="3"/>
  <c r="BN460" i="3"/>
  <c r="BO460" i="3"/>
  <c r="BP460" i="3"/>
  <c r="BQ460" i="3"/>
  <c r="BL460" i="3" s="1"/>
  <c r="BR460" i="3"/>
  <c r="BS460" i="3"/>
  <c r="BT460" i="3"/>
  <c r="BB461" i="3"/>
  <c r="BA461" i="3" s="1"/>
  <c r="AZ461" i="3" s="1"/>
  <c r="BC461" i="3"/>
  <c r="BD461" i="3"/>
  <c r="BE461" i="3"/>
  <c r="BF461" i="3"/>
  <c r="BG461" i="3"/>
  <c r="BH461" i="3"/>
  <c r="BI461" i="3"/>
  <c r="BJ461" i="3"/>
  <c r="BK461" i="3"/>
  <c r="BM461" i="3"/>
  <c r="BN461" i="3"/>
  <c r="BO461" i="3"/>
  <c r="BP461" i="3"/>
  <c r="BQ461" i="3"/>
  <c r="BR461" i="3"/>
  <c r="BS461" i="3"/>
  <c r="BT461" i="3"/>
  <c r="BL461" i="3"/>
  <c r="BB462" i="3"/>
  <c r="BC462" i="3"/>
  <c r="BA462" i="3" s="1"/>
  <c r="BD462" i="3"/>
  <c r="BE462" i="3"/>
  <c r="BF462" i="3"/>
  <c r="BG462" i="3"/>
  <c r="BH462" i="3"/>
  <c r="BI462" i="3"/>
  <c r="BJ462" i="3"/>
  <c r="BK462" i="3"/>
  <c r="BM462" i="3"/>
  <c r="BL462" i="3" s="1"/>
  <c r="BN462" i="3"/>
  <c r="BO462" i="3"/>
  <c r="BP462" i="3"/>
  <c r="BQ462" i="3"/>
  <c r="BR462" i="3"/>
  <c r="BS462" i="3"/>
  <c r="BT462" i="3"/>
  <c r="BB463" i="3"/>
  <c r="BC463" i="3"/>
  <c r="BD463" i="3"/>
  <c r="BE463" i="3"/>
  <c r="BA463" i="3" s="1"/>
  <c r="BF463" i="3"/>
  <c r="BG463" i="3"/>
  <c r="BH463" i="3"/>
  <c r="BI463" i="3"/>
  <c r="BJ463" i="3"/>
  <c r="BK463" i="3"/>
  <c r="BM463" i="3"/>
  <c r="BN463" i="3"/>
  <c r="BL463" i="3" s="1"/>
  <c r="BO463" i="3"/>
  <c r="BP463" i="3"/>
  <c r="BQ463" i="3"/>
  <c r="BR463" i="3"/>
  <c r="BS463" i="3"/>
  <c r="BT463" i="3"/>
  <c r="BB464" i="3"/>
  <c r="BC464" i="3"/>
  <c r="BD464" i="3"/>
  <c r="BA464" i="3" s="1"/>
  <c r="BE464" i="3"/>
  <c r="BF464" i="3"/>
  <c r="BG464" i="3"/>
  <c r="BH464" i="3"/>
  <c r="BI464" i="3"/>
  <c r="BJ464" i="3"/>
  <c r="BK464" i="3"/>
  <c r="BM464" i="3"/>
  <c r="BL464" i="3" s="1"/>
  <c r="BN464" i="3"/>
  <c r="BO464" i="3"/>
  <c r="BP464" i="3"/>
  <c r="BQ464" i="3"/>
  <c r="BR464" i="3"/>
  <c r="BS464" i="3"/>
  <c r="BT464" i="3"/>
  <c r="BB465" i="3"/>
  <c r="BC465" i="3"/>
  <c r="BD465" i="3"/>
  <c r="BE465" i="3"/>
  <c r="BA465" i="3" s="1"/>
  <c r="BF465" i="3"/>
  <c r="BG465" i="3"/>
  <c r="BH465" i="3"/>
  <c r="BI465" i="3"/>
  <c r="BJ465" i="3"/>
  <c r="BK465" i="3"/>
  <c r="BM465" i="3"/>
  <c r="BN465" i="3"/>
  <c r="BL465" i="3" s="1"/>
  <c r="BO465" i="3"/>
  <c r="BP465" i="3"/>
  <c r="BQ465" i="3"/>
  <c r="BR465" i="3"/>
  <c r="BS465" i="3"/>
  <c r="BT465" i="3"/>
  <c r="BB466" i="3"/>
  <c r="BC466" i="3"/>
  <c r="BD466" i="3"/>
  <c r="BE466" i="3"/>
  <c r="BA466" i="3" s="1"/>
  <c r="BF466" i="3"/>
  <c r="BG466" i="3"/>
  <c r="BH466" i="3"/>
  <c r="BI466" i="3"/>
  <c r="BJ466" i="3"/>
  <c r="BK466" i="3"/>
  <c r="BM466" i="3"/>
  <c r="BN466" i="3"/>
  <c r="BO466" i="3"/>
  <c r="BP466" i="3"/>
  <c r="BQ466" i="3"/>
  <c r="BL466" i="3" s="1"/>
  <c r="BR466" i="3"/>
  <c r="BS466" i="3"/>
  <c r="BT466" i="3"/>
  <c r="BB467" i="3"/>
  <c r="BA467" i="3" s="1"/>
  <c r="AZ467" i="3" s="1"/>
  <c r="BC467" i="3"/>
  <c r="BD467" i="3"/>
  <c r="BE467" i="3"/>
  <c r="BF467" i="3"/>
  <c r="BG467" i="3"/>
  <c r="BH467" i="3"/>
  <c r="BI467" i="3"/>
  <c r="BJ467" i="3"/>
  <c r="BK467" i="3"/>
  <c r="BM467" i="3"/>
  <c r="BN467" i="3"/>
  <c r="BO467" i="3"/>
  <c r="BP467" i="3"/>
  <c r="BQ467" i="3"/>
  <c r="BR467" i="3"/>
  <c r="BS467" i="3"/>
  <c r="BT467" i="3"/>
  <c r="BL467" i="3"/>
  <c r="BB468" i="3"/>
  <c r="BC468" i="3"/>
  <c r="BA468" i="3" s="1"/>
  <c r="BD468" i="3"/>
  <c r="BE468" i="3"/>
  <c r="BF468" i="3"/>
  <c r="BG468" i="3"/>
  <c r="BH468" i="3"/>
  <c r="BI468" i="3"/>
  <c r="BJ468" i="3"/>
  <c r="BK468" i="3"/>
  <c r="BM468" i="3"/>
  <c r="BN468" i="3"/>
  <c r="BO468" i="3"/>
  <c r="BP468" i="3"/>
  <c r="BQ468" i="3"/>
  <c r="BL468" i="3" s="1"/>
  <c r="BR468" i="3"/>
  <c r="BS468" i="3"/>
  <c r="BT468" i="3"/>
  <c r="BB469" i="3"/>
  <c r="BA469" i="3" s="1"/>
  <c r="AZ469" i="3" s="1"/>
  <c r="BC469" i="3"/>
  <c r="BD469" i="3"/>
  <c r="BE469" i="3"/>
  <c r="BF469" i="3"/>
  <c r="BG469" i="3"/>
  <c r="BH469" i="3"/>
  <c r="BI469" i="3"/>
  <c r="BJ469" i="3"/>
  <c r="BK469" i="3"/>
  <c r="BM469" i="3"/>
  <c r="BN469" i="3"/>
  <c r="BO469" i="3"/>
  <c r="BP469" i="3"/>
  <c r="BQ469" i="3"/>
  <c r="BR469" i="3"/>
  <c r="BS469" i="3"/>
  <c r="BT469" i="3"/>
  <c r="BL469" i="3"/>
  <c r="BB470" i="3"/>
  <c r="BC470" i="3"/>
  <c r="BA470" i="3" s="1"/>
  <c r="BD470" i="3"/>
  <c r="BE470" i="3"/>
  <c r="BF470" i="3"/>
  <c r="BG470" i="3"/>
  <c r="BH470" i="3"/>
  <c r="BI470" i="3"/>
  <c r="BJ470" i="3"/>
  <c r="BK470" i="3"/>
  <c r="BM470" i="3"/>
  <c r="BL470" i="3" s="1"/>
  <c r="BN470" i="3"/>
  <c r="BO470" i="3"/>
  <c r="BP470" i="3"/>
  <c r="BQ470" i="3"/>
  <c r="BR470" i="3"/>
  <c r="BS470" i="3"/>
  <c r="BT470" i="3"/>
  <c r="BB471" i="3"/>
  <c r="BC471" i="3"/>
  <c r="BD471" i="3"/>
  <c r="BE471" i="3"/>
  <c r="BA471" i="3" s="1"/>
  <c r="BF471" i="3"/>
  <c r="BG471" i="3"/>
  <c r="BH471" i="3"/>
  <c r="BI471" i="3"/>
  <c r="BJ471" i="3"/>
  <c r="BK471" i="3"/>
  <c r="BM471" i="3"/>
  <c r="BN471" i="3"/>
  <c r="BL471" i="3" s="1"/>
  <c r="BO471" i="3"/>
  <c r="BP471" i="3"/>
  <c r="BQ471" i="3"/>
  <c r="BR471" i="3"/>
  <c r="BS471" i="3"/>
  <c r="BT471" i="3"/>
  <c r="BB472" i="3"/>
  <c r="BC472" i="3"/>
  <c r="BD472" i="3"/>
  <c r="BA472" i="3" s="1"/>
  <c r="BE472" i="3"/>
  <c r="BF472" i="3"/>
  <c r="BG472" i="3"/>
  <c r="BH472" i="3"/>
  <c r="BI472" i="3"/>
  <c r="BJ472" i="3"/>
  <c r="BK472" i="3"/>
  <c r="BM472" i="3"/>
  <c r="BL472" i="3" s="1"/>
  <c r="BN472" i="3"/>
  <c r="BO472" i="3"/>
  <c r="BP472" i="3"/>
  <c r="BQ472" i="3"/>
  <c r="BR472" i="3"/>
  <c r="BS472" i="3"/>
  <c r="BT472" i="3"/>
  <c r="BB473" i="3"/>
  <c r="BC473" i="3"/>
  <c r="BD473" i="3"/>
  <c r="BE473" i="3"/>
  <c r="BA473" i="3" s="1"/>
  <c r="BF473" i="3"/>
  <c r="BG473" i="3"/>
  <c r="BH473" i="3"/>
  <c r="BI473" i="3"/>
  <c r="BJ473" i="3"/>
  <c r="BK473" i="3"/>
  <c r="BM473" i="3"/>
  <c r="BN473" i="3"/>
  <c r="BL473" i="3" s="1"/>
  <c r="BO473" i="3"/>
  <c r="BP473" i="3"/>
  <c r="BQ473" i="3"/>
  <c r="BR473" i="3"/>
  <c r="BS473" i="3"/>
  <c r="BT473" i="3"/>
  <c r="BB474" i="3"/>
  <c r="BC474" i="3"/>
  <c r="BD474" i="3"/>
  <c r="BE474" i="3"/>
  <c r="BA474" i="3" s="1"/>
  <c r="BF474" i="3"/>
  <c r="BG474" i="3"/>
  <c r="BH474" i="3"/>
  <c r="BI474" i="3"/>
  <c r="BJ474" i="3"/>
  <c r="BK474" i="3"/>
  <c r="BM474" i="3"/>
  <c r="BN474" i="3"/>
  <c r="BO474" i="3"/>
  <c r="BP474" i="3"/>
  <c r="BQ474" i="3"/>
  <c r="BL474" i="3" s="1"/>
  <c r="BR474" i="3"/>
  <c r="BS474" i="3"/>
  <c r="BT474" i="3"/>
  <c r="BB475" i="3"/>
  <c r="BA475" i="3" s="1"/>
  <c r="AZ475" i="3" s="1"/>
  <c r="BC475" i="3"/>
  <c r="BD475" i="3"/>
  <c r="BE475" i="3"/>
  <c r="BF475" i="3"/>
  <c r="BG475" i="3"/>
  <c r="BH475" i="3"/>
  <c r="BI475" i="3"/>
  <c r="BJ475" i="3"/>
  <c r="BK475" i="3"/>
  <c r="BM475" i="3"/>
  <c r="BN475" i="3"/>
  <c r="BO475" i="3"/>
  <c r="BP475" i="3"/>
  <c r="BQ475" i="3"/>
  <c r="BR475" i="3"/>
  <c r="BS475" i="3"/>
  <c r="BT475" i="3"/>
  <c r="BL475" i="3"/>
  <c r="BB476" i="3"/>
  <c r="BC476" i="3"/>
  <c r="BA476" i="3" s="1"/>
  <c r="BD476" i="3"/>
  <c r="BE476" i="3"/>
  <c r="BF476" i="3"/>
  <c r="BG476" i="3"/>
  <c r="BH476" i="3"/>
  <c r="BI476" i="3"/>
  <c r="BJ476" i="3"/>
  <c r="BK476" i="3"/>
  <c r="BM476" i="3"/>
  <c r="BN476" i="3"/>
  <c r="BO476" i="3"/>
  <c r="BP476" i="3"/>
  <c r="BQ476" i="3"/>
  <c r="BL476" i="3" s="1"/>
  <c r="BR476" i="3"/>
  <c r="BS476" i="3"/>
  <c r="BT476" i="3"/>
  <c r="BB477" i="3"/>
  <c r="BA477" i="3" s="1"/>
  <c r="AZ477" i="3" s="1"/>
  <c r="BC477" i="3"/>
  <c r="BD477" i="3"/>
  <c r="BE477" i="3"/>
  <c r="BF477" i="3"/>
  <c r="BG477" i="3"/>
  <c r="BH477" i="3"/>
  <c r="BI477" i="3"/>
  <c r="BJ477" i="3"/>
  <c r="BK477" i="3"/>
  <c r="BM477" i="3"/>
  <c r="BN477" i="3"/>
  <c r="BO477" i="3"/>
  <c r="BP477" i="3"/>
  <c r="BQ477" i="3"/>
  <c r="BR477" i="3"/>
  <c r="BS477" i="3"/>
  <c r="BT477" i="3"/>
  <c r="BL477" i="3"/>
  <c r="BB478" i="3"/>
  <c r="BC478" i="3"/>
  <c r="BA478" i="3" s="1"/>
  <c r="BD478" i="3"/>
  <c r="BE478" i="3"/>
  <c r="BF478" i="3"/>
  <c r="BG478" i="3"/>
  <c r="BH478" i="3"/>
  <c r="BI478" i="3"/>
  <c r="BJ478" i="3"/>
  <c r="BK478" i="3"/>
  <c r="BM478" i="3"/>
  <c r="BL478" i="3" s="1"/>
  <c r="BN478" i="3"/>
  <c r="BO478" i="3"/>
  <c r="BP478" i="3"/>
  <c r="BQ478" i="3"/>
  <c r="BR478" i="3"/>
  <c r="BS478" i="3"/>
  <c r="BT478" i="3"/>
  <c r="BB479" i="3"/>
  <c r="BC479" i="3"/>
  <c r="BD479" i="3"/>
  <c r="BE479" i="3"/>
  <c r="BA479" i="3" s="1"/>
  <c r="BF479" i="3"/>
  <c r="BG479" i="3"/>
  <c r="BH479" i="3"/>
  <c r="BI479" i="3"/>
  <c r="BJ479" i="3"/>
  <c r="BK479" i="3"/>
  <c r="BM479" i="3"/>
  <c r="BN479" i="3"/>
  <c r="BL479" i="3" s="1"/>
  <c r="BO479" i="3"/>
  <c r="BP479" i="3"/>
  <c r="BQ479" i="3"/>
  <c r="BR479" i="3"/>
  <c r="BS479" i="3"/>
  <c r="BT479" i="3"/>
  <c r="BB480" i="3"/>
  <c r="BC480" i="3"/>
  <c r="BD480" i="3"/>
  <c r="BA480" i="3" s="1"/>
  <c r="BE480" i="3"/>
  <c r="BF480" i="3"/>
  <c r="BG480" i="3"/>
  <c r="BH480" i="3"/>
  <c r="BI480" i="3"/>
  <c r="BJ480" i="3"/>
  <c r="BK480" i="3"/>
  <c r="BM480" i="3"/>
  <c r="BL480" i="3" s="1"/>
  <c r="BN480" i="3"/>
  <c r="BO480" i="3"/>
  <c r="BP480" i="3"/>
  <c r="BQ480" i="3"/>
  <c r="BR480" i="3"/>
  <c r="BS480" i="3"/>
  <c r="BT480" i="3"/>
  <c r="BB481" i="3"/>
  <c r="BC481" i="3"/>
  <c r="BD481" i="3"/>
  <c r="BE481" i="3"/>
  <c r="BA481" i="3" s="1"/>
  <c r="BF481" i="3"/>
  <c r="BG481" i="3"/>
  <c r="BH481" i="3"/>
  <c r="BI481" i="3"/>
  <c r="BJ481" i="3"/>
  <c r="BK481" i="3"/>
  <c r="BM481" i="3"/>
  <c r="BN481" i="3"/>
  <c r="BL481" i="3" s="1"/>
  <c r="BO481" i="3"/>
  <c r="BP481" i="3"/>
  <c r="BQ481" i="3"/>
  <c r="BR481" i="3"/>
  <c r="BS481" i="3"/>
  <c r="BT481" i="3"/>
  <c r="BB482" i="3"/>
  <c r="BC482" i="3"/>
  <c r="BD482" i="3"/>
  <c r="BE482" i="3"/>
  <c r="BA482" i="3" s="1"/>
  <c r="BF482" i="3"/>
  <c r="BG482" i="3"/>
  <c r="BH482" i="3"/>
  <c r="BI482" i="3"/>
  <c r="BJ482" i="3"/>
  <c r="BK482" i="3"/>
  <c r="BM482" i="3"/>
  <c r="BN482" i="3"/>
  <c r="BO482" i="3"/>
  <c r="BP482" i="3"/>
  <c r="BQ482" i="3"/>
  <c r="BL482" i="3" s="1"/>
  <c r="BR482" i="3"/>
  <c r="BS482" i="3"/>
  <c r="BT482" i="3"/>
  <c r="BB483" i="3"/>
  <c r="BA483" i="3" s="1"/>
  <c r="AZ483" i="3" s="1"/>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L484" i="3" s="1"/>
  <c r="BR484" i="3"/>
  <c r="BS484" i="3"/>
  <c r="BT484" i="3"/>
  <c r="BB485" i="3"/>
  <c r="BA485" i="3" s="1"/>
  <c r="AZ485" i="3" s="1"/>
  <c r="BC485" i="3"/>
  <c r="BD485" i="3"/>
  <c r="BE485" i="3"/>
  <c r="BF485" i="3"/>
  <c r="BG485" i="3"/>
  <c r="BH485" i="3"/>
  <c r="BI485" i="3"/>
  <c r="BJ485" i="3"/>
  <c r="BK485" i="3"/>
  <c r="BM485" i="3"/>
  <c r="BN485" i="3"/>
  <c r="BO485" i="3"/>
  <c r="BP485" i="3"/>
  <c r="BQ485" i="3"/>
  <c r="BR485" i="3"/>
  <c r="BS485" i="3"/>
  <c r="BT485" i="3"/>
  <c r="BL485" i="3"/>
  <c r="BB486" i="3"/>
  <c r="BC486" i="3"/>
  <c r="BA486" i="3" s="1"/>
  <c r="BD486" i="3"/>
  <c r="BE486" i="3"/>
  <c r="BF486" i="3"/>
  <c r="BG486" i="3"/>
  <c r="BH486" i="3"/>
  <c r="BI486" i="3"/>
  <c r="BJ486" i="3"/>
  <c r="BK486" i="3"/>
  <c r="BM486" i="3"/>
  <c r="BL486" i="3" s="1"/>
  <c r="BN486" i="3"/>
  <c r="BO486" i="3"/>
  <c r="BP486" i="3"/>
  <c r="BQ486" i="3"/>
  <c r="BR486" i="3"/>
  <c r="BS486" i="3"/>
  <c r="BT486" i="3"/>
  <c r="BB487" i="3"/>
  <c r="BC487" i="3"/>
  <c r="BD487" i="3"/>
  <c r="BE487" i="3"/>
  <c r="BA487" i="3" s="1"/>
  <c r="BF487" i="3"/>
  <c r="BG487" i="3"/>
  <c r="BH487" i="3"/>
  <c r="BI487" i="3"/>
  <c r="BJ487" i="3"/>
  <c r="BK487" i="3"/>
  <c r="BM487" i="3"/>
  <c r="BN487" i="3"/>
  <c r="BL487" i="3" s="1"/>
  <c r="BO487" i="3"/>
  <c r="BP487" i="3"/>
  <c r="BQ487" i="3"/>
  <c r="BR487" i="3"/>
  <c r="BS487" i="3"/>
  <c r="BT487" i="3"/>
  <c r="BB488" i="3"/>
  <c r="BC488" i="3"/>
  <c r="BD488" i="3"/>
  <c r="BA488" i="3" s="1"/>
  <c r="BE488" i="3"/>
  <c r="BF488" i="3"/>
  <c r="BG488" i="3"/>
  <c r="BH488" i="3"/>
  <c r="BI488" i="3"/>
  <c r="BJ488" i="3"/>
  <c r="BK488" i="3"/>
  <c r="BM488" i="3"/>
  <c r="BL488" i="3" s="1"/>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M490" i="3"/>
  <c r="BL490" i="3" s="1"/>
  <c r="BN490" i="3"/>
  <c r="BO490" i="3"/>
  <c r="BP490" i="3"/>
  <c r="BQ490" i="3"/>
  <c r="BR490" i="3"/>
  <c r="BS490" i="3"/>
  <c r="BT490" i="3"/>
  <c r="BB491" i="3"/>
  <c r="BC491" i="3"/>
  <c r="BD491" i="3"/>
  <c r="BE491" i="3"/>
  <c r="BF491" i="3"/>
  <c r="BG491" i="3"/>
  <c r="BH491" i="3"/>
  <c r="BI491" i="3"/>
  <c r="BJ491" i="3"/>
  <c r="BK491" i="3"/>
  <c r="BA491" i="3" s="1"/>
  <c r="BM491" i="3"/>
  <c r="BN491" i="3"/>
  <c r="BL491" i="3" s="1"/>
  <c r="BO491" i="3"/>
  <c r="BP491" i="3"/>
  <c r="BQ491" i="3"/>
  <c r="BR491" i="3"/>
  <c r="BS491" i="3"/>
  <c r="BT491" i="3"/>
  <c r="BB492" i="3"/>
  <c r="BC492" i="3"/>
  <c r="BD492" i="3"/>
  <c r="BE492" i="3"/>
  <c r="BF492" i="3"/>
  <c r="BG492" i="3"/>
  <c r="BH492" i="3"/>
  <c r="BI492" i="3"/>
  <c r="BJ492" i="3"/>
  <c r="BK492" i="3"/>
  <c r="BM492" i="3"/>
  <c r="BL492" i="3" s="1"/>
  <c r="BN492" i="3"/>
  <c r="BO492" i="3"/>
  <c r="BP492" i="3"/>
  <c r="BQ492" i="3"/>
  <c r="BR492" i="3"/>
  <c r="BS492" i="3"/>
  <c r="BT492" i="3"/>
  <c r="BB493" i="3"/>
  <c r="BC493" i="3"/>
  <c r="BA493" i="3" s="1"/>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M494" i="3"/>
  <c r="BN494" i="3"/>
  <c r="BO494" i="3"/>
  <c r="BP494" i="3"/>
  <c r="BL494" i="3" s="1"/>
  <c r="BQ494" i="3"/>
  <c r="BR494" i="3"/>
  <c r="BS494" i="3"/>
  <c r="BT494" i="3"/>
  <c r="BB495" i="3"/>
  <c r="BC495" i="3"/>
  <c r="BD495" i="3"/>
  <c r="BE495" i="3"/>
  <c r="BA495" i="3" s="1"/>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M496" i="3"/>
  <c r="BL496" i="3" s="1"/>
  <c r="BN496" i="3"/>
  <c r="BO496" i="3"/>
  <c r="BP496" i="3"/>
  <c r="BQ496" i="3"/>
  <c r="BR496" i="3"/>
  <c r="BS496" i="3"/>
  <c r="BT496" i="3"/>
  <c r="BB497" i="3"/>
  <c r="BC497" i="3"/>
  <c r="BA497" i="3" s="1"/>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M498" i="3"/>
  <c r="BN498" i="3"/>
  <c r="BO498" i="3"/>
  <c r="BP498" i="3"/>
  <c r="BL498" i="3" s="1"/>
  <c r="BQ498" i="3"/>
  <c r="BR498" i="3"/>
  <c r="BS498" i="3"/>
  <c r="BT498" i="3"/>
  <c r="BB499" i="3"/>
  <c r="BC499" i="3"/>
  <c r="BD499" i="3"/>
  <c r="BE499" i="3"/>
  <c r="BA499" i="3" s="1"/>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M500" i="3"/>
  <c r="BL500" i="3" s="1"/>
  <c r="BN500" i="3"/>
  <c r="BO500" i="3"/>
  <c r="BP500" i="3"/>
  <c r="BQ500" i="3"/>
  <c r="BR500" i="3"/>
  <c r="BS500" i="3"/>
  <c r="BT500" i="3"/>
  <c r="BB501" i="3"/>
  <c r="BC501" i="3"/>
  <c r="BA501" i="3" s="1"/>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M502" i="3"/>
  <c r="BN502" i="3"/>
  <c r="BO502" i="3"/>
  <c r="BP502" i="3"/>
  <c r="BL502" i="3" s="1"/>
  <c r="BQ502" i="3"/>
  <c r="BR502" i="3"/>
  <c r="BS502" i="3"/>
  <c r="BT502" i="3"/>
  <c r="BB503" i="3"/>
  <c r="BC503" i="3"/>
  <c r="BD503" i="3"/>
  <c r="BE503" i="3"/>
  <c r="BA503" i="3" s="1"/>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M504" i="3"/>
  <c r="BL504" i="3" s="1"/>
  <c r="BN504" i="3"/>
  <c r="BO504" i="3"/>
  <c r="BP504" i="3"/>
  <c r="BQ504" i="3"/>
  <c r="BR504" i="3"/>
  <c r="BS504" i="3"/>
  <c r="BT504" i="3"/>
  <c r="BB505" i="3"/>
  <c r="BC505" i="3"/>
  <c r="BA505" i="3" s="1"/>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M506" i="3"/>
  <c r="BN506" i="3"/>
  <c r="BO506" i="3"/>
  <c r="BP506" i="3"/>
  <c r="BL506" i="3" s="1"/>
  <c r="BQ506" i="3"/>
  <c r="BR506" i="3"/>
  <c r="BS506" i="3"/>
  <c r="BT506" i="3"/>
  <c r="BB507" i="3"/>
  <c r="BC507" i="3"/>
  <c r="BD507" i="3"/>
  <c r="BE507" i="3"/>
  <c r="BA507" i="3" s="1"/>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M508" i="3"/>
  <c r="BL508" i="3" s="1"/>
  <c r="BN508" i="3"/>
  <c r="BO508" i="3"/>
  <c r="BP508" i="3"/>
  <c r="BQ508" i="3"/>
  <c r="BR508" i="3"/>
  <c r="BS508" i="3"/>
  <c r="BT508" i="3"/>
  <c r="BB509" i="3"/>
  <c r="BC509" i="3"/>
  <c r="BA509" i="3" s="1"/>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M510" i="3"/>
  <c r="BN510" i="3"/>
  <c r="BO510" i="3"/>
  <c r="BP510" i="3"/>
  <c r="BL510" i="3" s="1"/>
  <c r="BQ510" i="3"/>
  <c r="BR510" i="3"/>
  <c r="BS510" i="3"/>
  <c r="BT510" i="3"/>
  <c r="BB511" i="3"/>
  <c r="BC511" i="3"/>
  <c r="BD511" i="3"/>
  <c r="BE511" i="3"/>
  <c r="BA511" i="3" s="1"/>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M512" i="3"/>
  <c r="BL512" i="3" s="1"/>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L513" i="3" s="1"/>
  <c r="BS513" i="3"/>
  <c r="BT513" i="3"/>
  <c r="BB514" i="3"/>
  <c r="BC514" i="3"/>
  <c r="BD514" i="3"/>
  <c r="BE514" i="3"/>
  <c r="BF514" i="3"/>
  <c r="BG514" i="3"/>
  <c r="BH514" i="3"/>
  <c r="BI514" i="3"/>
  <c r="BJ514" i="3"/>
  <c r="BK514" i="3"/>
  <c r="BM514" i="3"/>
  <c r="BN514" i="3"/>
  <c r="BO514" i="3"/>
  <c r="BP514" i="3"/>
  <c r="BL514" i="3" s="1"/>
  <c r="BQ514" i="3"/>
  <c r="BR514" i="3"/>
  <c r="BS514" i="3"/>
  <c r="BT514" i="3"/>
  <c r="BB515" i="3"/>
  <c r="BC515" i="3"/>
  <c r="BD515" i="3"/>
  <c r="BE515" i="3"/>
  <c r="BA515" i="3" s="1"/>
  <c r="BF515" i="3"/>
  <c r="BG515" i="3"/>
  <c r="BH515" i="3"/>
  <c r="BI515" i="3"/>
  <c r="BJ515" i="3"/>
  <c r="BK515" i="3"/>
  <c r="BM515" i="3"/>
  <c r="BN515" i="3"/>
  <c r="BO515" i="3"/>
  <c r="BP515" i="3"/>
  <c r="BQ515" i="3"/>
  <c r="BR515" i="3"/>
  <c r="BL515" i="3" s="1"/>
  <c r="BS515" i="3"/>
  <c r="BT515" i="3"/>
  <c r="BB516" i="3"/>
  <c r="BC516" i="3"/>
  <c r="BD516" i="3"/>
  <c r="BE516" i="3"/>
  <c r="BF516" i="3"/>
  <c r="BG516" i="3"/>
  <c r="BH516" i="3"/>
  <c r="BI516" i="3"/>
  <c r="BJ516" i="3"/>
  <c r="BK516" i="3"/>
  <c r="BM516" i="3"/>
  <c r="BN516" i="3"/>
  <c r="BO516" i="3"/>
  <c r="BP516" i="3"/>
  <c r="BL516" i="3" s="1"/>
  <c r="BQ516" i="3"/>
  <c r="BR516" i="3"/>
  <c r="BS516" i="3"/>
  <c r="BT516" i="3"/>
  <c r="BB517" i="3"/>
  <c r="BC517" i="3"/>
  <c r="BD517" i="3"/>
  <c r="BA517" i="3" s="1"/>
  <c r="AZ517" i="3" s="1"/>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M518" i="3"/>
  <c r="BN518" i="3"/>
  <c r="BL518" i="3" s="1"/>
  <c r="BO518" i="3"/>
  <c r="BP518" i="3"/>
  <c r="BQ518" i="3"/>
  <c r="BR518" i="3"/>
  <c r="BS518" i="3"/>
  <c r="BT518" i="3"/>
  <c r="BB519" i="3"/>
  <c r="BA519" i="3" s="1"/>
  <c r="AZ519" i="3" s="1"/>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M520" i="3"/>
  <c r="BN520" i="3"/>
  <c r="BO520" i="3"/>
  <c r="BP520" i="3"/>
  <c r="BQ520" i="3"/>
  <c r="BL520" i="3" s="1"/>
  <c r="BR520" i="3"/>
  <c r="BS520" i="3"/>
  <c r="BT520" i="3"/>
  <c r="BB521" i="3"/>
  <c r="BC521" i="3"/>
  <c r="BD521" i="3"/>
  <c r="BA521" i="3" s="1"/>
  <c r="AZ521" i="3" s="1"/>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M522" i="3"/>
  <c r="BN522" i="3"/>
  <c r="BL522" i="3" s="1"/>
  <c r="BO522" i="3"/>
  <c r="BP522" i="3"/>
  <c r="BQ522" i="3"/>
  <c r="BR522" i="3"/>
  <c r="BS522" i="3"/>
  <c r="BT522" i="3"/>
  <c r="BB523" i="3"/>
  <c r="BA523" i="3" s="1"/>
  <c r="AZ523" i="3" s="1"/>
  <c r="BC523" i="3"/>
  <c r="BD523" i="3"/>
  <c r="BE523" i="3"/>
  <c r="BF523" i="3"/>
  <c r="BG523" i="3"/>
  <c r="BH523" i="3"/>
  <c r="BI523" i="3"/>
  <c r="BJ523" i="3"/>
  <c r="BK523" i="3"/>
  <c r="BM523" i="3"/>
  <c r="BN523" i="3"/>
  <c r="BO523" i="3"/>
  <c r="BP523" i="3"/>
  <c r="BQ523" i="3"/>
  <c r="BR523" i="3"/>
  <c r="BS523" i="3"/>
  <c r="BT523" i="3"/>
  <c r="BL523" i="3"/>
  <c r="BB524" i="3"/>
  <c r="BC524" i="3"/>
  <c r="BA524" i="3" s="1"/>
  <c r="AZ524" i="3" s="1"/>
  <c r="BD524" i="3"/>
  <c r="BE524" i="3"/>
  <c r="BF524" i="3"/>
  <c r="BG524" i="3"/>
  <c r="BH524" i="3"/>
  <c r="BI524" i="3"/>
  <c r="BJ524" i="3"/>
  <c r="BK524" i="3"/>
  <c r="BM524" i="3"/>
  <c r="BN524" i="3"/>
  <c r="BO524" i="3"/>
  <c r="BP524" i="3"/>
  <c r="BQ524" i="3"/>
  <c r="BL524" i="3" s="1"/>
  <c r="BR524" i="3"/>
  <c r="BS524" i="3"/>
  <c r="BT524" i="3"/>
  <c r="BB525" i="3"/>
  <c r="BA525" i="3" s="1"/>
  <c r="AZ525" i="3" s="1"/>
  <c r="BC525" i="3"/>
  <c r="BD525" i="3"/>
  <c r="BE525" i="3"/>
  <c r="BF525" i="3"/>
  <c r="BG525" i="3"/>
  <c r="BH525" i="3"/>
  <c r="BI525" i="3"/>
  <c r="BJ525" i="3"/>
  <c r="BK525" i="3"/>
  <c r="BM525" i="3"/>
  <c r="BN525" i="3"/>
  <c r="BO525" i="3"/>
  <c r="BP525" i="3"/>
  <c r="BQ525" i="3"/>
  <c r="BR525" i="3"/>
  <c r="BS525" i="3"/>
  <c r="BT525" i="3"/>
  <c r="BL525" i="3"/>
  <c r="BB526" i="3"/>
  <c r="BC526" i="3"/>
  <c r="BA526" i="3" s="1"/>
  <c r="BD526" i="3"/>
  <c r="BE526" i="3"/>
  <c r="BF526" i="3"/>
  <c r="BG526" i="3"/>
  <c r="BH526" i="3"/>
  <c r="BI526" i="3"/>
  <c r="BJ526" i="3"/>
  <c r="BK526" i="3"/>
  <c r="BM526" i="3"/>
  <c r="BN526" i="3"/>
  <c r="BO526" i="3"/>
  <c r="BP526" i="3"/>
  <c r="BQ526" i="3"/>
  <c r="BL526" i="3" s="1"/>
  <c r="BR526" i="3"/>
  <c r="BS526" i="3"/>
  <c r="BT526" i="3"/>
  <c r="BB527" i="3"/>
  <c r="BA527" i="3" s="1"/>
  <c r="AZ527" i="3" s="1"/>
  <c r="BC527" i="3"/>
  <c r="BD527" i="3"/>
  <c r="BE527" i="3"/>
  <c r="BF527" i="3"/>
  <c r="BG527" i="3"/>
  <c r="BH527" i="3"/>
  <c r="BI527" i="3"/>
  <c r="BJ527" i="3"/>
  <c r="BK527" i="3"/>
  <c r="BM527" i="3"/>
  <c r="BN527" i="3"/>
  <c r="BO527" i="3"/>
  <c r="BP527" i="3"/>
  <c r="BQ527" i="3"/>
  <c r="BR527" i="3"/>
  <c r="BS527" i="3"/>
  <c r="BT527" i="3"/>
  <c r="BL527" i="3"/>
  <c r="BB528" i="3"/>
  <c r="BC528" i="3"/>
  <c r="BA528" i="3" s="1"/>
  <c r="BD528" i="3"/>
  <c r="BE528" i="3"/>
  <c r="BF528" i="3"/>
  <c r="BG528" i="3"/>
  <c r="BH528" i="3"/>
  <c r="BI528" i="3"/>
  <c r="BJ528" i="3"/>
  <c r="BK528" i="3"/>
  <c r="BM528" i="3"/>
  <c r="BN528" i="3"/>
  <c r="BO528" i="3"/>
  <c r="BP528" i="3"/>
  <c r="BL528" i="3" s="1"/>
  <c r="BQ528" i="3"/>
  <c r="BR528" i="3"/>
  <c r="BS528" i="3"/>
  <c r="BT528" i="3"/>
  <c r="BB529" i="3"/>
  <c r="BC529" i="3"/>
  <c r="BD529" i="3"/>
  <c r="BA529" i="3" s="1"/>
  <c r="AZ529" i="3" s="1"/>
  <c r="BE529" i="3"/>
  <c r="BF529" i="3"/>
  <c r="BG529" i="3"/>
  <c r="BH529" i="3"/>
  <c r="BI529" i="3"/>
  <c r="BJ529" i="3"/>
  <c r="BK529" i="3"/>
  <c r="BM529" i="3"/>
  <c r="BN529" i="3"/>
  <c r="BO529" i="3"/>
  <c r="BP529" i="3"/>
  <c r="BQ529" i="3"/>
  <c r="BR529" i="3"/>
  <c r="BS529" i="3"/>
  <c r="BT529" i="3"/>
  <c r="BL529" i="3"/>
  <c r="BB530" i="3"/>
  <c r="BC530" i="3"/>
  <c r="BA530" i="3" s="1"/>
  <c r="BD530" i="3"/>
  <c r="BE530" i="3"/>
  <c r="BF530" i="3"/>
  <c r="BG530" i="3"/>
  <c r="BH530" i="3"/>
  <c r="BI530" i="3"/>
  <c r="BJ530" i="3"/>
  <c r="BK530" i="3"/>
  <c r="BM530" i="3"/>
  <c r="BN530" i="3"/>
  <c r="BO530" i="3"/>
  <c r="BL530" i="3" s="1"/>
  <c r="BP530" i="3"/>
  <c r="BQ530" i="3"/>
  <c r="BR530" i="3"/>
  <c r="BS530" i="3"/>
  <c r="BT530" i="3"/>
  <c r="BB531" i="3"/>
  <c r="BC531" i="3"/>
  <c r="BD531" i="3"/>
  <c r="BE531" i="3"/>
  <c r="BA531" i="3" s="1"/>
  <c r="BF531" i="3"/>
  <c r="BG531" i="3"/>
  <c r="BH531" i="3"/>
  <c r="BI531" i="3"/>
  <c r="BJ531" i="3"/>
  <c r="BK531" i="3"/>
  <c r="BM531" i="3"/>
  <c r="BN531" i="3"/>
  <c r="BO531" i="3"/>
  <c r="BP531" i="3"/>
  <c r="BQ531" i="3"/>
  <c r="BR531" i="3"/>
  <c r="BL531" i="3" s="1"/>
  <c r="BS531" i="3"/>
  <c r="BT531" i="3"/>
  <c r="BB532" i="3"/>
  <c r="BC532" i="3"/>
  <c r="BD532" i="3"/>
  <c r="BA532" i="3" s="1"/>
  <c r="BE532" i="3"/>
  <c r="BF532" i="3"/>
  <c r="BG532" i="3"/>
  <c r="BH532" i="3"/>
  <c r="BI532" i="3"/>
  <c r="BJ532" i="3"/>
  <c r="BK532" i="3"/>
  <c r="BM532" i="3"/>
  <c r="BL532" i="3" s="1"/>
  <c r="BN532" i="3"/>
  <c r="BO532" i="3"/>
  <c r="BP532" i="3"/>
  <c r="BQ532" i="3"/>
  <c r="BR532" i="3"/>
  <c r="BS532" i="3"/>
  <c r="BT532" i="3"/>
  <c r="BB533" i="3"/>
  <c r="BC533" i="3"/>
  <c r="BD533" i="3"/>
  <c r="BE533" i="3"/>
  <c r="BA533" i="3" s="1"/>
  <c r="BF533" i="3"/>
  <c r="BG533" i="3"/>
  <c r="BH533" i="3"/>
  <c r="BI533" i="3"/>
  <c r="BJ533" i="3"/>
  <c r="BK533" i="3"/>
  <c r="BM533" i="3"/>
  <c r="BN533" i="3"/>
  <c r="BL533" i="3" s="1"/>
  <c r="BO533" i="3"/>
  <c r="BP533" i="3"/>
  <c r="BQ533" i="3"/>
  <c r="BR533" i="3"/>
  <c r="BS533" i="3"/>
  <c r="BT533" i="3"/>
  <c r="BB534" i="3"/>
  <c r="BC534" i="3"/>
  <c r="BD534" i="3"/>
  <c r="BA534" i="3" s="1"/>
  <c r="BE534" i="3"/>
  <c r="BF534" i="3"/>
  <c r="BG534" i="3"/>
  <c r="BH534" i="3"/>
  <c r="BI534" i="3"/>
  <c r="BJ534" i="3"/>
  <c r="BK534" i="3"/>
  <c r="BM534" i="3"/>
  <c r="BL534" i="3" s="1"/>
  <c r="BN534" i="3"/>
  <c r="BO534" i="3"/>
  <c r="BP534" i="3"/>
  <c r="BQ534" i="3"/>
  <c r="BR534" i="3"/>
  <c r="BS534" i="3"/>
  <c r="BT534" i="3"/>
  <c r="BB535" i="3"/>
  <c r="BC535" i="3"/>
  <c r="BD535" i="3"/>
  <c r="BE535" i="3"/>
  <c r="BA535" i="3" s="1"/>
  <c r="BF535" i="3"/>
  <c r="BG535" i="3"/>
  <c r="BH535" i="3"/>
  <c r="BI535" i="3"/>
  <c r="BJ535" i="3"/>
  <c r="BK535" i="3"/>
  <c r="BM535" i="3"/>
  <c r="BN535" i="3"/>
  <c r="BL535" i="3" s="1"/>
  <c r="BO535" i="3"/>
  <c r="BP535" i="3"/>
  <c r="BQ535" i="3"/>
  <c r="BR535" i="3"/>
  <c r="BS535" i="3"/>
  <c r="BT535" i="3"/>
  <c r="BB536" i="3"/>
  <c r="BC536" i="3"/>
  <c r="BD536" i="3"/>
  <c r="BE536" i="3"/>
  <c r="BA536" i="3" s="1"/>
  <c r="BF536" i="3"/>
  <c r="BG536" i="3"/>
  <c r="BH536" i="3"/>
  <c r="BI536" i="3"/>
  <c r="BJ536" i="3"/>
  <c r="BK536" i="3"/>
  <c r="BM536" i="3"/>
  <c r="BN536" i="3"/>
  <c r="BO536" i="3"/>
  <c r="BP536" i="3"/>
  <c r="BQ536" i="3"/>
  <c r="BL536" i="3" s="1"/>
  <c r="BR536" i="3"/>
  <c r="BS536" i="3"/>
  <c r="BT536" i="3"/>
  <c r="BB537" i="3"/>
  <c r="BA537" i="3" s="1"/>
  <c r="AZ537" i="3" s="1"/>
  <c r="BC537" i="3"/>
  <c r="BD537" i="3"/>
  <c r="BE537" i="3"/>
  <c r="BF537" i="3"/>
  <c r="BG537" i="3"/>
  <c r="BH537" i="3"/>
  <c r="BI537" i="3"/>
  <c r="BJ537" i="3"/>
  <c r="BK537" i="3"/>
  <c r="BM537" i="3"/>
  <c r="BN537" i="3"/>
  <c r="BO537" i="3"/>
  <c r="BP537" i="3"/>
  <c r="BQ537" i="3"/>
  <c r="BR537" i="3"/>
  <c r="BS537" i="3"/>
  <c r="BT537" i="3"/>
  <c r="BL537" i="3"/>
  <c r="BB538" i="3"/>
  <c r="BC538" i="3"/>
  <c r="BA538" i="3" s="1"/>
  <c r="AZ538" i="3" s="1"/>
  <c r="BD538" i="3"/>
  <c r="BE538" i="3"/>
  <c r="BF538" i="3"/>
  <c r="BG538" i="3"/>
  <c r="BH538" i="3"/>
  <c r="BI538" i="3"/>
  <c r="BJ538" i="3"/>
  <c r="BK538" i="3"/>
  <c r="BM538" i="3"/>
  <c r="BN538" i="3"/>
  <c r="BO538" i="3"/>
  <c r="BP538" i="3"/>
  <c r="BQ538" i="3"/>
  <c r="BL538" i="3" s="1"/>
  <c r="BR538" i="3"/>
  <c r="BS538" i="3"/>
  <c r="BT538" i="3"/>
  <c r="BB539" i="3"/>
  <c r="BA539" i="3" s="1"/>
  <c r="AZ539" i="3" s="1"/>
  <c r="BC539" i="3"/>
  <c r="BD539" i="3"/>
  <c r="BE539" i="3"/>
  <c r="BF539" i="3"/>
  <c r="BG539" i="3"/>
  <c r="BH539" i="3"/>
  <c r="BI539" i="3"/>
  <c r="BJ539" i="3"/>
  <c r="BK539" i="3"/>
  <c r="BM539" i="3"/>
  <c r="BN539" i="3"/>
  <c r="BO539" i="3"/>
  <c r="BP539" i="3"/>
  <c r="BQ539" i="3"/>
  <c r="BR539" i="3"/>
  <c r="BS539" i="3"/>
  <c r="BT539" i="3"/>
  <c r="BL539" i="3"/>
  <c r="BB540" i="3"/>
  <c r="BC540" i="3"/>
  <c r="BA540" i="3" s="1"/>
  <c r="BD540" i="3"/>
  <c r="BE540" i="3"/>
  <c r="BF540" i="3"/>
  <c r="BG540" i="3"/>
  <c r="BH540" i="3"/>
  <c r="BI540" i="3"/>
  <c r="BJ540" i="3"/>
  <c r="BK540" i="3"/>
  <c r="BM540" i="3"/>
  <c r="BN540" i="3"/>
  <c r="BO540" i="3"/>
  <c r="BP540" i="3"/>
  <c r="BQ540" i="3"/>
  <c r="BL540" i="3" s="1"/>
  <c r="BR540" i="3"/>
  <c r="BS540" i="3"/>
  <c r="BT540" i="3"/>
  <c r="BB541" i="3"/>
  <c r="BA541" i="3" s="1"/>
  <c r="AZ541" i="3" s="1"/>
  <c r="BC541" i="3"/>
  <c r="BD541" i="3"/>
  <c r="BE541" i="3"/>
  <c r="BF541" i="3"/>
  <c r="BG541" i="3"/>
  <c r="BH541" i="3"/>
  <c r="BI541" i="3"/>
  <c r="BJ541" i="3"/>
  <c r="BK541" i="3"/>
  <c r="BM541" i="3"/>
  <c r="BN541" i="3"/>
  <c r="BO541" i="3"/>
  <c r="BP541" i="3"/>
  <c r="BQ541" i="3"/>
  <c r="BR541" i="3"/>
  <c r="BS541" i="3"/>
  <c r="BT541" i="3"/>
  <c r="BL541" i="3"/>
  <c r="BB542" i="3"/>
  <c r="BC542" i="3"/>
  <c r="BA542" i="3" s="1"/>
  <c r="AZ542" i="3" s="1"/>
  <c r="BD542" i="3"/>
  <c r="BE542" i="3"/>
  <c r="BF542" i="3"/>
  <c r="BG542" i="3"/>
  <c r="BH542" i="3"/>
  <c r="BI542" i="3"/>
  <c r="BJ542" i="3"/>
  <c r="BK542" i="3"/>
  <c r="BM542" i="3"/>
  <c r="BN542" i="3"/>
  <c r="BO542" i="3"/>
  <c r="BP542" i="3"/>
  <c r="BQ542" i="3"/>
  <c r="BL542" i="3" s="1"/>
  <c r="BR542" i="3"/>
  <c r="BS542" i="3"/>
  <c r="BT542" i="3"/>
  <c r="BB543" i="3"/>
  <c r="BA543" i="3" s="1"/>
  <c r="AZ543" i="3" s="1"/>
  <c r="BC543" i="3"/>
  <c r="BD543" i="3"/>
  <c r="BE543" i="3"/>
  <c r="BF543" i="3"/>
  <c r="BG543" i="3"/>
  <c r="BH543" i="3"/>
  <c r="BI543" i="3"/>
  <c r="BJ543" i="3"/>
  <c r="BK543" i="3"/>
  <c r="BM543" i="3"/>
  <c r="BN543" i="3"/>
  <c r="BO543" i="3"/>
  <c r="BP543" i="3"/>
  <c r="BQ543" i="3"/>
  <c r="BR543" i="3"/>
  <c r="BS543" i="3"/>
  <c r="BT543" i="3"/>
  <c r="BL543" i="3"/>
  <c r="BB544" i="3"/>
  <c r="BC544" i="3"/>
  <c r="BA544" i="3" s="1"/>
  <c r="BD544" i="3"/>
  <c r="BE544" i="3"/>
  <c r="BF544" i="3"/>
  <c r="BG544" i="3"/>
  <c r="BH544" i="3"/>
  <c r="BI544" i="3"/>
  <c r="BJ544" i="3"/>
  <c r="BK544" i="3"/>
  <c r="BM544" i="3"/>
  <c r="BN544" i="3"/>
  <c r="BO544" i="3"/>
  <c r="BP544" i="3"/>
  <c r="BQ544" i="3"/>
  <c r="BL544" i="3" s="1"/>
  <c r="BR544" i="3"/>
  <c r="BS544" i="3"/>
  <c r="BT544" i="3"/>
  <c r="BB545" i="3"/>
  <c r="BA545" i="3" s="1"/>
  <c r="AZ545" i="3" s="1"/>
  <c r="BC545" i="3"/>
  <c r="BD545" i="3"/>
  <c r="BE545" i="3"/>
  <c r="BF545" i="3"/>
  <c r="BG545" i="3"/>
  <c r="BH545" i="3"/>
  <c r="BI545" i="3"/>
  <c r="BJ545" i="3"/>
  <c r="BK545" i="3"/>
  <c r="BM545" i="3"/>
  <c r="BN545" i="3"/>
  <c r="BO545" i="3"/>
  <c r="BP545" i="3"/>
  <c r="BQ545" i="3"/>
  <c r="BR545" i="3"/>
  <c r="BS545" i="3"/>
  <c r="BT545" i="3"/>
  <c r="BL545" i="3"/>
  <c r="BB546" i="3"/>
  <c r="BC546" i="3"/>
  <c r="BA546" i="3" s="1"/>
  <c r="AZ546" i="3" s="1"/>
  <c r="BD546" i="3"/>
  <c r="BE546" i="3"/>
  <c r="BF546" i="3"/>
  <c r="BG546" i="3"/>
  <c r="BH546" i="3"/>
  <c r="BI546" i="3"/>
  <c r="BJ546" i="3"/>
  <c r="BK546" i="3"/>
  <c r="BM546" i="3"/>
  <c r="BN546" i="3"/>
  <c r="BO546" i="3"/>
  <c r="BP546" i="3"/>
  <c r="BQ546" i="3"/>
  <c r="BL546" i="3" s="1"/>
  <c r="BR546" i="3"/>
  <c r="BS546" i="3"/>
  <c r="BT546" i="3"/>
  <c r="BB547" i="3"/>
  <c r="BA547" i="3" s="1"/>
  <c r="AZ547" i="3" s="1"/>
  <c r="BC547" i="3"/>
  <c r="BD547" i="3"/>
  <c r="BE547" i="3"/>
  <c r="BF547" i="3"/>
  <c r="BG547" i="3"/>
  <c r="BH547" i="3"/>
  <c r="BI547" i="3"/>
  <c r="BJ547" i="3"/>
  <c r="BK547" i="3"/>
  <c r="BM547" i="3"/>
  <c r="BN547" i="3"/>
  <c r="BO547" i="3"/>
  <c r="BP547" i="3"/>
  <c r="BQ547" i="3"/>
  <c r="BR547" i="3"/>
  <c r="BS547" i="3"/>
  <c r="BT547" i="3"/>
  <c r="BL547" i="3"/>
  <c r="BB548" i="3"/>
  <c r="BC548" i="3"/>
  <c r="BA548" i="3" s="1"/>
  <c r="BD548" i="3"/>
  <c r="BE548" i="3"/>
  <c r="BF548" i="3"/>
  <c r="BG548" i="3"/>
  <c r="BH548" i="3"/>
  <c r="BI548" i="3"/>
  <c r="BJ548" i="3"/>
  <c r="BK548" i="3"/>
  <c r="BM548" i="3"/>
  <c r="BN548" i="3"/>
  <c r="BO548" i="3"/>
  <c r="BP548" i="3"/>
  <c r="BQ548" i="3"/>
  <c r="BL548" i="3" s="1"/>
  <c r="BR548" i="3"/>
  <c r="BS548" i="3"/>
  <c r="BT548" i="3"/>
  <c r="BB549" i="3"/>
  <c r="BA549" i="3" s="1"/>
  <c r="AZ549" i="3" s="1"/>
  <c r="BC549" i="3"/>
  <c r="BD549" i="3"/>
  <c r="BE549" i="3"/>
  <c r="BF549" i="3"/>
  <c r="BG549" i="3"/>
  <c r="BH549" i="3"/>
  <c r="BI549" i="3"/>
  <c r="BJ549" i="3"/>
  <c r="BK549" i="3"/>
  <c r="BM549" i="3"/>
  <c r="BN549" i="3"/>
  <c r="BO549" i="3"/>
  <c r="BP549" i="3"/>
  <c r="BQ549" i="3"/>
  <c r="BR549" i="3"/>
  <c r="BS549" i="3"/>
  <c r="BT549" i="3"/>
  <c r="BL549" i="3"/>
  <c r="BB550" i="3"/>
  <c r="BC550" i="3"/>
  <c r="BA550" i="3" s="1"/>
  <c r="BD550" i="3"/>
  <c r="BE550" i="3"/>
  <c r="BF550" i="3"/>
  <c r="BG550" i="3"/>
  <c r="BH550" i="3"/>
  <c r="BI550" i="3"/>
  <c r="BJ550" i="3"/>
  <c r="BK550" i="3"/>
  <c r="BM550" i="3"/>
  <c r="BL550" i="3" s="1"/>
  <c r="BN550" i="3"/>
  <c r="BO550" i="3"/>
  <c r="BP550" i="3"/>
  <c r="BQ550" i="3"/>
  <c r="BR550" i="3"/>
  <c r="BS550" i="3"/>
  <c r="BT550" i="3"/>
  <c r="BB551" i="3"/>
  <c r="BC551" i="3"/>
  <c r="BD551" i="3"/>
  <c r="BE551" i="3"/>
  <c r="BA551" i="3" s="1"/>
  <c r="BF551" i="3"/>
  <c r="BG551" i="3"/>
  <c r="BH551" i="3"/>
  <c r="BI551" i="3"/>
  <c r="BJ551" i="3"/>
  <c r="BK551" i="3"/>
  <c r="BM551" i="3"/>
  <c r="BN551" i="3"/>
  <c r="BL551" i="3" s="1"/>
  <c r="BO551" i="3"/>
  <c r="BP551" i="3"/>
  <c r="BQ551" i="3"/>
  <c r="BR551" i="3"/>
  <c r="BS551" i="3"/>
  <c r="BT551" i="3"/>
  <c r="BB552" i="3"/>
  <c r="BC552" i="3"/>
  <c r="BD552" i="3"/>
  <c r="BE552" i="3"/>
  <c r="BA552" i="3" s="1"/>
  <c r="BF552" i="3"/>
  <c r="BG552" i="3"/>
  <c r="BH552" i="3"/>
  <c r="BI552" i="3"/>
  <c r="BJ552" i="3"/>
  <c r="BK552" i="3"/>
  <c r="BM552" i="3"/>
  <c r="BN552" i="3"/>
  <c r="BO552" i="3"/>
  <c r="BP552" i="3"/>
  <c r="BQ552" i="3"/>
  <c r="BL552" i="3" s="1"/>
  <c r="BR552" i="3"/>
  <c r="BS552" i="3"/>
  <c r="BT552" i="3"/>
  <c r="BB553" i="3"/>
  <c r="BA553" i="3" s="1"/>
  <c r="AZ553" i="3" s="1"/>
  <c r="BC553" i="3"/>
  <c r="BD553" i="3"/>
  <c r="BE553" i="3"/>
  <c r="BF553" i="3"/>
  <c r="BG553" i="3"/>
  <c r="BH553" i="3"/>
  <c r="BI553" i="3"/>
  <c r="BJ553" i="3"/>
  <c r="BK553" i="3"/>
  <c r="BM553" i="3"/>
  <c r="BN553" i="3"/>
  <c r="BO553" i="3"/>
  <c r="BP553" i="3"/>
  <c r="BQ553" i="3"/>
  <c r="BR553" i="3"/>
  <c r="BS553" i="3"/>
  <c r="BT553" i="3"/>
  <c r="BL553" i="3"/>
  <c r="BB554" i="3"/>
  <c r="BC554" i="3"/>
  <c r="BA554" i="3" s="1"/>
  <c r="BD554" i="3"/>
  <c r="BE554" i="3"/>
  <c r="BF554" i="3"/>
  <c r="BG554" i="3"/>
  <c r="BH554" i="3"/>
  <c r="BI554" i="3"/>
  <c r="BJ554" i="3"/>
  <c r="BK554" i="3"/>
  <c r="BM554" i="3"/>
  <c r="BN554" i="3"/>
  <c r="BO554" i="3"/>
  <c r="BP554" i="3"/>
  <c r="BQ554" i="3"/>
  <c r="BL554" i="3" s="1"/>
  <c r="BR554" i="3"/>
  <c r="BS554" i="3"/>
  <c r="BT554" i="3"/>
  <c r="BB555" i="3"/>
  <c r="BA555" i="3" s="1"/>
  <c r="AZ555" i="3" s="1"/>
  <c r="BC555" i="3"/>
  <c r="BD555" i="3"/>
  <c r="BE555" i="3"/>
  <c r="BF555" i="3"/>
  <c r="BG555" i="3"/>
  <c r="BH555" i="3"/>
  <c r="BI555" i="3"/>
  <c r="BJ555" i="3"/>
  <c r="BK555" i="3"/>
  <c r="BM555" i="3"/>
  <c r="BN555" i="3"/>
  <c r="BO555" i="3"/>
  <c r="BP555" i="3"/>
  <c r="BQ555" i="3"/>
  <c r="BR555" i="3"/>
  <c r="BS555" i="3"/>
  <c r="BT555" i="3"/>
  <c r="BL555" i="3"/>
  <c r="BB556" i="3"/>
  <c r="BC556" i="3"/>
  <c r="BA556" i="3" s="1"/>
  <c r="BD556" i="3"/>
  <c r="BE556" i="3"/>
  <c r="BF556" i="3"/>
  <c r="BG556" i="3"/>
  <c r="BH556" i="3"/>
  <c r="BI556" i="3"/>
  <c r="BJ556" i="3"/>
  <c r="BK556" i="3"/>
  <c r="BM556" i="3"/>
  <c r="BL556" i="3" s="1"/>
  <c r="BN556" i="3"/>
  <c r="BO556" i="3"/>
  <c r="BP556" i="3"/>
  <c r="BQ556" i="3"/>
  <c r="BR556" i="3"/>
  <c r="BS556" i="3"/>
  <c r="BT556" i="3"/>
  <c r="BB557" i="3"/>
  <c r="BC557" i="3"/>
  <c r="BD557" i="3"/>
  <c r="BE557" i="3"/>
  <c r="BA557" i="3" s="1"/>
  <c r="BF557" i="3"/>
  <c r="BG557" i="3"/>
  <c r="BH557" i="3"/>
  <c r="BI557" i="3"/>
  <c r="BJ557" i="3"/>
  <c r="BK557" i="3"/>
  <c r="BM557" i="3"/>
  <c r="BN557" i="3"/>
  <c r="BL557" i="3" s="1"/>
  <c r="BO557" i="3"/>
  <c r="BP557" i="3"/>
  <c r="BQ557" i="3"/>
  <c r="BR557" i="3"/>
  <c r="BS557" i="3"/>
  <c r="BT557" i="3"/>
  <c r="BB558" i="3"/>
  <c r="BC558" i="3"/>
  <c r="BD558" i="3"/>
  <c r="BA558" i="3" s="1"/>
  <c r="BE558" i="3"/>
  <c r="BF558" i="3"/>
  <c r="BG558" i="3"/>
  <c r="BH558" i="3"/>
  <c r="BI558" i="3"/>
  <c r="BJ558" i="3"/>
  <c r="BK558" i="3"/>
  <c r="BM558" i="3"/>
  <c r="BL558" i="3" s="1"/>
  <c r="BN558" i="3"/>
  <c r="BO558" i="3"/>
  <c r="BP558" i="3"/>
  <c r="BQ558" i="3"/>
  <c r="BR558" i="3"/>
  <c r="BS558" i="3"/>
  <c r="BT558" i="3"/>
  <c r="BB559" i="3"/>
  <c r="BC559" i="3"/>
  <c r="BD559" i="3"/>
  <c r="BE559" i="3"/>
  <c r="BA559" i="3" s="1"/>
  <c r="BF559" i="3"/>
  <c r="BG559" i="3"/>
  <c r="BH559" i="3"/>
  <c r="BI559" i="3"/>
  <c r="BJ559" i="3"/>
  <c r="BK559" i="3"/>
  <c r="BM559" i="3"/>
  <c r="BN559" i="3"/>
  <c r="BL559" i="3" s="1"/>
  <c r="BO559" i="3"/>
  <c r="BP559" i="3"/>
  <c r="BQ559" i="3"/>
  <c r="BR559" i="3"/>
  <c r="BS559" i="3"/>
  <c r="BT559" i="3"/>
  <c r="BB560" i="3"/>
  <c r="BC560" i="3"/>
  <c r="BD560" i="3"/>
  <c r="BA560" i="3" s="1"/>
  <c r="BE560" i="3"/>
  <c r="BF560" i="3"/>
  <c r="BG560" i="3"/>
  <c r="BH560" i="3"/>
  <c r="BI560" i="3"/>
  <c r="BJ560" i="3"/>
  <c r="BK560" i="3"/>
  <c r="BM560" i="3"/>
  <c r="BL560" i="3" s="1"/>
  <c r="BN560" i="3"/>
  <c r="BO560" i="3"/>
  <c r="BP560" i="3"/>
  <c r="BQ560" i="3"/>
  <c r="BR560" i="3"/>
  <c r="BS560" i="3"/>
  <c r="BT560" i="3"/>
  <c r="BB561" i="3"/>
  <c r="BC561" i="3"/>
  <c r="BD561" i="3"/>
  <c r="BE561" i="3"/>
  <c r="BA561" i="3" s="1"/>
  <c r="BF561" i="3"/>
  <c r="BG561" i="3"/>
  <c r="BH561" i="3"/>
  <c r="BI561" i="3"/>
  <c r="BJ561" i="3"/>
  <c r="BK561" i="3"/>
  <c r="BM561" i="3"/>
  <c r="BN561" i="3"/>
  <c r="BL561" i="3" s="1"/>
  <c r="BO561" i="3"/>
  <c r="BP561" i="3"/>
  <c r="BQ561" i="3"/>
  <c r="BR561" i="3"/>
  <c r="BS561" i="3"/>
  <c r="BT561" i="3"/>
  <c r="BB562" i="3"/>
  <c r="BC562" i="3"/>
  <c r="BD562" i="3"/>
  <c r="BE562" i="3"/>
  <c r="BA562" i="3" s="1"/>
  <c r="BF562" i="3"/>
  <c r="BG562" i="3"/>
  <c r="BH562" i="3"/>
  <c r="BI562" i="3"/>
  <c r="BJ562" i="3"/>
  <c r="BK562" i="3"/>
  <c r="BM562" i="3"/>
  <c r="BN562" i="3"/>
  <c r="BO562" i="3"/>
  <c r="BP562" i="3"/>
  <c r="BQ562" i="3"/>
  <c r="BL562" i="3" s="1"/>
  <c r="BR562" i="3"/>
  <c r="BS562" i="3"/>
  <c r="BT562" i="3"/>
  <c r="BB563" i="3"/>
  <c r="BA563" i="3" s="1"/>
  <c r="AZ563" i="3" s="1"/>
  <c r="BC563" i="3"/>
  <c r="BD563" i="3"/>
  <c r="BE563" i="3"/>
  <c r="BF563" i="3"/>
  <c r="BG563" i="3"/>
  <c r="BH563" i="3"/>
  <c r="BI563" i="3"/>
  <c r="BJ563" i="3"/>
  <c r="BK563" i="3"/>
  <c r="BM563" i="3"/>
  <c r="BN563" i="3"/>
  <c r="BO563" i="3"/>
  <c r="BP563" i="3"/>
  <c r="BQ563" i="3"/>
  <c r="BR563" i="3"/>
  <c r="BS563" i="3"/>
  <c r="BT563" i="3"/>
  <c r="BL563" i="3"/>
  <c r="BB564" i="3"/>
  <c r="BC564" i="3"/>
  <c r="BA564" i="3" s="1"/>
  <c r="BD564" i="3"/>
  <c r="BE564" i="3"/>
  <c r="BF564" i="3"/>
  <c r="BG564" i="3"/>
  <c r="BH564" i="3"/>
  <c r="BI564" i="3"/>
  <c r="BJ564" i="3"/>
  <c r="BK564" i="3"/>
  <c r="BM564" i="3"/>
  <c r="BL564" i="3" s="1"/>
  <c r="BN564" i="3"/>
  <c r="BO564" i="3"/>
  <c r="BP564" i="3"/>
  <c r="BQ564" i="3"/>
  <c r="BR564" i="3"/>
  <c r="BS564" i="3"/>
  <c r="BT564" i="3"/>
  <c r="BB565" i="3"/>
  <c r="BC565" i="3"/>
  <c r="BD565" i="3"/>
  <c r="BE565" i="3"/>
  <c r="BA565" i="3" s="1"/>
  <c r="BF565" i="3"/>
  <c r="BG565" i="3"/>
  <c r="BH565" i="3"/>
  <c r="BI565" i="3"/>
  <c r="BJ565" i="3"/>
  <c r="BK565" i="3"/>
  <c r="BM565" i="3"/>
  <c r="BN565" i="3"/>
  <c r="BL565" i="3" s="1"/>
  <c r="BO565" i="3"/>
  <c r="BP565" i="3"/>
  <c r="BQ565" i="3"/>
  <c r="BR565" i="3"/>
  <c r="BS565" i="3"/>
  <c r="BT565" i="3"/>
  <c r="BB566" i="3"/>
  <c r="BC566" i="3"/>
  <c r="BD566" i="3"/>
  <c r="BA566" i="3" s="1"/>
  <c r="BE566" i="3"/>
  <c r="BF566" i="3"/>
  <c r="BG566" i="3"/>
  <c r="BH566" i="3"/>
  <c r="BI566" i="3"/>
  <c r="BJ566" i="3"/>
  <c r="BK566" i="3"/>
  <c r="BM566" i="3"/>
  <c r="BL566" i="3" s="1"/>
  <c r="BN566" i="3"/>
  <c r="BO566" i="3"/>
  <c r="BP566" i="3"/>
  <c r="BQ566" i="3"/>
  <c r="BR566" i="3"/>
  <c r="BS566" i="3"/>
  <c r="BT566" i="3"/>
  <c r="BB567" i="3"/>
  <c r="BC567" i="3"/>
  <c r="BD567" i="3"/>
  <c r="BE567" i="3"/>
  <c r="BA567" i="3" s="1"/>
  <c r="BF567" i="3"/>
  <c r="BG567" i="3"/>
  <c r="BH567" i="3"/>
  <c r="BI567" i="3"/>
  <c r="BJ567" i="3"/>
  <c r="BK567" i="3"/>
  <c r="BM567" i="3"/>
  <c r="BN567" i="3"/>
  <c r="BL567" i="3" s="1"/>
  <c r="BO567" i="3"/>
  <c r="BP567" i="3"/>
  <c r="BQ567" i="3"/>
  <c r="BR567" i="3"/>
  <c r="BS567" i="3"/>
  <c r="BT567" i="3"/>
  <c r="BB568" i="3"/>
  <c r="BC568" i="3"/>
  <c r="BD568" i="3"/>
  <c r="BE568" i="3"/>
  <c r="BA568" i="3" s="1"/>
  <c r="BF568" i="3"/>
  <c r="BG568" i="3"/>
  <c r="BH568" i="3"/>
  <c r="BI568" i="3"/>
  <c r="BJ568" i="3"/>
  <c r="BK568" i="3"/>
  <c r="BM568" i="3"/>
  <c r="BN568" i="3"/>
  <c r="BO568" i="3"/>
  <c r="BP568" i="3"/>
  <c r="BQ568" i="3"/>
  <c r="BL568" i="3" s="1"/>
  <c r="BR568" i="3"/>
  <c r="BS568" i="3"/>
  <c r="BT568" i="3"/>
  <c r="BB569" i="3"/>
  <c r="BA569" i="3" s="1"/>
  <c r="AZ569" i="3" s="1"/>
  <c r="BC569" i="3"/>
  <c r="BD569" i="3"/>
  <c r="BE569" i="3"/>
  <c r="BF569" i="3"/>
  <c r="BG569" i="3"/>
  <c r="BH569" i="3"/>
  <c r="BI569" i="3"/>
  <c r="BJ569" i="3"/>
  <c r="BK569" i="3"/>
  <c r="BM569" i="3"/>
  <c r="BN569" i="3"/>
  <c r="BO569" i="3"/>
  <c r="BP569" i="3"/>
  <c r="BQ569" i="3"/>
  <c r="BR569" i="3"/>
  <c r="BS569" i="3"/>
  <c r="BT569" i="3"/>
  <c r="BL569" i="3"/>
  <c r="BB570" i="3"/>
  <c r="BC570" i="3"/>
  <c r="BA570" i="3" s="1"/>
  <c r="AZ570" i="3" s="1"/>
  <c r="BD570" i="3"/>
  <c r="BE570" i="3"/>
  <c r="BF570" i="3"/>
  <c r="BG570" i="3"/>
  <c r="BH570" i="3"/>
  <c r="BI570" i="3"/>
  <c r="BJ570" i="3"/>
  <c r="BK570" i="3"/>
  <c r="BM570" i="3"/>
  <c r="BN570" i="3"/>
  <c r="BO570" i="3"/>
  <c r="BP570" i="3"/>
  <c r="BQ570" i="3"/>
  <c r="BL570" i="3" s="1"/>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L571" i="3"/>
  <c r="BB572" i="3"/>
  <c r="BC572" i="3"/>
  <c r="BA572" i="3" s="1"/>
  <c r="BD572" i="3"/>
  <c r="BE572" i="3"/>
  <c r="BF572" i="3"/>
  <c r="BG572" i="3"/>
  <c r="BH572" i="3"/>
  <c r="BI572" i="3"/>
  <c r="BJ572" i="3"/>
  <c r="BK572" i="3"/>
  <c r="BM572" i="3"/>
  <c r="BL572" i="3" s="1"/>
  <c r="BN572" i="3"/>
  <c r="BO572" i="3"/>
  <c r="BP572" i="3"/>
  <c r="BQ572" i="3"/>
  <c r="BR572" i="3"/>
  <c r="BS572" i="3"/>
  <c r="BT572" i="3"/>
  <c r="R47" i="21"/>
  <c r="F8" i="21"/>
  <c r="AA8" i="21" s="1"/>
  <c r="C63" i="21"/>
  <c r="F9" i="21" s="1"/>
  <c r="AA9" i="21" s="1"/>
  <c r="D66" i="21"/>
  <c r="E66" i="21"/>
  <c r="B70" i="21"/>
  <c r="F12" i="21"/>
  <c r="AA12" i="21" s="1"/>
  <c r="B72" i="21"/>
  <c r="F13" i="21" s="1"/>
  <c r="AA13" i="21" s="1"/>
  <c r="B74" i="21"/>
  <c r="F14" i="21"/>
  <c r="AA14" i="21" s="1"/>
  <c r="D77" i="21"/>
  <c r="D79" i="21"/>
  <c r="D81" i="21"/>
  <c r="D85" i="21"/>
  <c r="E85" i="2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D117" i="21"/>
  <c r="F39" i="21" s="1"/>
  <c r="AA39" i="21" s="1"/>
  <c r="F40" i="21"/>
  <c r="AA40" i="21" s="1"/>
  <c r="F41" i="21"/>
  <c r="AA41" i="21" s="1"/>
  <c r="F43" i="21"/>
  <c r="AA43" i="21" s="1"/>
  <c r="B126" i="21"/>
  <c r="F44" i="21" s="1"/>
  <c r="AA44" i="21" s="1"/>
  <c r="B128" i="21"/>
  <c r="F45" i="21"/>
  <c r="AA45" i="21" s="1"/>
  <c r="B130" i="21"/>
  <c r="F46" i="21" s="1"/>
  <c r="AA46" i="21" s="1"/>
  <c r="T47" i="21"/>
  <c r="H8" i="21"/>
  <c r="AB8" i="21" s="1"/>
  <c r="H9" i="21"/>
  <c r="AB9" i="21" s="1"/>
  <c r="H10" i="21"/>
  <c r="AB10" i="21" s="1"/>
  <c r="H12" i="21"/>
  <c r="AB12" i="21" s="1"/>
  <c r="H13" i="21"/>
  <c r="AB13" i="21" s="1"/>
  <c r="H14" i="21"/>
  <c r="AB14" i="21" s="1"/>
  <c r="H25" i="21"/>
  <c r="AB25" i="21" s="1"/>
  <c r="H26" i="21"/>
  <c r="AB26" i="21" s="1"/>
  <c r="H27" i="21"/>
  <c r="AB27" i="21" s="1"/>
  <c r="H28" i="21"/>
  <c r="AB28" i="21" s="1"/>
  <c r="H29" i="21"/>
  <c r="AB29" i="21" s="1"/>
  <c r="H30" i="21"/>
  <c r="AB30" i="21" s="1"/>
  <c r="H31" i="21"/>
  <c r="AB31" i="21" s="1"/>
  <c r="H32" i="21"/>
  <c r="AB32" i="21" s="1"/>
  <c r="H34" i="21"/>
  <c r="AB34" i="21" s="1"/>
  <c r="H36" i="21"/>
  <c r="AB36" i="21" s="1"/>
  <c r="H39" i="21"/>
  <c r="AB39" i="21" s="1"/>
  <c r="H40" i="21"/>
  <c r="AB40" i="21" s="1"/>
  <c r="H41" i="21"/>
  <c r="AB41" i="21" s="1"/>
  <c r="H43" i="21"/>
  <c r="AB43" i="21" s="1"/>
  <c r="H45" i="21"/>
  <c r="AB45" i="21" s="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9" i="21"/>
  <c r="AC39" i="21"/>
  <c r="J40" i="21"/>
  <c r="AC40" i="21"/>
  <c r="J41" i="21"/>
  <c r="AC41" i="21"/>
  <c r="J43" i="21"/>
  <c r="AC43" i="21"/>
  <c r="J44" i="21"/>
  <c r="AC44" i="21"/>
  <c r="J45" i="21"/>
  <c r="AC45" i="21" s="1"/>
  <c r="J46" i="21"/>
  <c r="AC46" i="21" s="1"/>
  <c r="G69" i="21"/>
  <c r="H9" i="12"/>
  <c r="E22" i="6"/>
  <c r="E23" i="6"/>
  <c r="E24" i="6"/>
  <c r="E25" i="6"/>
  <c r="E26" i="6"/>
  <c r="BB10" i="3"/>
  <c r="BC10" i="3"/>
  <c r="BD10" i="3"/>
  <c r="BF10" i="3"/>
  <c r="BG10" i="3"/>
  <c r="BH10" i="3"/>
  <c r="BI10" i="3"/>
  <c r="BJ10" i="3"/>
  <c r="BK10" i="3"/>
  <c r="A6" i="1"/>
  <c r="B6" i="1"/>
  <c r="E6" i="1" s="1"/>
  <c r="A7" i="1"/>
  <c r="B7" i="1" s="1"/>
  <c r="E7" i="1" s="1"/>
  <c r="A8" i="1"/>
  <c r="B43" i="1"/>
  <c r="B41" i="1" s="1"/>
  <c r="F33" i="72"/>
  <c r="F60" i="72" s="1"/>
  <c r="L21" i="6"/>
  <c r="B52" i="1"/>
  <c r="F34" i="72" s="1"/>
  <c r="F61" i="72" s="1"/>
  <c r="T4" i="1"/>
  <c r="A9" i="1"/>
  <c r="B9" i="1"/>
  <c r="E9" i="1" s="1"/>
  <c r="A10" i="1"/>
  <c r="A11" i="1"/>
  <c r="A12" i="1"/>
  <c r="A13" i="1"/>
  <c r="F15" i="72"/>
  <c r="F17" i="72"/>
  <c r="F18" i="72"/>
  <c r="F20" i="72"/>
  <c r="B22" i="1"/>
  <c r="C2" i="65" s="1"/>
  <c r="F23" i="72"/>
  <c r="D23" i="72"/>
  <c r="F21" i="72"/>
  <c r="M47" i="72"/>
  <c r="J50" i="72"/>
  <c r="M47" i="15"/>
  <c r="L46" i="15" s="1"/>
  <c r="J50" i="15"/>
  <c r="D8" i="1"/>
  <c r="K59" i="72"/>
  <c r="P75" i="72"/>
  <c r="Q73" i="72"/>
  <c r="D60" i="72"/>
  <c r="P62" i="72"/>
  <c r="Q60" i="72"/>
  <c r="Q59" i="72"/>
  <c r="F58" i="72"/>
  <c r="Q52" i="72"/>
  <c r="L46" i="72"/>
  <c r="F31" i="72"/>
  <c r="AG8" i="1"/>
  <c r="D24" i="72"/>
  <c r="M19" i="72"/>
  <c r="M17" i="72"/>
  <c r="F33" i="15"/>
  <c r="F60" i="15" s="1"/>
  <c r="F15" i="15"/>
  <c r="F17" i="15"/>
  <c r="F18" i="15"/>
  <c r="F20" i="15"/>
  <c r="F23" i="15"/>
  <c r="F21" i="15"/>
  <c r="L3" i="59"/>
  <c r="K3" i="59"/>
  <c r="J3" i="59"/>
  <c r="I3" i="59"/>
  <c r="AH5" i="59"/>
  <c r="AG5" i="59"/>
  <c r="AE5" i="59"/>
  <c r="AF5" i="59" s="1"/>
  <c r="AD5" i="59"/>
  <c r="Q5" i="59"/>
  <c r="Q6" i="59"/>
  <c r="AB5" i="59" s="1"/>
  <c r="Q7" i="59"/>
  <c r="Q8" i="59"/>
  <c r="F8" i="59" s="1"/>
  <c r="Q9" i="59"/>
  <c r="Q10" i="59"/>
  <c r="Q11" i="59"/>
  <c r="Q12" i="59"/>
  <c r="Q13" i="59"/>
  <c r="Q14" i="59"/>
  <c r="Q15" i="59"/>
  <c r="Q16" i="59"/>
  <c r="Q17" i="59"/>
  <c r="Q18" i="59"/>
  <c r="Q19" i="59"/>
  <c r="Q20" i="59"/>
  <c r="Q21" i="59"/>
  <c r="Q22" i="59"/>
  <c r="Q23" i="59"/>
  <c r="P5" i="59"/>
  <c r="AA5" i="59" s="1"/>
  <c r="P6" i="59"/>
  <c r="P7" i="59"/>
  <c r="P8" i="59"/>
  <c r="AA6" i="59" s="1"/>
  <c r="P9" i="59"/>
  <c r="P10" i="59"/>
  <c r="P11" i="59"/>
  <c r="P12" i="59"/>
  <c r="E12" i="59" s="1"/>
  <c r="P13" i="59"/>
  <c r="P14" i="59"/>
  <c r="P15" i="59"/>
  <c r="P16" i="59"/>
  <c r="P17" i="59"/>
  <c r="E18" i="59" s="1"/>
  <c r="E19" i="59" s="1"/>
  <c r="E20" i="59" s="1"/>
  <c r="U20" i="59" s="1"/>
  <c r="P18" i="59"/>
  <c r="P19" i="59"/>
  <c r="P20" i="59"/>
  <c r="P21" i="59"/>
  <c r="P22" i="59"/>
  <c r="P23" i="59"/>
  <c r="O5" i="59"/>
  <c r="O6" i="59"/>
  <c r="O7" i="59"/>
  <c r="Y5" i="59" s="1"/>
  <c r="Z5" i="59" s="1"/>
  <c r="O8" i="59"/>
  <c r="C8" i="59"/>
  <c r="O9" i="59"/>
  <c r="O10" i="59"/>
  <c r="O11" i="59"/>
  <c r="O12" i="59"/>
  <c r="C12" i="59" s="1"/>
  <c r="O13" i="59"/>
  <c r="O14" i="59"/>
  <c r="O15" i="59"/>
  <c r="O16" i="59"/>
  <c r="O17" i="59"/>
  <c r="C18" i="59" s="1"/>
  <c r="O18" i="59"/>
  <c r="O19" i="59"/>
  <c r="O20" i="59"/>
  <c r="O21" i="59"/>
  <c r="O22" i="59"/>
  <c r="O23" i="59"/>
  <c r="N5" i="59"/>
  <c r="X5" i="59" s="1"/>
  <c r="N6" i="59"/>
  <c r="N7" i="59"/>
  <c r="N8" i="59"/>
  <c r="N9" i="59"/>
  <c r="N10" i="59"/>
  <c r="N11" i="59"/>
  <c r="N12" i="59"/>
  <c r="B12" i="59" s="1"/>
  <c r="N13" i="59"/>
  <c r="N14" i="59"/>
  <c r="N15" i="59"/>
  <c r="N16" i="59"/>
  <c r="N17" i="59"/>
  <c r="B18" i="59"/>
  <c r="B19" i="59" s="1"/>
  <c r="B20" i="59" s="1"/>
  <c r="S20" i="59" s="1"/>
  <c r="N18" i="59"/>
  <c r="N19" i="59"/>
  <c r="N20" i="59"/>
  <c r="N21" i="59"/>
  <c r="N22" i="59"/>
  <c r="N23" i="59"/>
  <c r="E8" i="59"/>
  <c r="E7" i="59" s="1"/>
  <c r="E6" i="59" s="1"/>
  <c r="E5" i="59" s="1"/>
  <c r="B8" i="59"/>
  <c r="B7" i="59" s="1"/>
  <c r="B6" i="59" s="1"/>
  <c r="B5" i="59" s="1"/>
  <c r="AH6" i="59"/>
  <c r="AG6" i="59"/>
  <c r="AE6" i="59"/>
  <c r="AF6" i="59" s="1"/>
  <c r="AD6" i="59"/>
  <c r="D9" i="59"/>
  <c r="F12" i="59"/>
  <c r="F11" i="59" s="1"/>
  <c r="F10" i="59" s="1"/>
  <c r="D13" i="59"/>
  <c r="B14" i="59"/>
  <c r="B15" i="59" s="1"/>
  <c r="B16" i="59" s="1"/>
  <c r="S16" i="59" s="1"/>
  <c r="C14" i="59"/>
  <c r="D14" i="59" s="1"/>
  <c r="E14" i="59"/>
  <c r="E15" i="59" s="1"/>
  <c r="E16" i="59" s="1"/>
  <c r="U16" i="59" s="1"/>
  <c r="F14" i="59"/>
  <c r="F15" i="59" s="1"/>
  <c r="F16" i="59" s="1"/>
  <c r="V16" i="59" s="1"/>
  <c r="D17" i="59"/>
  <c r="F18" i="59"/>
  <c r="F19" i="59" s="1"/>
  <c r="F20" i="59" s="1"/>
  <c r="V20" i="59" s="1"/>
  <c r="D21" i="59"/>
  <c r="B22" i="59"/>
  <c r="B23" i="59" s="1"/>
  <c r="B24" i="59" s="1"/>
  <c r="S24" i="59" s="1"/>
  <c r="C22" i="59"/>
  <c r="D22" i="59" s="1"/>
  <c r="E22" i="59"/>
  <c r="E23" i="59" s="1"/>
  <c r="E24" i="59" s="1"/>
  <c r="U24" i="59" s="1"/>
  <c r="F22" i="59"/>
  <c r="F23" i="59" s="1"/>
  <c r="F24" i="59" s="1"/>
  <c r="V24" i="59" s="1"/>
  <c r="M19" i="46"/>
  <c r="G2" i="46"/>
  <c r="C6" i="46"/>
  <c r="G17" i="46"/>
  <c r="I17" i="46"/>
  <c r="C17" i="46"/>
  <c r="G20" i="46"/>
  <c r="J20" i="46"/>
  <c r="I20" i="46"/>
  <c r="C24" i="46"/>
  <c r="F39" i="46"/>
  <c r="F37" i="46"/>
  <c r="D5" i="46"/>
  <c r="F36" i="46"/>
  <c r="F34" i="46"/>
  <c r="D19" i="4"/>
  <c r="F6" i="1" s="1"/>
  <c r="M48" i="44"/>
  <c r="J51" i="44"/>
  <c r="J52" i="44"/>
  <c r="C18" i="46"/>
  <c r="AD5" i="3"/>
  <c r="AH5" i="3"/>
  <c r="AL5" i="3"/>
  <c r="AP5" i="3"/>
  <c r="I5" i="3"/>
  <c r="K5" i="3"/>
  <c r="F33" i="46"/>
  <c r="C10" i="46"/>
  <c r="C11" i="46" s="1"/>
  <c r="E15" i="46"/>
  <c r="E17"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E80" i="46" s="1"/>
  <c r="D86" i="46"/>
  <c r="D87" i="46"/>
  <c r="E99" i="46"/>
  <c r="E100" i="46"/>
  <c r="F15" i="46"/>
  <c r="F47" i="46"/>
  <c r="F58" i="46"/>
  <c r="F69" i="46"/>
  <c r="F80" i="46"/>
  <c r="F99" i="46"/>
  <c r="F100" i="46" s="1"/>
  <c r="F113" i="46"/>
  <c r="H33" i="46"/>
  <c r="D1" i="46"/>
  <c r="C9" i="46"/>
  <c r="C15" i="46"/>
  <c r="D15" i="46"/>
  <c r="C12" i="46"/>
  <c r="C99" i="46"/>
  <c r="C100" i="46"/>
  <c r="C108" i="46"/>
  <c r="D99" i="46"/>
  <c r="D100" i="46" s="1"/>
  <c r="D108" i="46"/>
  <c r="H113" i="46"/>
  <c r="AH7" i="59"/>
  <c r="AG7" i="59"/>
  <c r="AE7" i="59"/>
  <c r="AF7" i="59" s="1"/>
  <c r="AD7" i="59"/>
  <c r="AE8" i="59"/>
  <c r="AF8" i="59"/>
  <c r="AG8" i="59"/>
  <c r="AH8" i="59"/>
  <c r="AD8" i="59"/>
  <c r="AB7" i="59"/>
  <c r="AA7" i="59"/>
  <c r="Y7" i="59"/>
  <c r="Z7" i="59" s="1"/>
  <c r="X7" i="59"/>
  <c r="L4" i="9"/>
  <c r="M4" i="9"/>
  <c r="A30" i="64" s="1"/>
  <c r="A30" i="51"/>
  <c r="K59" i="15"/>
  <c r="P62" i="15"/>
  <c r="P75" i="15"/>
  <c r="Q74" i="44"/>
  <c r="Q61" i="44"/>
  <c r="Q60" i="44"/>
  <c r="Q53" i="44"/>
  <c r="A16" i="55"/>
  <c r="B67" i="63" s="1"/>
  <c r="A15" i="55"/>
  <c r="C43" i="9"/>
  <c r="K47" i="9"/>
  <c r="A14" i="55" s="1"/>
  <c r="B65" i="63" s="1"/>
  <c r="L26" i="4"/>
  <c r="L24" i="4"/>
  <c r="L25" i="4"/>
  <c r="A11" i="55"/>
  <c r="A10" i="55"/>
  <c r="A9" i="55"/>
  <c r="B60" i="63" s="1"/>
  <c r="A8" i="55"/>
  <c r="B59" i="63" s="1"/>
  <c r="A6" i="54"/>
  <c r="B49" i="63" s="1"/>
  <c r="A8" i="54"/>
  <c r="B53" i="63" s="1"/>
  <c r="A7" i="54"/>
  <c r="C57" i="10"/>
  <c r="A28" i="51" s="1"/>
  <c r="A27" i="51"/>
  <c r="AB8" i="59"/>
  <c r="Y8" i="59"/>
  <c r="Z8" i="59"/>
  <c r="X8" i="59"/>
  <c r="AA8" i="59"/>
  <c r="K75" i="9"/>
  <c r="K6" i="4"/>
  <c r="O76" i="9" s="1"/>
  <c r="B22" i="31"/>
  <c r="E16" i="66"/>
  <c r="F16" i="66"/>
  <c r="E17" i="66"/>
  <c r="F17" i="66"/>
  <c r="E18" i="66"/>
  <c r="F18" i="66"/>
  <c r="E19" i="66"/>
  <c r="F19" i="66"/>
  <c r="E20" i="66"/>
  <c r="F20" i="66"/>
  <c r="E21" i="66"/>
  <c r="F21" i="66"/>
  <c r="E22" i="66"/>
  <c r="F22" i="66"/>
  <c r="E23" i="66"/>
  <c r="F23" i="66"/>
  <c r="B3" i="66"/>
  <c r="V12" i="59"/>
  <c r="U8" i="59"/>
  <c r="S8"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F23" i="59" s="1"/>
  <c r="AD23" i="59"/>
  <c r="AD24" i="59"/>
  <c r="AE24" i="59"/>
  <c r="AF24" i="59" s="1"/>
  <c r="AG24" i="59"/>
  <c r="AH24"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Z22" i="59"/>
  <c r="X22" i="59"/>
  <c r="S2" i="31"/>
  <c r="M2" i="31"/>
  <c r="N2" i="31"/>
  <c r="O2" i="31"/>
  <c r="P2" i="31"/>
  <c r="Q2" i="31"/>
  <c r="R2" i="31"/>
  <c r="C3" i="65"/>
  <c r="B76" i="63"/>
  <c r="M5" i="54"/>
  <c r="B41" i="63"/>
  <c r="A23" i="51"/>
  <c r="Y12" i="46"/>
  <c r="AA9" i="46"/>
  <c r="AB9" i="46"/>
  <c r="AB10" i="46" s="1"/>
  <c r="AC9" i="46"/>
  <c r="AC10" i="46" s="1"/>
  <c r="AD9" i="46"/>
  <c r="AD10" i="46" s="1"/>
  <c r="AE9" i="46"/>
  <c r="AE10" i="46" s="1"/>
  <c r="AF9" i="46"/>
  <c r="AF10" i="46"/>
  <c r="AG9" i="46"/>
  <c r="AG10" i="46"/>
  <c r="AH9" i="46"/>
  <c r="AH10" i="46"/>
  <c r="AI9" i="46"/>
  <c r="AJ9" i="46"/>
  <c r="AJ10" i="46" s="1"/>
  <c r="Z9" i="46"/>
  <c r="Z10" i="46" s="1"/>
  <c r="AI10" i="46"/>
  <c r="AA10" i="46"/>
  <c r="Y10" i="46"/>
  <c r="AJ12" i="46"/>
  <c r="AI12" i="46"/>
  <c r="AA12" i="46"/>
  <c r="A21" i="64"/>
  <c r="B75" i="63"/>
  <c r="B73" i="63"/>
  <c r="A28" i="64"/>
  <c r="A27" i="64"/>
  <c r="A15" i="64"/>
  <c r="A14" i="64"/>
  <c r="A11" i="64"/>
  <c r="A3" i="64"/>
  <c r="A45" i="9"/>
  <c r="K40" i="9" s="1"/>
  <c r="A44" i="9"/>
  <c r="K39" i="9" s="1"/>
  <c r="C56" i="10"/>
  <c r="C55" i="10"/>
  <c r="C54" i="10"/>
  <c r="A26" i="51" s="1"/>
  <c r="B19" i="63" s="1"/>
  <c r="B44" i="63"/>
  <c r="B40" i="63"/>
  <c r="B30" i="63"/>
  <c r="B27" i="63"/>
  <c r="B25" i="63"/>
  <c r="A11" i="51"/>
  <c r="B10" i="63" s="1"/>
  <c r="B58" i="63"/>
  <c r="B51" i="63"/>
  <c r="A46" i="9"/>
  <c r="K41" i="9"/>
  <c r="B8" i="63"/>
  <c r="A21" i="55"/>
  <c r="B71" i="63" s="1"/>
  <c r="A20" i="55"/>
  <c r="B69" i="63" s="1"/>
  <c r="B26" i="63"/>
  <c r="B28" i="63"/>
  <c r="B29" i="63"/>
  <c r="B31" i="63"/>
  <c r="B33" i="63"/>
  <c r="B35" i="63"/>
  <c r="B36" i="63"/>
  <c r="B37" i="63"/>
  <c r="B63" i="63"/>
  <c r="B64" i="63"/>
  <c r="B68" i="63"/>
  <c r="D51" i="10"/>
  <c r="B61" i="63"/>
  <c r="B51" i="10"/>
  <c r="B20" i="63"/>
  <c r="B17" i="63"/>
  <c r="A15" i="51"/>
  <c r="B12" i="63" s="1"/>
  <c r="A14" i="51"/>
  <c r="B11" i="63" s="1"/>
  <c r="B66" i="63"/>
  <c r="A4" i="55"/>
  <c r="B57" i="63"/>
  <c r="G5" i="54"/>
  <c r="B34" i="63"/>
  <c r="E5" i="54"/>
  <c r="B32" i="63"/>
  <c r="R2" i="54"/>
  <c r="B24" i="63"/>
  <c r="B49" i="50"/>
  <c r="B5" i="63"/>
  <c r="B40" i="50"/>
  <c r="B3" i="63" s="1"/>
  <c r="I19" i="46"/>
  <c r="D73" i="59"/>
  <c r="F72" i="59"/>
  <c r="F71" i="59"/>
  <c r="F70" i="59" s="1"/>
  <c r="E72" i="59"/>
  <c r="E71" i="59" s="1"/>
  <c r="E70" i="59" s="1"/>
  <c r="C72" i="59"/>
  <c r="D72" i="59"/>
  <c r="B72" i="59"/>
  <c r="B71" i="59"/>
  <c r="B70" i="59" s="1"/>
  <c r="D69" i="59"/>
  <c r="F68" i="59"/>
  <c r="F67" i="59"/>
  <c r="F66" i="59" s="1"/>
  <c r="E68" i="59"/>
  <c r="E67" i="59" s="1"/>
  <c r="E66" i="59" s="1"/>
  <c r="C68" i="59"/>
  <c r="D68" i="59"/>
  <c r="B68" i="59"/>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O52" i="59" s="1"/>
  <c r="B52" i="59"/>
  <c r="N52" i="59"/>
  <c r="D49" i="59"/>
  <c r="Q48" i="59"/>
  <c r="P48" i="59"/>
  <c r="O48" i="59"/>
  <c r="N48" i="59"/>
  <c r="Q47" i="59"/>
  <c r="P47" i="59"/>
  <c r="O47" i="59"/>
  <c r="N47" i="59"/>
  <c r="Q46" i="59"/>
  <c r="P46" i="59"/>
  <c r="O46" i="59"/>
  <c r="N46" i="59"/>
  <c r="Q45" i="59"/>
  <c r="F46" i="59" s="1"/>
  <c r="F47" i="59" s="1"/>
  <c r="F48" i="59" s="1"/>
  <c r="V48" i="59" s="1"/>
  <c r="P45" i="59"/>
  <c r="E46" i="59"/>
  <c r="E47" i="59" s="1"/>
  <c r="E48" i="59" s="1"/>
  <c r="U48" i="59" s="1"/>
  <c r="O45" i="59"/>
  <c r="C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F39" i="59" s="1"/>
  <c r="F40" i="59" s="1"/>
  <c r="V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c r="N33" i="59"/>
  <c r="B34" i="59"/>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s="1"/>
  <c r="E31" i="59" s="1"/>
  <c r="E32" i="59" s="1"/>
  <c r="U32" i="59" s="1"/>
  <c r="O29" i="59"/>
  <c r="C30" i="59"/>
  <c r="N29" i="59"/>
  <c r="B30" i="59"/>
  <c r="B31" i="59" s="1"/>
  <c r="B32" i="59" s="1"/>
  <c r="S32" i="59" s="1"/>
  <c r="D29" i="59"/>
  <c r="Q28" i="59"/>
  <c r="P28" i="59"/>
  <c r="O28" i="59"/>
  <c r="N28" i="59"/>
  <c r="Q27" i="59"/>
  <c r="P27" i="59"/>
  <c r="O27" i="59"/>
  <c r="N27" i="59"/>
  <c r="Q26" i="59"/>
  <c r="P26" i="59"/>
  <c r="O26" i="59"/>
  <c r="N26" i="59"/>
  <c r="Q25" i="59"/>
  <c r="F26" i="59"/>
  <c r="F27" i="59" s="1"/>
  <c r="F28" i="59" s="1"/>
  <c r="V28" i="59" s="1"/>
  <c r="P25" i="59"/>
  <c r="E26" i="59" s="1"/>
  <c r="E27" i="59" s="1"/>
  <c r="E28" i="59" s="1"/>
  <c r="U28" i="59" s="1"/>
  <c r="O25" i="59"/>
  <c r="C26" i="59"/>
  <c r="C27" i="59" s="1"/>
  <c r="N25" i="59"/>
  <c r="B26" i="59" s="1"/>
  <c r="B27" i="59" s="1"/>
  <c r="B28" i="59" s="1"/>
  <c r="S28" i="59" s="1"/>
  <c r="D25" i="59"/>
  <c r="Q24" i="59"/>
  <c r="P24" i="59"/>
  <c r="O24" i="59"/>
  <c r="N24" i="59"/>
  <c r="AB23" i="59"/>
  <c r="Y23" i="59"/>
  <c r="Z23" i="59"/>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AA23" i="59"/>
  <c r="T52" i="59"/>
  <c r="D52" i="59"/>
  <c r="P52" i="59"/>
  <c r="C55" i="59"/>
  <c r="C54" i="59" s="1"/>
  <c r="D54" i="59" s="1"/>
  <c r="E63" i="59"/>
  <c r="E62" i="59" s="1"/>
  <c r="D64" i="59"/>
  <c r="C71" i="59"/>
  <c r="D71" i="59"/>
  <c r="U16" i="4"/>
  <c r="T16" i="4"/>
  <c r="S16" i="4"/>
  <c r="Q16" i="4"/>
  <c r="P16" i="4" s="1"/>
  <c r="O16" i="4"/>
  <c r="M16" i="4"/>
  <c r="L16" i="4" s="1"/>
  <c r="K16" i="4"/>
  <c r="D55" i="59"/>
  <c r="O27" i="6"/>
  <c r="N27" i="6"/>
  <c r="P26" i="6"/>
  <c r="L26" i="6"/>
  <c r="P25" i="6"/>
  <c r="L25" i="6"/>
  <c r="P24" i="6"/>
  <c r="L24" i="6"/>
  <c r="P23" i="6"/>
  <c r="L23" i="6"/>
  <c r="P22" i="6"/>
  <c r="L22" i="6"/>
  <c r="P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E84" i="34"/>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s="1"/>
  <c r="Q31" i="39"/>
  <c r="Z31" i="39" s="1"/>
  <c r="D105" i="39"/>
  <c r="E105" i="39" s="1"/>
  <c r="F105" i="39" s="1"/>
  <c r="G105" i="39" s="1"/>
  <c r="G20" i="20"/>
  <c r="B85" i="46"/>
  <c r="C22" i="20"/>
  <c r="B65" i="46"/>
  <c r="S18" i="35"/>
  <c r="C27" i="40"/>
  <c r="C31" i="39"/>
  <c r="B54" i="46"/>
  <c r="B74" i="46"/>
  <c r="E66" i="36"/>
  <c r="H18" i="35"/>
  <c r="J18" i="35"/>
  <c r="H21" i="37"/>
  <c r="J21" i="37"/>
  <c r="J21" i="34"/>
  <c r="H21" i="34"/>
  <c r="F21" i="33"/>
  <c r="H21" i="33"/>
  <c r="J21" i="33"/>
  <c r="H27" i="40"/>
  <c r="H31" i="39"/>
  <c r="D22" i="15"/>
  <c r="G17" i="11"/>
  <c r="D23"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C112" i="9"/>
  <c r="C7" i="11"/>
  <c r="H81" i="46"/>
  <c r="G99" i="46"/>
  <c r="G108" i="46" s="1"/>
  <c r="H99" i="46"/>
  <c r="H108" i="46" s="1"/>
  <c r="I99" i="46"/>
  <c r="I108" i="46" s="1"/>
  <c r="J99" i="46"/>
  <c r="J108" i="46" s="1"/>
  <c r="K99" i="46"/>
  <c r="K108" i="46" s="1"/>
  <c r="L99" i="46"/>
  <c r="L108" i="46" s="1"/>
  <c r="M99" i="46"/>
  <c r="M108" i="46" s="1"/>
  <c r="N99" i="46"/>
  <c r="N108" i="46" s="1"/>
  <c r="K100" i="46"/>
  <c r="K58" i="46"/>
  <c r="J58" i="46"/>
  <c r="K50" i="46"/>
  <c r="J50" i="46"/>
  <c r="B83" i="46"/>
  <c r="B82" i="46"/>
  <c r="B71" i="46"/>
  <c r="B60" i="46"/>
  <c r="B49" i="46"/>
  <c r="M87" i="46"/>
  <c r="N87" i="46" s="1"/>
  <c r="K87" i="46"/>
  <c r="J87" i="46" s="1"/>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s="1"/>
  <c r="K54" i="46"/>
  <c r="J54" i="46" s="1"/>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Q73" i="15"/>
  <c r="Q60" i="15"/>
  <c r="Q59" i="15"/>
  <c r="Q52" i="15"/>
  <c r="AE12" i="1"/>
  <c r="AE13" i="1"/>
  <c r="AG7"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c r="F13" i="1"/>
  <c r="AP13" i="1"/>
  <c r="D11" i="1"/>
  <c r="D12" i="1"/>
  <c r="D13" i="1"/>
  <c r="D6" i="1"/>
  <c r="D7" i="1"/>
  <c r="D9" i="1"/>
  <c r="D10" i="1"/>
  <c r="R12"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F14" i="12"/>
  <c r="F15" i="12"/>
  <c r="E16" i="12"/>
  <c r="F17" i="12"/>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D14" i="4"/>
  <c r="G36" i="4"/>
  <c r="A3" i="51"/>
  <c r="R41" i="4"/>
  <c r="Q41" i="4"/>
  <c r="P41" i="4"/>
  <c r="O41" i="4"/>
  <c r="N41" i="4"/>
  <c r="M41" i="4"/>
  <c r="L41" i="4"/>
  <c r="K40" i="4"/>
  <c r="T40" i="4"/>
  <c r="A18" i="51" s="1"/>
  <c r="B14" i="63" s="1"/>
  <c r="F23" i="4"/>
  <c r="I19" i="4"/>
  <c r="H19" i="4"/>
  <c r="F9" i="1"/>
  <c r="F19" i="4"/>
  <c r="F10" i="1"/>
  <c r="G10" i="1" s="1"/>
  <c r="B2" i="52"/>
  <c r="I2" i="46"/>
  <c r="N12" i="46" s="1"/>
  <c r="A7" i="46"/>
  <c r="F41" i="4"/>
  <c r="J52" i="40"/>
  <c r="H61" i="49"/>
  <c r="H39" i="46"/>
  <c r="H38" i="46"/>
  <c r="H37" i="46"/>
  <c r="H36" i="46"/>
  <c r="H35" i="46"/>
  <c r="H34" i="46"/>
  <c r="C35" i="4"/>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c r="H42" i="39"/>
  <c r="AB42" i="39"/>
  <c r="J10" i="39"/>
  <c r="AC10" i="39"/>
  <c r="J11" i="39"/>
  <c r="AC11" i="39" s="1"/>
  <c r="J36" i="39"/>
  <c r="AC36" i="39" s="1"/>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s="1"/>
  <c r="B23" i="1"/>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H54" i="33"/>
  <c r="E54" i="33"/>
  <c r="F54" i="33"/>
  <c r="I9" i="12"/>
  <c r="J9" i="12"/>
  <c r="K9" i="12"/>
  <c r="G111" i="21"/>
  <c r="H111" i="21"/>
  <c r="B112" i="39"/>
  <c r="F37" i="39" s="1"/>
  <c r="B114" i="39"/>
  <c r="J30" i="36"/>
  <c r="W30" i="36" s="1"/>
  <c r="H30" i="36"/>
  <c r="U30" i="36"/>
  <c r="F30" i="36"/>
  <c r="C26" i="35"/>
  <c r="C79" i="35" s="1"/>
  <c r="J26" i="35" s="1"/>
  <c r="J31" i="35"/>
  <c r="AC31" i="35" s="1"/>
  <c r="H31" i="35"/>
  <c r="AB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AC42" i="34" s="1"/>
  <c r="F42" i="34"/>
  <c r="S42" i="34"/>
  <c r="J38" i="34"/>
  <c r="AC38" i="34"/>
  <c r="D114" i="34"/>
  <c r="E114" i="34"/>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U41" i="21"/>
  <c r="D83" i="39"/>
  <c r="E83" i="39" s="1"/>
  <c r="F83" i="39" s="1"/>
  <c r="D78" i="40"/>
  <c r="E78" i="40"/>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c r="AA34" i="40" s="1"/>
  <c r="B103" i="40"/>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D92" i="40"/>
  <c r="D90" i="40"/>
  <c r="E90" i="40" s="1"/>
  <c r="F90" i="40" s="1"/>
  <c r="G90" i="40" s="1"/>
  <c r="H21" i="40"/>
  <c r="AB21" i="40"/>
  <c r="D88" i="40"/>
  <c r="E88" i="40"/>
  <c r="D86" i="40"/>
  <c r="E86" i="40"/>
  <c r="F86" i="40" s="1"/>
  <c r="G86" i="40" s="1"/>
  <c r="J17" i="40"/>
  <c r="W17" i="40" s="1"/>
  <c r="B83" i="40"/>
  <c r="F16" i="40" s="1"/>
  <c r="B81" i="40"/>
  <c r="B79" i="40"/>
  <c r="F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H122" i="39" s="1"/>
  <c r="I122" i="39" s="1"/>
  <c r="J122" i="39" s="1"/>
  <c r="K122" i="39" s="1"/>
  <c r="L122" i="39" s="1"/>
  <c r="M122" i="39" s="1"/>
  <c r="B116" i="39"/>
  <c r="F39" i="39" s="1"/>
  <c r="D111" i="39"/>
  <c r="E111" i="39"/>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W47" i="39" s="1"/>
  <c r="B131" i="39"/>
  <c r="B129" i="39"/>
  <c r="J45" i="39" s="1"/>
  <c r="AC45" i="39" s="1"/>
  <c r="D128" i="39"/>
  <c r="D124" i="39"/>
  <c r="E124" i="39" s="1"/>
  <c r="F124" i="39" s="1"/>
  <c r="G124" i="39" s="1"/>
  <c r="H124" i="39" s="1"/>
  <c r="I124" i="39" s="1"/>
  <c r="J124" i="39" s="1"/>
  <c r="K124" i="39" s="1"/>
  <c r="L124" i="39" s="1"/>
  <c r="M124" i="39" s="1"/>
  <c r="B106" i="39"/>
  <c r="H33" i="39" s="1"/>
  <c r="D99" i="39"/>
  <c r="E99" i="39" s="1"/>
  <c r="F99" i="39" s="1"/>
  <c r="G99" i="39" s="1"/>
  <c r="D97" i="39"/>
  <c r="E97" i="39" s="1"/>
  <c r="D95" i="39"/>
  <c r="E95" i="39"/>
  <c r="F95" i="39" s="1"/>
  <c r="G95" i="39" s="1"/>
  <c r="D93" i="39"/>
  <c r="E93" i="39" s="1"/>
  <c r="D91" i="39"/>
  <c r="E91" i="39" s="1"/>
  <c r="B88" i="39"/>
  <c r="F16" i="39" s="1"/>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W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F96" i="37" s="1"/>
  <c r="G96" i="37" s="1"/>
  <c r="H96" i="37" s="1"/>
  <c r="I96" i="37" s="1"/>
  <c r="J96" i="37" s="1"/>
  <c r="K96" i="37" s="1"/>
  <c r="L96" i="37" s="1"/>
  <c r="M96" i="37" s="1"/>
  <c r="D94" i="37"/>
  <c r="E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H27" i="37"/>
  <c r="U27" i="37" s="1"/>
  <c r="B82" i="37"/>
  <c r="J26" i="37" s="1"/>
  <c r="D79" i="37"/>
  <c r="E79" i="37" s="1"/>
  <c r="F79" i="37" s="1"/>
  <c r="G79" i="37" s="1"/>
  <c r="D75" i="37"/>
  <c r="E75" i="37"/>
  <c r="F75" i="37" s="1"/>
  <c r="G75" i="37" s="1"/>
  <c r="D73" i="37"/>
  <c r="E73" i="37"/>
  <c r="F73" i="37" s="1"/>
  <c r="G73" i="37" s="1"/>
  <c r="D71" i="37"/>
  <c r="E71" i="37"/>
  <c r="F71" i="37" s="1"/>
  <c r="G71" i="37" s="1"/>
  <c r="F15" i="37"/>
  <c r="AA15" i="37"/>
  <c r="B68" i="37"/>
  <c r="H14" i="37"/>
  <c r="U14" i="37" s="1"/>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AB30" i="37"/>
  <c r="F30" i="37"/>
  <c r="Q29" i="37"/>
  <c r="Z29" i="37" s="1"/>
  <c r="H29" i="37"/>
  <c r="U29" i="37" s="1"/>
  <c r="Q28" i="37"/>
  <c r="Z28" i="37"/>
  <c r="Q27" i="37"/>
  <c r="Z27" i="37"/>
  <c r="Q26" i="37"/>
  <c r="Z26" i="37"/>
  <c r="F26" i="37"/>
  <c r="AA26" i="37" s="1"/>
  <c r="Q25" i="37"/>
  <c r="Z25" i="37"/>
  <c r="J25" i="37"/>
  <c r="W25" i="37"/>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S8" i="37"/>
  <c r="J31" i="36"/>
  <c r="W31" i="36"/>
  <c r="H31" i="36"/>
  <c r="AB31" i="36"/>
  <c r="F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AB33" i="36" s="1"/>
  <c r="B91" i="36"/>
  <c r="F32" i="36"/>
  <c r="S32" i="36" s="1"/>
  <c r="B95" i="36"/>
  <c r="D83" i="36"/>
  <c r="E83" i="36" s="1"/>
  <c r="F83" i="36" s="1"/>
  <c r="G83" i="36" s="1"/>
  <c r="H83" i="36" s="1"/>
  <c r="I83" i="36" s="1"/>
  <c r="J83" i="36" s="1"/>
  <c r="K83" i="36" s="1"/>
  <c r="L83" i="36" s="1"/>
  <c r="M83" i="36" s="1"/>
  <c r="D78" i="36"/>
  <c r="J26" i="36"/>
  <c r="W26" i="36"/>
  <c r="B75" i="36"/>
  <c r="B73" i="36"/>
  <c r="F24" i="36" s="1"/>
  <c r="AA24" i="36" s="1"/>
  <c r="B71" i="36"/>
  <c r="H23" i="36" s="1"/>
  <c r="D70" i="36"/>
  <c r="H22" i="36"/>
  <c r="AB22" i="36" s="1"/>
  <c r="D68" i="36"/>
  <c r="E68" i="36" s="1"/>
  <c r="F68" i="36" s="1"/>
  <c r="G68" i="36" s="1"/>
  <c r="D64" i="36"/>
  <c r="E64" i="36" s="1"/>
  <c r="F64" i="36" s="1"/>
  <c r="G64" i="36" s="1"/>
  <c r="J16" i="36"/>
  <c r="AC16" i="36" s="1"/>
  <c r="D62" i="36"/>
  <c r="E62" i="36"/>
  <c r="F62" i="36" s="1"/>
  <c r="G62" i="36" s="1"/>
  <c r="B59" i="36"/>
  <c r="B57" i="36"/>
  <c r="J12" i="36" s="1"/>
  <c r="B55" i="36"/>
  <c r="F54" i="36"/>
  <c r="G54" i="36" s="1"/>
  <c r="H54" i="36" s="1"/>
  <c r="I54" i="36" s="1"/>
  <c r="J10" i="36"/>
  <c r="W10" i="36" s="1"/>
  <c r="C51" i="36"/>
  <c r="J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c r="W35" i="35" s="1"/>
  <c r="B97" i="35"/>
  <c r="B77" i="35"/>
  <c r="B75" i="35"/>
  <c r="J24" i="35" s="1"/>
  <c r="AC24" i="35" s="1"/>
  <c r="B73" i="35"/>
  <c r="J23" i="35"/>
  <c r="W23" i="35" s="1"/>
  <c r="B57" i="35"/>
  <c r="H11" i="35" s="1"/>
  <c r="B61" i="35"/>
  <c r="B59" i="35"/>
  <c r="J12" i="35" s="1"/>
  <c r="W12" i="35" s="1"/>
  <c r="B131" i="34"/>
  <c r="F47" i="34"/>
  <c r="AA47" i="34" s="1"/>
  <c r="B129" i="34"/>
  <c r="B127" i="34"/>
  <c r="H45" i="34" s="1"/>
  <c r="U45" i="34" s="1"/>
  <c r="B99" i="34"/>
  <c r="H32" i="34" s="1"/>
  <c r="U32" i="34" s="1"/>
  <c r="B97" i="34"/>
  <c r="H31" i="34"/>
  <c r="AB31" i="34" s="1"/>
  <c r="B95" i="34"/>
  <c r="B93" i="34"/>
  <c r="J29" i="34" s="1"/>
  <c r="AC29" i="34" s="1"/>
  <c r="B75" i="34"/>
  <c r="F14" i="34" s="1"/>
  <c r="B73" i="34"/>
  <c r="J13" i="34"/>
  <c r="W13" i="34" s="1"/>
  <c r="B71" i="34"/>
  <c r="B130" i="33"/>
  <c r="J46" i="33" s="1"/>
  <c r="AC46" i="33" s="1"/>
  <c r="B128" i="33"/>
  <c r="H45" i="33" s="1"/>
  <c r="AB45" i="33" s="1"/>
  <c r="B126" i="33"/>
  <c r="B98" i="33"/>
  <c r="F31" i="33" s="1"/>
  <c r="AA31" i="33" s="1"/>
  <c r="B96" i="33"/>
  <c r="F30" i="33"/>
  <c r="S30" i="33" s="1"/>
  <c r="B94" i="33"/>
  <c r="J29" i="33" s="1"/>
  <c r="B74" i="33"/>
  <c r="F14" i="33" s="1"/>
  <c r="S14" i="33" s="1"/>
  <c r="B72" i="33"/>
  <c r="F13" i="33"/>
  <c r="S13" i="33" s="1"/>
  <c r="B70" i="33"/>
  <c r="H12" i="33" s="1"/>
  <c r="AB12" i="33" s="1"/>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F56" i="35"/>
  <c r="G56" i="35"/>
  <c r="H56" i="35" s="1"/>
  <c r="I56" i="35" s="1"/>
  <c r="C53" i="35"/>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U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H67" i="34" s="1"/>
  <c r="I67" i="34" s="1"/>
  <c r="H10" i="34"/>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c r="Q43" i="34"/>
  <c r="Z43" i="34"/>
  <c r="F43" i="34"/>
  <c r="Q42" i="34"/>
  <c r="Z42" i="34" s="1"/>
  <c r="Q41" i="34"/>
  <c r="Z41" i="34" s="1"/>
  <c r="Q40" i="34"/>
  <c r="Z40" i="34" s="1"/>
  <c r="F40" i="34"/>
  <c r="S40" i="34" s="1"/>
  <c r="Q39" i="34"/>
  <c r="Z39" i="34" s="1"/>
  <c r="J39" i="34"/>
  <c r="AC39" i="34" s="1"/>
  <c r="H39" i="34"/>
  <c r="AB39" i="34" s="1"/>
  <c r="F39" i="34"/>
  <c r="AA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F9" i="34"/>
  <c r="AA9" i="34" s="1"/>
  <c r="J8" i="34"/>
  <c r="H8" i="34"/>
  <c r="U8" i="34" s="1"/>
  <c r="F8" i="34"/>
  <c r="AA8" i="34"/>
  <c r="D121" i="33"/>
  <c r="F109" i="33"/>
  <c r="E109" i="33"/>
  <c r="D109" i="33"/>
  <c r="C109" i="33"/>
  <c r="D91" i="33"/>
  <c r="E91" i="33" s="1"/>
  <c r="F91" i="33" s="1"/>
  <c r="G91" i="33" s="1"/>
  <c r="H91" i="33" s="1"/>
  <c r="I91" i="33" s="1"/>
  <c r="J91" i="33" s="1"/>
  <c r="K91" i="33" s="1"/>
  <c r="L91" i="33" s="1"/>
  <c r="M91" i="33" s="1"/>
  <c r="B88" i="33"/>
  <c r="F26" i="33" s="1"/>
  <c r="S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c r="AB28" i="33" s="1"/>
  <c r="B90" i="33"/>
  <c r="H27" i="33" s="1"/>
  <c r="AB27" i="33" s="1"/>
  <c r="D87" i="33"/>
  <c r="E87" i="33" s="1"/>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S9" i="21"/>
  <c r="G18" i="20"/>
  <c r="B87" i="46" s="1"/>
  <c r="C25" i="40"/>
  <c r="G16" i="20"/>
  <c r="B81" i="46"/>
  <c r="G15" i="20"/>
  <c r="C24" i="20"/>
  <c r="B51" i="46" s="1"/>
  <c r="C21" i="20"/>
  <c r="C20" i="20"/>
  <c r="B66" i="46" s="1"/>
  <c r="C18" i="20"/>
  <c r="C17" i="20"/>
  <c r="B58" i="46" s="1"/>
  <c r="C16" i="20"/>
  <c r="B47" i="46" s="1"/>
  <c r="C15" i="20"/>
  <c r="B69" i="46" s="1"/>
  <c r="E54" i="21"/>
  <c r="F54" i="21" s="1"/>
  <c r="I54" i="21"/>
  <c r="J54" i="21" s="1"/>
  <c r="G54" i="21"/>
  <c r="H54" i="21" s="1"/>
  <c r="D125" i="21"/>
  <c r="E125" i="21" s="1"/>
  <c r="F125" i="21" s="1"/>
  <c r="G125" i="21" s="1"/>
  <c r="D119" i="21"/>
  <c r="E119" i="21" s="1"/>
  <c r="F119" i="21" s="1"/>
  <c r="G119" i="21" s="1"/>
  <c r="H119" i="21" s="1"/>
  <c r="I119" i="21" s="1"/>
  <c r="J119" i="21" s="1"/>
  <c r="K119" i="21" s="1"/>
  <c r="L119" i="21" s="1"/>
  <c r="M119" i="21" s="1"/>
  <c r="E117" i="21"/>
  <c r="F117" i="21" s="1"/>
  <c r="G117" i="21" s="1"/>
  <c r="D115" i="21"/>
  <c r="H113" i="21"/>
  <c r="D110" i="21"/>
  <c r="E110" i="2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H69" i="21"/>
  <c r="I69" i="21"/>
  <c r="J69" i="21" s="1"/>
  <c r="K69" i="21" s="1"/>
  <c r="L69" i="21" s="1"/>
  <c r="M69" i="21" s="1"/>
  <c r="F66" i="21"/>
  <c r="G66" i="21"/>
  <c r="H66" i="21" s="1"/>
  <c r="I66" i="21" s="1"/>
  <c r="D111" i="21"/>
  <c r="E111" i="21"/>
  <c r="F111" i="21"/>
  <c r="C111" i="21"/>
  <c r="E79" i="21"/>
  <c r="F79" i="21"/>
  <c r="G79" i="21" s="1"/>
  <c r="E81" i="21"/>
  <c r="F81" i="21" s="1"/>
  <c r="E77" i="21"/>
  <c r="F77" i="21"/>
  <c r="F15" i="21"/>
  <c r="AA15"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U12" i="21"/>
  <c r="W26" i="21"/>
  <c r="S41" i="21"/>
  <c r="W41" i="21"/>
  <c r="S10" i="39"/>
  <c r="E103" i="37"/>
  <c r="F103" i="37"/>
  <c r="G103" i="37" s="1"/>
  <c r="H103" i="37" s="1"/>
  <c r="I103" i="37" s="1"/>
  <c r="J103" i="37" s="1"/>
  <c r="K103" i="37" s="1"/>
  <c r="L103" i="37" s="1"/>
  <c r="M103" i="37" s="1"/>
  <c r="F29" i="36"/>
  <c r="F16" i="36"/>
  <c r="AA16" i="36" s="1"/>
  <c r="U22" i="36"/>
  <c r="J33" i="36"/>
  <c r="AC33" i="36" s="1"/>
  <c r="AC27" i="35"/>
  <c r="S31" i="35"/>
  <c r="F36" i="34"/>
  <c r="H39" i="33"/>
  <c r="AB39" i="33" s="1"/>
  <c r="U33" i="33"/>
  <c r="W38" i="33"/>
  <c r="S40" i="33"/>
  <c r="S33" i="33"/>
  <c r="W33" i="33"/>
  <c r="U38" i="33"/>
  <c r="S8" i="21"/>
  <c r="W8" i="21"/>
  <c r="AB27" i="35"/>
  <c r="S10" i="40"/>
  <c r="W10" i="40"/>
  <c r="S11" i="40"/>
  <c r="U11" i="40"/>
  <c r="S36" i="40"/>
  <c r="U36" i="40"/>
  <c r="S36" i="39"/>
  <c r="U36" i="39"/>
  <c r="S42" i="39"/>
  <c r="H32" i="33"/>
  <c r="U32" i="33" s="1"/>
  <c r="U9" i="21"/>
  <c r="J27" i="36"/>
  <c r="W27" i="36" s="1"/>
  <c r="J30" i="35"/>
  <c r="W30" i="35" s="1"/>
  <c r="F22" i="35"/>
  <c r="S22" i="35" s="1"/>
  <c r="H10" i="35"/>
  <c r="E85" i="36"/>
  <c r="F85" i="36" s="1"/>
  <c r="G85" i="36" s="1"/>
  <c r="H85" i="36" s="1"/>
  <c r="I85" i="36" s="1"/>
  <c r="J85" i="36" s="1"/>
  <c r="K85" i="36" s="1"/>
  <c r="L85" i="36" s="1"/>
  <c r="M85" i="36" s="1"/>
  <c r="J29" i="36"/>
  <c r="F12" i="36"/>
  <c r="AA12" i="36" s="1"/>
  <c r="F34" i="36"/>
  <c r="H16" i="35"/>
  <c r="AB16" i="35" s="1"/>
  <c r="H33" i="35"/>
  <c r="W8" i="35"/>
  <c r="F35" i="37"/>
  <c r="S35" i="37" s="1"/>
  <c r="J34" i="37"/>
  <c r="W34" i="37"/>
  <c r="H43" i="34"/>
  <c r="U42" i="34"/>
  <c r="H36" i="34"/>
  <c r="U36" i="34"/>
  <c r="F37" i="34"/>
  <c r="F33" i="34"/>
  <c r="AA33" i="34" s="1"/>
  <c r="F19" i="34"/>
  <c r="AA19" i="34" s="1"/>
  <c r="J10" i="34"/>
  <c r="AC10" i="34" s="1"/>
  <c r="S38" i="33"/>
  <c r="E113" i="33"/>
  <c r="F36" i="33"/>
  <c r="AA36" i="33" s="1"/>
  <c r="F19" i="33"/>
  <c r="J19" i="33"/>
  <c r="W19" i="33" s="1"/>
  <c r="W40" i="33"/>
  <c r="AB30" i="36"/>
  <c r="H29" i="35"/>
  <c r="S34" i="37"/>
  <c r="AA34" i="37"/>
  <c r="AC43" i="34"/>
  <c r="W36" i="34"/>
  <c r="J19" i="34"/>
  <c r="AC19" i="34" s="1"/>
  <c r="F113" i="33"/>
  <c r="G113" i="33" s="1"/>
  <c r="H113" i="33" s="1"/>
  <c r="I113" i="33" s="1"/>
  <c r="J113" i="33" s="1"/>
  <c r="K113" i="33" s="1"/>
  <c r="L113" i="33" s="1"/>
  <c r="M113" i="33" s="1"/>
  <c r="H37" i="33"/>
  <c r="AB37" i="33" s="1"/>
  <c r="S37" i="33"/>
  <c r="W42" i="34"/>
  <c r="AA42" i="34"/>
  <c r="W38" i="34"/>
  <c r="AA38" i="34"/>
  <c r="S38" i="34"/>
  <c r="J37" i="33"/>
  <c r="J44" i="34"/>
  <c r="AC44" i="34" s="1"/>
  <c r="F44" i="34"/>
  <c r="S44" i="34" s="1"/>
  <c r="J10" i="35"/>
  <c r="U14" i="21"/>
  <c r="U30" i="21"/>
  <c r="S30" i="21"/>
  <c r="W46" i="21"/>
  <c r="F28" i="33"/>
  <c r="AA28" i="33" s="1"/>
  <c r="J28" i="33"/>
  <c r="F33" i="35"/>
  <c r="S33" i="35" s="1"/>
  <c r="J33" i="35"/>
  <c r="W33" i="35" s="1"/>
  <c r="F30" i="35"/>
  <c r="AA30" i="35" s="1"/>
  <c r="H10" i="36"/>
  <c r="AB10" i="36" s="1"/>
  <c r="F28" i="36"/>
  <c r="S28" i="36" s="1"/>
  <c r="F27" i="36"/>
  <c r="S27" i="36" s="1"/>
  <c r="U13" i="21"/>
  <c r="W27" i="21"/>
  <c r="U29" i="21"/>
  <c r="S29" i="21"/>
  <c r="U31" i="21"/>
  <c r="S31" i="21"/>
  <c r="W45" i="21"/>
  <c r="U45" i="21"/>
  <c r="J27" i="33"/>
  <c r="AC27" i="33" s="1"/>
  <c r="F27" i="33"/>
  <c r="S27" i="33" s="1"/>
  <c r="F45" i="33"/>
  <c r="S45" i="33" s="1"/>
  <c r="F11" i="35"/>
  <c r="S11" i="35" s="1"/>
  <c r="H28" i="36"/>
  <c r="U28" i="36" s="1"/>
  <c r="H32" i="36"/>
  <c r="AB32" i="36" s="1"/>
  <c r="J32" i="36"/>
  <c r="W32" i="36" s="1"/>
  <c r="J11" i="36"/>
  <c r="J29" i="37"/>
  <c r="AC29" i="37" s="1"/>
  <c r="F29" i="37"/>
  <c r="AA29" i="37" s="1"/>
  <c r="J37" i="37"/>
  <c r="AC37" i="37" s="1"/>
  <c r="H37" i="37"/>
  <c r="U37" i="37" s="1"/>
  <c r="H14" i="33"/>
  <c r="U14" i="33" s="1"/>
  <c r="J14" i="33"/>
  <c r="AC14" i="33" s="1"/>
  <c r="H30" i="33"/>
  <c r="U30" i="33"/>
  <c r="J30" i="33"/>
  <c r="H44" i="33"/>
  <c r="AB44" i="33" s="1"/>
  <c r="J44" i="33"/>
  <c r="AC44" i="33"/>
  <c r="F44" i="33"/>
  <c r="S44" i="33"/>
  <c r="H13" i="34"/>
  <c r="F13" i="34"/>
  <c r="S13" i="34" s="1"/>
  <c r="J31" i="34"/>
  <c r="F31" i="34"/>
  <c r="S31" i="34" s="1"/>
  <c r="J45" i="34"/>
  <c r="AC45" i="34" s="1"/>
  <c r="H47" i="34"/>
  <c r="U47" i="34"/>
  <c r="J47" i="34"/>
  <c r="AC47" i="34"/>
  <c r="J25" i="36"/>
  <c r="W25" i="36" s="1"/>
  <c r="F25" i="36"/>
  <c r="AA25" i="36" s="1"/>
  <c r="H25" i="36"/>
  <c r="AB25" i="36" s="1"/>
  <c r="H13" i="37"/>
  <c r="AB13" i="37" s="1"/>
  <c r="F13" i="37"/>
  <c r="S13" i="37" s="1"/>
  <c r="J13" i="37"/>
  <c r="AC13" i="37" s="1"/>
  <c r="H38" i="37"/>
  <c r="AB38" i="37" s="1"/>
  <c r="J38" i="37"/>
  <c r="W38" i="37" s="1"/>
  <c r="F38" i="37"/>
  <c r="S38" i="37"/>
  <c r="F27" i="37"/>
  <c r="J27" i="37"/>
  <c r="AC27" i="37" s="1"/>
  <c r="AA38" i="37"/>
  <c r="J36" i="37"/>
  <c r="AC36" i="37"/>
  <c r="S46" i="21"/>
  <c r="W30" i="21"/>
  <c r="S28" i="21"/>
  <c r="W14" i="21"/>
  <c r="AA27" i="33"/>
  <c r="S45" i="21"/>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H43" i="33"/>
  <c r="U43" i="33" s="1"/>
  <c r="H17" i="37"/>
  <c r="U17" i="37" s="1"/>
  <c r="F23" i="37"/>
  <c r="S23" i="37"/>
  <c r="F39" i="33"/>
  <c r="AA39" i="33" s="1"/>
  <c r="F42" i="33"/>
  <c r="AA42" i="33" s="1"/>
  <c r="F22" i="36"/>
  <c r="S22" i="36" s="1"/>
  <c r="H35" i="34"/>
  <c r="U35" i="34" s="1"/>
  <c r="F41" i="34"/>
  <c r="S41" i="34" s="1"/>
  <c r="H41" i="34"/>
  <c r="U41" i="34" s="1"/>
  <c r="J41" i="34"/>
  <c r="W41" i="34" s="1"/>
  <c r="F10" i="35"/>
  <c r="AA10" i="35" s="1"/>
  <c r="H23" i="37"/>
  <c r="AB23" i="37" s="1"/>
  <c r="J32" i="37"/>
  <c r="AC32" i="37" s="1"/>
  <c r="F36" i="37"/>
  <c r="S36" i="37" s="1"/>
  <c r="F37" i="37"/>
  <c r="AA37" i="37" s="1"/>
  <c r="U23" i="37"/>
  <c r="H42" i="33"/>
  <c r="U42" i="33" s="1"/>
  <c r="J43" i="33"/>
  <c r="AC43" i="33" s="1"/>
  <c r="J23" i="37"/>
  <c r="W23" i="37"/>
  <c r="F17" i="37"/>
  <c r="AB43" i="33"/>
  <c r="AC23" i="37"/>
  <c r="AC36" i="34"/>
  <c r="S39" i="33"/>
  <c r="F43" i="33"/>
  <c r="S10" i="35"/>
  <c r="H19" i="34"/>
  <c r="AB19" i="34"/>
  <c r="J10" i="37"/>
  <c r="W10" i="37"/>
  <c r="F11" i="37"/>
  <c r="S11" i="37"/>
  <c r="H15" i="37"/>
  <c r="U15" i="37"/>
  <c r="F31" i="37"/>
  <c r="F94" i="37"/>
  <c r="G94" i="37" s="1"/>
  <c r="H94" i="37" s="1"/>
  <c r="I94" i="37" s="1"/>
  <c r="J94" i="37" s="1"/>
  <c r="K94" i="37" s="1"/>
  <c r="L94" i="37" s="1"/>
  <c r="M94" i="37" s="1"/>
  <c r="H31" i="37"/>
  <c r="AB31" i="37" s="1"/>
  <c r="J15" i="37"/>
  <c r="W15" i="37" s="1"/>
  <c r="J11" i="37"/>
  <c r="W11" i="37" s="1"/>
  <c r="U31" i="37"/>
  <c r="F21" i="40"/>
  <c r="S21" i="40" s="1"/>
  <c r="W36" i="40"/>
  <c r="J21" i="40"/>
  <c r="S27" i="31"/>
  <c r="J57" i="39"/>
  <c r="H13" i="40"/>
  <c r="U13" i="40" s="1"/>
  <c r="H12" i="48"/>
  <c r="I4" i="4"/>
  <c r="I59" i="40"/>
  <c r="C59" i="40" s="1"/>
  <c r="I60" i="40"/>
  <c r="C60" i="40" s="1"/>
  <c r="H7" i="48"/>
  <c r="H16" i="48"/>
  <c r="H9" i="48"/>
  <c r="H8" i="48"/>
  <c r="AB15" i="37"/>
  <c r="U43" i="21"/>
  <c r="AA13" i="40"/>
  <c r="D3" i="35"/>
  <c r="G4" i="4"/>
  <c r="J16" i="35"/>
  <c r="AC26" i="36"/>
  <c r="H11" i="37"/>
  <c r="AB11" i="37"/>
  <c r="AA36" i="37"/>
  <c r="W44" i="33"/>
  <c r="AC32" i="36"/>
  <c r="J33" i="34"/>
  <c r="AC33" i="34" s="1"/>
  <c r="AB36" i="34"/>
  <c r="J40" i="34"/>
  <c r="W40" i="34" s="1"/>
  <c r="F16" i="35"/>
  <c r="AA16" i="35" s="1"/>
  <c r="W42" i="33"/>
  <c r="J35" i="34"/>
  <c r="W35" i="34"/>
  <c r="H16" i="36"/>
  <c r="AB16" i="36" s="1"/>
  <c r="H35" i="37"/>
  <c r="AB35" i="37" s="1"/>
  <c r="S26" i="21"/>
  <c r="U32" i="21"/>
  <c r="U26" i="21"/>
  <c r="U39" i="21"/>
  <c r="W9" i="21"/>
  <c r="S40" i="21"/>
  <c r="S8" i="33"/>
  <c r="AC8" i="33"/>
  <c r="H66" i="33"/>
  <c r="I66" i="33" s="1"/>
  <c r="F10" i="33"/>
  <c r="AA10" i="33" s="1"/>
  <c r="F11" i="33"/>
  <c r="S11" i="33" s="1"/>
  <c r="J15" i="33"/>
  <c r="W15" i="33" s="1"/>
  <c r="H19" i="33"/>
  <c r="AB19" i="33" s="1"/>
  <c r="F32" i="33"/>
  <c r="AA32" i="33" s="1"/>
  <c r="J32" i="33"/>
  <c r="AC32" i="33" s="1"/>
  <c r="F35" i="33"/>
  <c r="AA35" i="33" s="1"/>
  <c r="F11" i="34"/>
  <c r="S11" i="34" s="1"/>
  <c r="E80" i="34"/>
  <c r="F80" i="34"/>
  <c r="G80" i="34" s="1"/>
  <c r="H17" i="34"/>
  <c r="AB17" i="34" s="1"/>
  <c r="J13" i="33"/>
  <c r="AC13" i="33" s="1"/>
  <c r="H13" i="33"/>
  <c r="H29" i="33"/>
  <c r="AB29" i="33" s="1"/>
  <c r="F29" i="33"/>
  <c r="AA29" i="33" s="1"/>
  <c r="J12" i="34"/>
  <c r="W12" i="34" s="1"/>
  <c r="H12" i="34"/>
  <c r="AB12" i="34"/>
  <c r="F12" i="34"/>
  <c r="J14" i="34"/>
  <c r="AC14" i="34" s="1"/>
  <c r="H30" i="34"/>
  <c r="AB30" i="34"/>
  <c r="F30" i="34"/>
  <c r="J30" i="34"/>
  <c r="W30" i="34" s="1"/>
  <c r="F32" i="34"/>
  <c r="S32" i="34" s="1"/>
  <c r="H46" i="34"/>
  <c r="AB46" i="34"/>
  <c r="F46" i="34"/>
  <c r="AA46" i="34"/>
  <c r="J46" i="34"/>
  <c r="AC46" i="34"/>
  <c r="H32" i="37"/>
  <c r="AB32" i="37" s="1"/>
  <c r="W27" i="33"/>
  <c r="S14" i="21"/>
  <c r="AB29" i="35"/>
  <c r="U29" i="35"/>
  <c r="AC19" i="33"/>
  <c r="U43" i="34"/>
  <c r="AB43" i="34"/>
  <c r="AC34" i="37"/>
  <c r="AA35" i="37"/>
  <c r="S32" i="21"/>
  <c r="AB40" i="33"/>
  <c r="U40" i="33"/>
  <c r="AA35" i="34"/>
  <c r="S35" i="34"/>
  <c r="H27" i="34"/>
  <c r="AB27" i="34" s="1"/>
  <c r="J14" i="35"/>
  <c r="AC14" i="35" s="1"/>
  <c r="F14" i="35"/>
  <c r="S14" i="35" s="1"/>
  <c r="H14" i="35"/>
  <c r="U14" i="35"/>
  <c r="E94" i="35"/>
  <c r="F94" i="35"/>
  <c r="G94" i="35" s="1"/>
  <c r="H94" i="35" s="1"/>
  <c r="I94" i="35" s="1"/>
  <c r="J94" i="35" s="1"/>
  <c r="K94" i="35" s="1"/>
  <c r="L94" i="35" s="1"/>
  <c r="M94" i="35" s="1"/>
  <c r="J32" i="35"/>
  <c r="AC32" i="35" s="1"/>
  <c r="H11" i="36"/>
  <c r="U11" i="36" s="1"/>
  <c r="F11" i="36"/>
  <c r="W16" i="36"/>
  <c r="E78" i="36"/>
  <c r="F78" i="36" s="1"/>
  <c r="G78" i="36" s="1"/>
  <c r="H78" i="36" s="1"/>
  <c r="I78" i="36" s="1"/>
  <c r="J78" i="36" s="1"/>
  <c r="K78" i="36" s="1"/>
  <c r="L78" i="36" s="1"/>
  <c r="M78" i="36" s="1"/>
  <c r="F26" i="36"/>
  <c r="S26" i="36"/>
  <c r="H27" i="36"/>
  <c r="AB27" i="36"/>
  <c r="AC25" i="37"/>
  <c r="AA30" i="37"/>
  <c r="S30" i="37"/>
  <c r="AC30" i="37"/>
  <c r="W31" i="37"/>
  <c r="F21" i="39"/>
  <c r="S21" i="39" s="1"/>
  <c r="H21" i="39"/>
  <c r="U21" i="39"/>
  <c r="J21" i="39"/>
  <c r="W21" i="39"/>
  <c r="J33" i="39"/>
  <c r="AC33" i="39" s="1"/>
  <c r="F44" i="39"/>
  <c r="S44" i="39"/>
  <c r="H44" i="39"/>
  <c r="U44" i="39"/>
  <c r="J44" i="39"/>
  <c r="W44" i="39"/>
  <c r="E128" i="39"/>
  <c r="F128" i="39"/>
  <c r="G128" i="39" s="1"/>
  <c r="H128" i="39" s="1"/>
  <c r="I128" i="39" s="1"/>
  <c r="J128" i="39" s="1"/>
  <c r="K128" i="39" s="1"/>
  <c r="L128" i="39" s="1"/>
  <c r="M128" i="39" s="1"/>
  <c r="F46" i="39"/>
  <c r="S46" i="39" s="1"/>
  <c r="H46" i="39"/>
  <c r="J46" i="39"/>
  <c r="W46" i="39" s="1"/>
  <c r="E103" i="39"/>
  <c r="F29" i="39" s="1"/>
  <c r="AA29" i="39" s="1"/>
  <c r="H39" i="39"/>
  <c r="AB39" i="39" s="1"/>
  <c r="J29" i="35"/>
  <c r="AC29" i="35"/>
  <c r="F29" i="35"/>
  <c r="S29" i="35"/>
  <c r="AC30" i="36"/>
  <c r="H38" i="34"/>
  <c r="U38" i="34"/>
  <c r="H30" i="40"/>
  <c r="AB30" i="40"/>
  <c r="J30" i="40"/>
  <c r="AC30" i="40"/>
  <c r="F38" i="40"/>
  <c r="AA38" i="40"/>
  <c r="W12" i="21"/>
  <c r="U8" i="21"/>
  <c r="S34" i="21"/>
  <c r="AB8" i="33"/>
  <c r="U8" i="33"/>
  <c r="E106" i="33"/>
  <c r="F106" i="33" s="1"/>
  <c r="G106" i="33" s="1"/>
  <c r="H106" i="33" s="1"/>
  <c r="I106" i="33" s="1"/>
  <c r="J106" i="33" s="1"/>
  <c r="K106" i="33" s="1"/>
  <c r="L106" i="33" s="1"/>
  <c r="M106" i="33" s="1"/>
  <c r="H34" i="33"/>
  <c r="F34" i="33"/>
  <c r="S34" i="33" s="1"/>
  <c r="E121" i="33"/>
  <c r="F121" i="33"/>
  <c r="G121" i="33" s="1"/>
  <c r="H121" i="33" s="1"/>
  <c r="I121" i="33" s="1"/>
  <c r="J121" i="33" s="1"/>
  <c r="K121" i="33" s="1"/>
  <c r="L121" i="33" s="1"/>
  <c r="M121" i="33" s="1"/>
  <c r="F41" i="33"/>
  <c r="S41" i="33" s="1"/>
  <c r="AC34" i="34"/>
  <c r="W34" i="34"/>
  <c r="E78" i="34"/>
  <c r="F78" i="34" s="1"/>
  <c r="G78" i="34" s="1"/>
  <c r="F15" i="34"/>
  <c r="AC28" i="35"/>
  <c r="W28" i="35"/>
  <c r="J20" i="35"/>
  <c r="AC20" i="35" s="1"/>
  <c r="H22" i="35"/>
  <c r="AB22" i="35" s="1"/>
  <c r="H23" i="35"/>
  <c r="U23" i="35" s="1"/>
  <c r="F23" i="35"/>
  <c r="AA23" i="35"/>
  <c r="U31" i="36"/>
  <c r="AA8" i="37"/>
  <c r="F15" i="40"/>
  <c r="AA15" i="40" s="1"/>
  <c r="J15" i="40"/>
  <c r="AC15" i="40" s="1"/>
  <c r="H15" i="40"/>
  <c r="AB15" i="40" s="1"/>
  <c r="E92" i="40"/>
  <c r="F92" i="40" s="1"/>
  <c r="G92" i="40" s="1"/>
  <c r="H23" i="40"/>
  <c r="U23" i="40" s="1"/>
  <c r="H41" i="40"/>
  <c r="AB41" i="40" s="1"/>
  <c r="F41" i="40"/>
  <c r="AA41" i="40" s="1"/>
  <c r="J41" i="40"/>
  <c r="W41" i="40" s="1"/>
  <c r="H36" i="33"/>
  <c r="AB36" i="33"/>
  <c r="H37" i="34"/>
  <c r="U37" i="34"/>
  <c r="H15" i="39"/>
  <c r="U15" i="39" s="1"/>
  <c r="H25" i="39"/>
  <c r="U25" i="39" s="1"/>
  <c r="J25" i="39"/>
  <c r="AC25" i="39"/>
  <c r="F25" i="39"/>
  <c r="F45" i="39"/>
  <c r="AA45" i="39" s="1"/>
  <c r="H45" i="39"/>
  <c r="U45" i="39" s="1"/>
  <c r="F47" i="39"/>
  <c r="AA47" i="39" s="1"/>
  <c r="H47" i="39"/>
  <c r="AB47" i="39" s="1"/>
  <c r="F41" i="39"/>
  <c r="AA41" i="39" s="1"/>
  <c r="H41" i="39"/>
  <c r="AB41" i="39" s="1"/>
  <c r="J41" i="39"/>
  <c r="E94" i="40"/>
  <c r="F94" i="40" s="1"/>
  <c r="G94" i="40" s="1"/>
  <c r="J25" i="40"/>
  <c r="AC25" i="40" s="1"/>
  <c r="J32" i="40"/>
  <c r="AC32" i="40" s="1"/>
  <c r="H32" i="40"/>
  <c r="U32" i="40" s="1"/>
  <c r="H33" i="40"/>
  <c r="AB33" i="40" s="1"/>
  <c r="F33" i="40"/>
  <c r="AA33" i="40" s="1"/>
  <c r="J33" i="40"/>
  <c r="AC33" i="40" s="1"/>
  <c r="J16" i="40"/>
  <c r="W16" i="40" s="1"/>
  <c r="J14" i="40"/>
  <c r="W14" i="40" s="1"/>
  <c r="H42" i="40"/>
  <c r="AB42" i="40" s="1"/>
  <c r="H40" i="40"/>
  <c r="U40" i="40"/>
  <c r="H34" i="40"/>
  <c r="U34" i="40"/>
  <c r="J42" i="40"/>
  <c r="AC42" i="40"/>
  <c r="J40" i="40"/>
  <c r="AC40" i="40"/>
  <c r="J34" i="40"/>
  <c r="H16" i="40"/>
  <c r="AB16" i="40" s="1"/>
  <c r="H14" i="40"/>
  <c r="U14" i="40" s="1"/>
  <c r="F32" i="40"/>
  <c r="M1" i="46"/>
  <c r="M6" i="46"/>
  <c r="M10" i="46"/>
  <c r="N2" i="46"/>
  <c r="N5" i="46"/>
  <c r="H49" i="46"/>
  <c r="N7" i="46"/>
  <c r="M7" i="46"/>
  <c r="M11" i="46"/>
  <c r="N3" i="46"/>
  <c r="N6" i="46"/>
  <c r="N10" i="46"/>
  <c r="H47" i="46"/>
  <c r="J13" i="40"/>
  <c r="W13" i="40"/>
  <c r="W40" i="40"/>
  <c r="AC14" i="40"/>
  <c r="S47" i="39"/>
  <c r="AB37" i="34"/>
  <c r="AC41" i="40"/>
  <c r="U41" i="40"/>
  <c r="J23" i="40"/>
  <c r="F23" i="40"/>
  <c r="S23" i="40"/>
  <c r="AB23" i="35"/>
  <c r="H20" i="35"/>
  <c r="F20" i="35"/>
  <c r="S20" i="35" s="1"/>
  <c r="H15" i="34"/>
  <c r="U15" i="34" s="1"/>
  <c r="J15" i="34"/>
  <c r="W15" i="34"/>
  <c r="H41" i="33"/>
  <c r="F30" i="40"/>
  <c r="S30" i="40" s="1"/>
  <c r="AB38" i="34"/>
  <c r="AA29" i="35"/>
  <c r="AA14" i="35"/>
  <c r="F33" i="37"/>
  <c r="AA33" i="37" s="1"/>
  <c r="U17" i="34"/>
  <c r="H15" i="33"/>
  <c r="U15" i="33" s="1"/>
  <c r="AA11" i="33"/>
  <c r="AB34" i="40"/>
  <c r="U42" i="40"/>
  <c r="W32" i="40"/>
  <c r="H25" i="40"/>
  <c r="AB25" i="40"/>
  <c r="J37" i="34"/>
  <c r="AC37" i="34" s="1"/>
  <c r="J36" i="33"/>
  <c r="W36" i="33" s="1"/>
  <c r="S41" i="40"/>
  <c r="S15" i="34"/>
  <c r="AA15" i="34"/>
  <c r="AA41" i="33"/>
  <c r="J34" i="33"/>
  <c r="AC34" i="33"/>
  <c r="W29" i="35"/>
  <c r="AB44" i="39"/>
  <c r="F32" i="37"/>
  <c r="S32" i="37" s="1"/>
  <c r="S46" i="34"/>
  <c r="U12" i="34"/>
  <c r="F17" i="34"/>
  <c r="AA17" i="34"/>
  <c r="J17" i="34"/>
  <c r="H11" i="34"/>
  <c r="AB11" i="34" s="1"/>
  <c r="J35" i="33"/>
  <c r="S32" i="33"/>
  <c r="H11" i="33"/>
  <c r="U11" i="33" s="1"/>
  <c r="H10" i="33"/>
  <c r="U10" i="33" s="1"/>
  <c r="J10" i="33"/>
  <c r="AC10" i="33" s="1"/>
  <c r="U40" i="21"/>
  <c r="AC13" i="40"/>
  <c r="J11" i="34"/>
  <c r="W11" i="34" s="1"/>
  <c r="AC36" i="33"/>
  <c r="F25" i="40"/>
  <c r="AA25" i="40"/>
  <c r="J11" i="33"/>
  <c r="H33" i="37"/>
  <c r="AB33" i="37" s="1"/>
  <c r="AC15" i="34"/>
  <c r="U20" i="35"/>
  <c r="AB20" i="35"/>
  <c r="AA44" i="39"/>
  <c r="AB31" i="39"/>
  <c r="AC21" i="39"/>
  <c r="J31" i="39"/>
  <c r="AC31" i="39" s="1"/>
  <c r="AC44" i="39"/>
  <c r="AA26" i="36"/>
  <c r="U25" i="36"/>
  <c r="H20" i="36"/>
  <c r="J20" i="36"/>
  <c r="AC20" i="36" s="1"/>
  <c r="F20" i="36"/>
  <c r="S20" i="36" s="1"/>
  <c r="J14" i="36"/>
  <c r="AC14" i="36" s="1"/>
  <c r="H14" i="36"/>
  <c r="AB14" i="36" s="1"/>
  <c r="F14" i="36"/>
  <c r="AA14" i="36"/>
  <c r="U27" i="36"/>
  <c r="AA27" i="36"/>
  <c r="U22" i="35"/>
  <c r="S8" i="35"/>
  <c r="S23" i="35"/>
  <c r="AB14" i="35"/>
  <c r="AC18" i="35"/>
  <c r="W18" i="35"/>
  <c r="U18" i="35"/>
  <c r="AB18" i="35"/>
  <c r="AB30" i="35"/>
  <c r="S27" i="35"/>
  <c r="S33" i="37"/>
  <c r="U32" i="37"/>
  <c r="J33" i="37"/>
  <c r="W33" i="37"/>
  <c r="J19" i="37"/>
  <c r="AC19" i="37" s="1"/>
  <c r="F19" i="37"/>
  <c r="AA19" i="37" s="1"/>
  <c r="H19" i="37"/>
  <c r="U19" i="37" s="1"/>
  <c r="J17" i="37"/>
  <c r="W17" i="37" s="1"/>
  <c r="S15" i="37"/>
  <c r="AC10" i="37"/>
  <c r="AC21" i="37"/>
  <c r="W21" i="37"/>
  <c r="U35" i="37"/>
  <c r="U8" i="37"/>
  <c r="AB25" i="37"/>
  <c r="AB21" i="37"/>
  <c r="U21" i="37"/>
  <c r="AA11" i="37"/>
  <c r="AB33" i="34"/>
  <c r="AC35" i="34"/>
  <c r="J25" i="34"/>
  <c r="H25" i="34"/>
  <c r="AB25" i="34" s="1"/>
  <c r="F25" i="34"/>
  <c r="S25" i="34" s="1"/>
  <c r="J23" i="34"/>
  <c r="W23" i="34"/>
  <c r="F23" i="34"/>
  <c r="H23" i="34"/>
  <c r="AB23" i="34" s="1"/>
  <c r="AC11" i="34"/>
  <c r="W37" i="34"/>
  <c r="W44" i="34"/>
  <c r="AC21" i="34"/>
  <c r="W21" i="34"/>
  <c r="AB21" i="34"/>
  <c r="U21" i="34"/>
  <c r="U19" i="34"/>
  <c r="AA41" i="34"/>
  <c r="S10" i="34"/>
  <c r="U39" i="33"/>
  <c r="S35" i="33"/>
  <c r="S29" i="33"/>
  <c r="W39" i="33"/>
  <c r="U35" i="33"/>
  <c r="H25" i="33"/>
  <c r="J25" i="33"/>
  <c r="W25" i="33" s="1"/>
  <c r="F25" i="33"/>
  <c r="S25" i="33" s="1"/>
  <c r="J23" i="33"/>
  <c r="F23" i="33"/>
  <c r="AA23" i="33" s="1"/>
  <c r="H23" i="33"/>
  <c r="AB23" i="33" s="1"/>
  <c r="F17" i="33"/>
  <c r="H17" i="33"/>
  <c r="AB17" i="33" s="1"/>
  <c r="J17" i="33"/>
  <c r="W17" i="33" s="1"/>
  <c r="S10" i="33"/>
  <c r="AC21" i="33"/>
  <c r="W21" i="33"/>
  <c r="AB21" i="33"/>
  <c r="U21" i="33"/>
  <c r="AA21" i="33"/>
  <c r="S21" i="33"/>
  <c r="AA44" i="33"/>
  <c r="S44" i="21"/>
  <c r="W39" i="21"/>
  <c r="W32" i="21"/>
  <c r="W43" i="21"/>
  <c r="W28" i="21"/>
  <c r="G77" i="21"/>
  <c r="W13" i="21"/>
  <c r="W44" i="21"/>
  <c r="U33" i="40"/>
  <c r="W11" i="40"/>
  <c r="AA21" i="40"/>
  <c r="U21" i="40"/>
  <c r="W25" i="40"/>
  <c r="U25" i="40"/>
  <c r="W42" i="40"/>
  <c r="F37" i="40"/>
  <c r="AA37" i="40"/>
  <c r="J37" i="40"/>
  <c r="AC37" i="40"/>
  <c r="H37" i="40"/>
  <c r="F39" i="40"/>
  <c r="S38" i="40"/>
  <c r="H39" i="40"/>
  <c r="J39" i="40"/>
  <c r="AC39" i="40" s="1"/>
  <c r="W38" i="40"/>
  <c r="F29" i="40"/>
  <c r="AA29" i="40"/>
  <c r="H29" i="40"/>
  <c r="J29" i="40"/>
  <c r="AC29" i="40" s="1"/>
  <c r="F98" i="40"/>
  <c r="G98" i="40" s="1"/>
  <c r="H98" i="40" s="1"/>
  <c r="I98" i="40" s="1"/>
  <c r="J98" i="40" s="1"/>
  <c r="K98" i="40" s="1"/>
  <c r="L98" i="40" s="1"/>
  <c r="M98" i="40" s="1"/>
  <c r="S25" i="40"/>
  <c r="AA23" i="40"/>
  <c r="F88" i="40"/>
  <c r="G88" i="40" s="1"/>
  <c r="F19" i="40"/>
  <c r="AA19" i="40" s="1"/>
  <c r="H19" i="40"/>
  <c r="U19" i="40" s="1"/>
  <c r="J19" i="40"/>
  <c r="W19" i="40"/>
  <c r="F17" i="40"/>
  <c r="AA17" i="40" s="1"/>
  <c r="H17" i="40"/>
  <c r="AB17" i="40" s="1"/>
  <c r="U10" i="40"/>
  <c r="U27" i="40"/>
  <c r="AB27" i="40"/>
  <c r="S11" i="39"/>
  <c r="U31" i="39"/>
  <c r="B22" i="63"/>
  <c r="A18" i="64"/>
  <c r="B74" i="63" s="1"/>
  <c r="H48" i="46"/>
  <c r="H52" i="46"/>
  <c r="H53" i="46"/>
  <c r="G22" i="43"/>
  <c r="G27" i="12"/>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A9" i="64"/>
  <c r="H58" i="46"/>
  <c r="H61" i="46"/>
  <c r="H62" i="46"/>
  <c r="H71" i="46"/>
  <c r="H75" i="46"/>
  <c r="H76" i="46"/>
  <c r="I100" i="46"/>
  <c r="B56" i="46"/>
  <c r="N100" i="46"/>
  <c r="H100" i="46"/>
  <c r="H80" i="46"/>
  <c r="B45" i="46"/>
  <c r="G100" i="46"/>
  <c r="H84" i="46"/>
  <c r="H65" i="46"/>
  <c r="H66" i="46"/>
  <c r="J100" i="46"/>
  <c r="M100" i="46"/>
  <c r="U13" i="37"/>
  <c r="S13" i="21"/>
  <c r="B6" i="63"/>
  <c r="B46" i="50"/>
  <c r="B4" i="63" s="1"/>
  <c r="H77" i="46"/>
  <c r="H73" i="46"/>
  <c r="H69" i="46"/>
  <c r="H74" i="46"/>
  <c r="H86" i="46"/>
  <c r="H82" i="46"/>
  <c r="H63" i="46"/>
  <c r="H59" i="46"/>
  <c r="H64" i="46"/>
  <c r="H60" i="46"/>
  <c r="H10" i="48"/>
  <c r="H87" i="46"/>
  <c r="H85" i="46"/>
  <c r="H83" i="46"/>
  <c r="R13" i="1"/>
  <c r="B10" i="1"/>
  <c r="E10" i="1"/>
  <c r="B8" i="1"/>
  <c r="E8" i="1"/>
  <c r="B12" i="1"/>
  <c r="E12" i="1"/>
  <c r="F66" i="36"/>
  <c r="H18" i="36"/>
  <c r="AB18" i="36" s="1"/>
  <c r="S25" i="36"/>
  <c r="AC27" i="36"/>
  <c r="W28" i="36"/>
  <c r="AA22" i="36"/>
  <c r="W32" i="35"/>
  <c r="U32" i="35"/>
  <c r="W34" i="35"/>
  <c r="AC33" i="37"/>
  <c r="AA13" i="37"/>
  <c r="W36" i="37"/>
  <c r="W13" i="37"/>
  <c r="AB35" i="34"/>
  <c r="AB47" i="34"/>
  <c r="S8" i="34"/>
  <c r="AB42" i="33"/>
  <c r="S15" i="33"/>
  <c r="S39" i="21"/>
  <c r="W25" i="21"/>
  <c r="U27" i="21"/>
  <c r="W31" i="21"/>
  <c r="S27" i="21"/>
  <c r="W29" i="21"/>
  <c r="G96" i="40"/>
  <c r="J27" i="40"/>
  <c r="AC27" i="40"/>
  <c r="W37" i="40"/>
  <c r="S17" i="40"/>
  <c r="W30" i="40"/>
  <c r="S34" i="40"/>
  <c r="U38" i="40"/>
  <c r="S42" i="40"/>
  <c r="W42" i="39"/>
  <c r="W36" i="39"/>
  <c r="W25" i="39"/>
  <c r="W10" i="39"/>
  <c r="U42" i="39"/>
  <c r="C27" i="39"/>
  <c r="C19" i="39"/>
  <c r="C23" i="40"/>
  <c r="B59" i="46"/>
  <c r="B64" i="46"/>
  <c r="D24" i="15"/>
  <c r="AG6" i="1"/>
  <c r="U14" i="36"/>
  <c r="W19" i="37"/>
  <c r="AC17" i="37"/>
  <c r="AA25" i="34"/>
  <c r="W25" i="34"/>
  <c r="AC25" i="34"/>
  <c r="U23" i="34"/>
  <c r="AA23" i="34"/>
  <c r="S23" i="34"/>
  <c r="U23" i="33"/>
  <c r="W23" i="33"/>
  <c r="AC23" i="33"/>
  <c r="S23" i="33"/>
  <c r="AC17" i="33"/>
  <c r="AA17" i="33"/>
  <c r="S17" i="33"/>
  <c r="AB39" i="40"/>
  <c r="U39" i="40"/>
  <c r="AA39" i="40"/>
  <c r="S39" i="40"/>
  <c r="U37" i="40"/>
  <c r="AB37" i="40"/>
  <c r="S37" i="40"/>
  <c r="U29" i="40"/>
  <c r="AB29" i="40"/>
  <c r="S29" i="40"/>
  <c r="AC19" i="40"/>
  <c r="AB19" i="40"/>
  <c r="W27" i="40"/>
  <c r="W31" i="39"/>
  <c r="AT6" i="3"/>
  <c r="H70" i="46"/>
  <c r="H72" i="46"/>
  <c r="A9" i="51"/>
  <c r="B9" i="63" s="1"/>
  <c r="E4" i="4"/>
  <c r="B21" i="55" s="1"/>
  <c r="B72" i="63" s="1"/>
  <c r="C4" i="4"/>
  <c r="B20" i="55"/>
  <c r="B70" i="63" s="1"/>
  <c r="G66" i="36"/>
  <c r="J18" i="36"/>
  <c r="W18" i="36"/>
  <c r="AE6" i="1"/>
  <c r="F33" i="44"/>
  <c r="F31" i="15"/>
  <c r="F58" i="15"/>
  <c r="M17" i="15"/>
  <c r="M19" i="44"/>
  <c r="AC18" i="36"/>
  <c r="C45" i="9"/>
  <c r="H14" i="66" s="1"/>
  <c r="D77" i="9"/>
  <c r="N75" i="9"/>
  <c r="K31" i="9"/>
  <c r="K32" i="9"/>
  <c r="C46" i="9"/>
  <c r="K33" i="9"/>
  <c r="K34" i="9" s="1"/>
  <c r="O41" i="9"/>
  <c r="R8" i="54" s="1"/>
  <c r="B54" i="63" s="1"/>
  <c r="I14" i="66"/>
  <c r="B8" i="66" s="1"/>
  <c r="S17" i="34"/>
  <c r="AB32" i="40"/>
  <c r="AA23" i="37"/>
  <c r="AA30" i="33"/>
  <c r="W37" i="33"/>
  <c r="AC37" i="33"/>
  <c r="AA37" i="34"/>
  <c r="S37" i="34"/>
  <c r="C29" i="39"/>
  <c r="AB17" i="37"/>
  <c r="AA22" i="35"/>
  <c r="B70" i="46"/>
  <c r="F9" i="33"/>
  <c r="U45" i="33"/>
  <c r="D27" i="59"/>
  <c r="C28" i="59"/>
  <c r="C31" i="59"/>
  <c r="D31" i="59" s="1"/>
  <c r="D30" i="59"/>
  <c r="C43" i="59"/>
  <c r="D42" i="59"/>
  <c r="P51" i="59"/>
  <c r="E50" i="59"/>
  <c r="P50" i="59" s="1"/>
  <c r="AC8" i="37"/>
  <c r="H28" i="34"/>
  <c r="AB27" i="37"/>
  <c r="J14" i="37"/>
  <c r="F14" i="37"/>
  <c r="S14" i="37" s="1"/>
  <c r="J28" i="37"/>
  <c r="W28" i="37" s="1"/>
  <c r="H35" i="35"/>
  <c r="F35" i="35"/>
  <c r="S35" i="35" s="1"/>
  <c r="F25" i="35"/>
  <c r="S25" i="35"/>
  <c r="J13" i="35"/>
  <c r="J40" i="37"/>
  <c r="AC40" i="37" s="1"/>
  <c r="F13" i="36"/>
  <c r="H31" i="33"/>
  <c r="U34" i="37"/>
  <c r="J28" i="34"/>
  <c r="U29" i="36"/>
  <c r="W36" i="35"/>
  <c r="U31" i="35"/>
  <c r="AC31" i="36"/>
  <c r="U30" i="37"/>
  <c r="J15" i="21"/>
  <c r="AC15" i="21" s="1"/>
  <c r="J17" i="21"/>
  <c r="AC17" i="21" s="1"/>
  <c r="H17" i="21"/>
  <c r="AB17" i="21"/>
  <c r="H35" i="21"/>
  <c r="AB35" i="21"/>
  <c r="F38" i="21"/>
  <c r="S38" i="21"/>
  <c r="H38" i="21"/>
  <c r="AB38" i="21"/>
  <c r="H9" i="36"/>
  <c r="E26" i="57"/>
  <c r="C35" i="59"/>
  <c r="D34" i="59"/>
  <c r="E8" i="46"/>
  <c r="E10" i="46"/>
  <c r="C7" i="46" s="1"/>
  <c r="E9" i="46"/>
  <c r="E11" i="46"/>
  <c r="C11" i="59"/>
  <c r="D12" i="59"/>
  <c r="T12" i="59"/>
  <c r="U12" i="59"/>
  <c r="E11" i="59"/>
  <c r="E10" i="59"/>
  <c r="S21" i="37"/>
  <c r="C59" i="59"/>
  <c r="D59" i="59" s="1"/>
  <c r="U52" i="59"/>
  <c r="B51" i="59"/>
  <c r="AD12" i="46"/>
  <c r="AH12" i="46"/>
  <c r="F108" i="46"/>
  <c r="E108" i="46"/>
  <c r="F17" i="21"/>
  <c r="J21" i="21"/>
  <c r="W21" i="21" s="1"/>
  <c r="F21" i="21"/>
  <c r="AA21" i="21" s="1"/>
  <c r="F35" i="46"/>
  <c r="F38" i="46"/>
  <c r="J17" i="46"/>
  <c r="H17" i="46"/>
  <c r="C16" i="46" s="1"/>
  <c r="H46" i="21"/>
  <c r="H44" i="21"/>
  <c r="AB44" i="21" s="1"/>
  <c r="H21" i="21"/>
  <c r="U21" i="21" s="1"/>
  <c r="J10" i="21"/>
  <c r="AC10" i="21"/>
  <c r="F10" i="21"/>
  <c r="BA298" i="3"/>
  <c r="AZ298" i="3" s="1"/>
  <c r="BL295" i="3"/>
  <c r="BA294" i="3"/>
  <c r="AZ294" i="3" s="1"/>
  <c r="BL297" i="3"/>
  <c r="AZ297" i="3" s="1"/>
  <c r="BA296" i="3"/>
  <c r="AZ296" i="3" s="1"/>
  <c r="BL293" i="3"/>
  <c r="AZ293" i="3" s="1"/>
  <c r="BA292" i="3"/>
  <c r="AZ292" i="3" s="1"/>
  <c r="BA78" i="3"/>
  <c r="AZ78" i="3" s="1"/>
  <c r="BL75" i="3"/>
  <c r="AZ75" i="3" s="1"/>
  <c r="BA74" i="3"/>
  <c r="AZ74" i="3" s="1"/>
  <c r="BL71" i="3"/>
  <c r="AZ71" i="3" s="1"/>
  <c r="BA70" i="3"/>
  <c r="AZ70" i="3" s="1"/>
  <c r="BL67" i="3"/>
  <c r="AZ67" i="3" s="1"/>
  <c r="BA66" i="3"/>
  <c r="AZ66" i="3" s="1"/>
  <c r="BL63" i="3"/>
  <c r="AZ63" i="3" s="1"/>
  <c r="BL77" i="3"/>
  <c r="BA76" i="3"/>
  <c r="AZ76" i="3" s="1"/>
  <c r="BL73" i="3"/>
  <c r="BA72" i="3"/>
  <c r="AZ72" i="3" s="1"/>
  <c r="BL69" i="3"/>
  <c r="BA68" i="3"/>
  <c r="AZ68" i="3" s="1"/>
  <c r="BL65" i="3"/>
  <c r="BA64" i="3"/>
  <c r="AZ64" i="3" s="1"/>
  <c r="BL29" i="3"/>
  <c r="BA28" i="3"/>
  <c r="BA24" i="3"/>
  <c r="BL21" i="3"/>
  <c r="BA30" i="3"/>
  <c r="BL27" i="3"/>
  <c r="BL23" i="3"/>
  <c r="F23" i="21"/>
  <c r="S23" i="21" s="1"/>
  <c r="H23" i="21"/>
  <c r="J23" i="21"/>
  <c r="F85" i="21"/>
  <c r="G85" i="21" s="1"/>
  <c r="J19" i="21"/>
  <c r="AC19" i="21" s="1"/>
  <c r="H15" i="21"/>
  <c r="U15" i="21"/>
  <c r="W10" i="21"/>
  <c r="S21" i="21"/>
  <c r="D35" i="59"/>
  <c r="C36" i="59"/>
  <c r="T36" i="59"/>
  <c r="W17" i="21"/>
  <c r="AC28" i="34"/>
  <c r="W28" i="34"/>
  <c r="AB35" i="35"/>
  <c r="U35" i="35"/>
  <c r="AC14" i="37"/>
  <c r="W14" i="37"/>
  <c r="AB28" i="34"/>
  <c r="U28" i="34"/>
  <c r="C44" i="59"/>
  <c r="T44" i="59"/>
  <c r="D43" i="59"/>
  <c r="AA10" i="21"/>
  <c r="S10" i="21"/>
  <c r="AB21" i="21"/>
  <c r="AB46" i="21"/>
  <c r="U46" i="21"/>
  <c r="AC21" i="21"/>
  <c r="B50" i="59"/>
  <c r="N51" i="59"/>
  <c r="C10" i="59"/>
  <c r="D10" i="59"/>
  <c r="D11" i="59"/>
  <c r="U38" i="21"/>
  <c r="AA38" i="21"/>
  <c r="U17" i="21"/>
  <c r="S13" i="36"/>
  <c r="AA13" i="36"/>
  <c r="AC13" i="35"/>
  <c r="W13" i="35"/>
  <c r="AA25" i="35"/>
  <c r="AA35" i="35"/>
  <c r="AA14" i="37"/>
  <c r="D28" i="59"/>
  <c r="T28" i="59"/>
  <c r="AA23" i="21"/>
  <c r="AB23" i="21"/>
  <c r="U23" i="21"/>
  <c r="W19" i="21"/>
  <c r="AB15" i="21"/>
  <c r="S15" i="21"/>
  <c r="D44" i="59"/>
  <c r="D36" i="59"/>
  <c r="D24" i="44"/>
  <c r="F32" i="77"/>
  <c r="F59" i="77"/>
  <c r="F28" i="77"/>
  <c r="M18" i="77"/>
  <c r="G1" i="77"/>
  <c r="F3" i="35"/>
  <c r="N16" i="4"/>
  <c r="AP6" i="1"/>
  <c r="R16" i="4"/>
  <c r="G26" i="3"/>
  <c r="G25" i="3"/>
  <c r="G24" i="3"/>
  <c r="BL28" i="3"/>
  <c r="AZ28" i="3"/>
  <c r="AZ30" i="3"/>
  <c r="BA16" i="3"/>
  <c r="BL31" i="3"/>
  <c r="BL22" i="3"/>
  <c r="BA22" i="3"/>
  <c r="BG5" i="3"/>
  <c r="D22" i="72"/>
  <c r="G23" i="43"/>
  <c r="D26" i="44"/>
  <c r="G26" i="12"/>
  <c r="G28" i="12"/>
  <c r="B11" i="1"/>
  <c r="E11" i="1" s="1"/>
  <c r="G1" i="15"/>
  <c r="K1" i="43"/>
  <c r="G1" i="44"/>
  <c r="BL26" i="3"/>
  <c r="BL25" i="3"/>
  <c r="BA20" i="3"/>
  <c r="AZ20" i="3"/>
  <c r="G21" i="3"/>
  <c r="E9" i="12"/>
  <c r="BA26" i="3"/>
  <c r="AZ26" i="3"/>
  <c r="G27" i="3"/>
  <c r="G23" i="3"/>
  <c r="G16" i="3"/>
  <c r="BK5" i="3"/>
  <c r="BI5" i="3"/>
  <c r="BE5" i="3"/>
  <c r="BJ5" i="3"/>
  <c r="BH5" i="3"/>
  <c r="BF5" i="3"/>
  <c r="G18" i="3"/>
  <c r="W36" i="21"/>
  <c r="G83" i="39"/>
  <c r="H83" i="39" s="1"/>
  <c r="I83" i="39" s="1"/>
  <c r="J83" i="39" s="1"/>
  <c r="K83" i="39" s="1"/>
  <c r="L83" i="39" s="1"/>
  <c r="M83" i="39" s="1"/>
  <c r="C5" i="46"/>
  <c r="K1" i="12"/>
  <c r="U35" i="21"/>
  <c r="G123" i="21"/>
  <c r="H123" i="21"/>
  <c r="I123" i="21" s="1"/>
  <c r="J123" i="21"/>
  <c r="K123" i="21" s="1"/>
  <c r="L123" i="21" s="1"/>
  <c r="M123" i="21" s="1"/>
  <c r="J42" i="21"/>
  <c r="H42" i="21"/>
  <c r="AB42" i="21" s="1"/>
  <c r="F42" i="21"/>
  <c r="F8" i="1"/>
  <c r="AP8" i="1" s="1"/>
  <c r="BD5" i="3"/>
  <c r="G19" i="3"/>
  <c r="BL19" i="3"/>
  <c r="D96" i="9"/>
  <c r="D111" i="9"/>
  <c r="F27" i="43"/>
  <c r="F72" i="9"/>
  <c r="F29" i="12"/>
  <c r="F70" i="9"/>
  <c r="M20" i="44"/>
  <c r="F30" i="44"/>
  <c r="M18" i="15"/>
  <c r="F32" i="72"/>
  <c r="F59" i="72"/>
  <c r="M18" i="72"/>
  <c r="F34" i="44"/>
  <c r="F71" i="9"/>
  <c r="D86" i="9"/>
  <c r="F31" i="43"/>
  <c r="F28" i="15"/>
  <c r="F66" i="9"/>
  <c r="P72" i="9"/>
  <c r="F28" i="72"/>
  <c r="F32" i="15"/>
  <c r="F59" i="15" s="1"/>
  <c r="M20" i="72"/>
  <c r="AC5" i="3"/>
  <c r="BL18" i="3"/>
  <c r="BA18" i="3"/>
  <c r="BL17" i="3"/>
  <c r="G17" i="3"/>
  <c r="G1" i="72"/>
  <c r="D9" i="12"/>
  <c r="T41" i="4"/>
  <c r="A17" i="64"/>
  <c r="K5" i="54"/>
  <c r="L5" i="54"/>
  <c r="B39" i="63" s="1"/>
  <c r="G12" i="1"/>
  <c r="G13" i="1"/>
  <c r="C20" i="46"/>
  <c r="W46" i="33"/>
  <c r="AC13" i="34"/>
  <c r="W29" i="34"/>
  <c r="U31" i="34"/>
  <c r="AB45" i="34"/>
  <c r="S47" i="34"/>
  <c r="S24" i="36"/>
  <c r="AB25" i="33"/>
  <c r="U25" i="33"/>
  <c r="AC17" i="34"/>
  <c r="W17" i="34"/>
  <c r="AC41" i="39"/>
  <c r="W41" i="39"/>
  <c r="W20" i="35"/>
  <c r="U39" i="39"/>
  <c r="AA46" i="39"/>
  <c r="AC30" i="34"/>
  <c r="W33" i="34"/>
  <c r="W16" i="35"/>
  <c r="AC16" i="35"/>
  <c r="AC21" i="40"/>
  <c r="W21" i="40"/>
  <c r="S31" i="37"/>
  <c r="AA31" i="37"/>
  <c r="W43" i="33"/>
  <c r="AB30" i="33"/>
  <c r="B7" i="66"/>
  <c r="W29" i="40"/>
  <c r="AC23" i="34"/>
  <c r="S14" i="36"/>
  <c r="C19" i="40"/>
  <c r="S41" i="39"/>
  <c r="W47" i="34"/>
  <c r="AB40" i="40"/>
  <c r="U36" i="33"/>
  <c r="W34" i="33"/>
  <c r="U27" i="34"/>
  <c r="U44" i="34"/>
  <c r="U30" i="34"/>
  <c r="W46" i="34"/>
  <c r="AA20" i="35"/>
  <c r="U20" i="36"/>
  <c r="AB20" i="36"/>
  <c r="S8" i="36"/>
  <c r="W11" i="33"/>
  <c r="AC11" i="33"/>
  <c r="U11" i="37"/>
  <c r="U11" i="34"/>
  <c r="U30" i="40"/>
  <c r="U46" i="34"/>
  <c r="AB21" i="39"/>
  <c r="AA30" i="40"/>
  <c r="AB15" i="34"/>
  <c r="W15" i="40"/>
  <c r="AC23" i="40"/>
  <c r="W23" i="40"/>
  <c r="AA32" i="40"/>
  <c r="S32" i="40"/>
  <c r="U41" i="39"/>
  <c r="AC47" i="39"/>
  <c r="AB45" i="39"/>
  <c r="AA25" i="39"/>
  <c r="S25" i="39"/>
  <c r="AB25" i="39"/>
  <c r="S39" i="34"/>
  <c r="AA34" i="33"/>
  <c r="F103" i="39"/>
  <c r="H29" i="39"/>
  <c r="U29" i="39" s="1"/>
  <c r="U46" i="39"/>
  <c r="AB46" i="39"/>
  <c r="AA21" i="39"/>
  <c r="S11" i="36"/>
  <c r="AA11" i="36"/>
  <c r="AB8" i="35"/>
  <c r="AB32" i="34"/>
  <c r="S30" i="34"/>
  <c r="AA30" i="34"/>
  <c r="W14" i="34"/>
  <c r="U13" i="33"/>
  <c r="AB13" i="33"/>
  <c r="AB28" i="35"/>
  <c r="AA11" i="34"/>
  <c r="U16" i="36"/>
  <c r="AB13" i="40"/>
  <c r="AA43" i="33"/>
  <c r="S43" i="33"/>
  <c r="W27" i="37"/>
  <c r="F45" i="34"/>
  <c r="S45" i="34" s="1"/>
  <c r="H46" i="33"/>
  <c r="U46" i="33" s="1"/>
  <c r="AC30" i="33"/>
  <c r="W30" i="33"/>
  <c r="W14" i="33"/>
  <c r="AB14" i="33"/>
  <c r="W11" i="36"/>
  <c r="AC11" i="36"/>
  <c r="S30" i="35"/>
  <c r="S28" i="33"/>
  <c r="AA44" i="34"/>
  <c r="S19" i="33"/>
  <c r="AA19" i="33"/>
  <c r="AB33" i="35"/>
  <c r="U33" i="35"/>
  <c r="AC29" i="36"/>
  <c r="W29" i="36"/>
  <c r="AB32" i="33"/>
  <c r="E115" i="21"/>
  <c r="F115" i="21" s="1"/>
  <c r="G115" i="21"/>
  <c r="H115" i="21" s="1"/>
  <c r="I115" i="21" s="1"/>
  <c r="J115" i="21" s="1"/>
  <c r="K115" i="21" s="1"/>
  <c r="L115" i="21" s="1"/>
  <c r="M115" i="21" s="1"/>
  <c r="J38" i="21"/>
  <c r="B48" i="46"/>
  <c r="C23" i="39"/>
  <c r="B73" i="46"/>
  <c r="B53" i="46"/>
  <c r="B80" i="46"/>
  <c r="C17" i="40"/>
  <c r="U27" i="33"/>
  <c r="J26" i="33"/>
  <c r="AC26" i="33" s="1"/>
  <c r="AC8" i="34"/>
  <c r="W8" i="34"/>
  <c r="AA34" i="34"/>
  <c r="S34" i="34"/>
  <c r="U39" i="34"/>
  <c r="AB10" i="34"/>
  <c r="U10" i="34"/>
  <c r="H12" i="35"/>
  <c r="U12" i="35" s="1"/>
  <c r="F12" i="35"/>
  <c r="AA12" i="35" s="1"/>
  <c r="F24" i="35"/>
  <c r="AA24" i="35" s="1"/>
  <c r="U8" i="36"/>
  <c r="AB8" i="36"/>
  <c r="H12" i="36"/>
  <c r="AB12" i="36" s="1"/>
  <c r="W23" i="36"/>
  <c r="AB26" i="36"/>
  <c r="U26" i="36"/>
  <c r="H13" i="36"/>
  <c r="J13" i="36"/>
  <c r="W13" i="36" s="1"/>
  <c r="AA32" i="36"/>
  <c r="F33" i="36"/>
  <c r="S33" i="36" s="1"/>
  <c r="S26" i="37"/>
  <c r="W35" i="37"/>
  <c r="U36" i="37"/>
  <c r="H43" i="39"/>
  <c r="U43" i="39" s="1"/>
  <c r="H35" i="40"/>
  <c r="AB35" i="40" s="1"/>
  <c r="J35" i="40"/>
  <c r="W35" i="40" s="1"/>
  <c r="W31" i="35"/>
  <c r="AA30" i="36"/>
  <c r="S30" i="36"/>
  <c r="U33" i="37"/>
  <c r="W35" i="33"/>
  <c r="AC35" i="33"/>
  <c r="AA32" i="37"/>
  <c r="U41" i="33"/>
  <c r="AB41" i="33"/>
  <c r="AB14" i="40"/>
  <c r="AC34" i="40"/>
  <c r="W34" i="40"/>
  <c r="U47" i="39"/>
  <c r="W45" i="39"/>
  <c r="U34" i="33"/>
  <c r="AB34" i="33"/>
  <c r="AB11" i="36"/>
  <c r="AA32" i="34"/>
  <c r="S12" i="34"/>
  <c r="AA12" i="34"/>
  <c r="AC12" i="34"/>
  <c r="W13" i="33"/>
  <c r="AA17" i="37"/>
  <c r="S17" i="37"/>
  <c r="AA27" i="37"/>
  <c r="S27" i="37"/>
  <c r="AC38" i="37"/>
  <c r="W45" i="34"/>
  <c r="AC31" i="34"/>
  <c r="W31" i="34"/>
  <c r="AA13" i="34"/>
  <c r="U13" i="34"/>
  <c r="AB13" i="34"/>
  <c r="U44" i="33"/>
  <c r="AA14" i="33"/>
  <c r="W28" i="33"/>
  <c r="AC28" i="33"/>
  <c r="W10" i="35"/>
  <c r="AC10" i="35"/>
  <c r="S36" i="33"/>
  <c r="S33" i="34"/>
  <c r="U16" i="35"/>
  <c r="S34" i="36"/>
  <c r="AA34" i="36"/>
  <c r="S12" i="36"/>
  <c r="U10" i="35"/>
  <c r="AB10" i="35"/>
  <c r="S36" i="34"/>
  <c r="AA36" i="34"/>
  <c r="AA29" i="36"/>
  <c r="S29" i="36"/>
  <c r="F19" i="21"/>
  <c r="S19" i="21" s="1"/>
  <c r="G81" i="21"/>
  <c r="E108" i="21"/>
  <c r="F108" i="21" s="1"/>
  <c r="G108" i="21"/>
  <c r="H108" i="21" s="1"/>
  <c r="I108" i="21" s="1"/>
  <c r="J108" i="21" s="1"/>
  <c r="K108" i="21" s="1"/>
  <c r="L108" i="21" s="1"/>
  <c r="M108" i="21" s="1"/>
  <c r="F35" i="21"/>
  <c r="J35" i="21"/>
  <c r="AC35" i="21" s="1"/>
  <c r="B55" i="46"/>
  <c r="B62" i="46"/>
  <c r="AB8" i="34"/>
  <c r="S9" i="34"/>
  <c r="U34" i="34"/>
  <c r="AA43" i="34"/>
  <c r="S43" i="34"/>
  <c r="F27" i="34"/>
  <c r="S27" i="34" s="1"/>
  <c r="AB40" i="34"/>
  <c r="H9" i="35"/>
  <c r="J9" i="35"/>
  <c r="W9" i="35" s="1"/>
  <c r="F9" i="35"/>
  <c r="J12" i="33"/>
  <c r="W12" i="33" s="1"/>
  <c r="F12" i="33"/>
  <c r="S12" i="33" s="1"/>
  <c r="J31" i="33"/>
  <c r="AC31" i="33" s="1"/>
  <c r="F13" i="35"/>
  <c r="H13" i="35"/>
  <c r="AB13" i="35" s="1"/>
  <c r="J25" i="35"/>
  <c r="H25" i="35"/>
  <c r="AB25" i="35" s="1"/>
  <c r="W8" i="36"/>
  <c r="H24" i="36"/>
  <c r="AB24" i="36" s="1"/>
  <c r="H34" i="36"/>
  <c r="J34" i="36"/>
  <c r="AC34" i="36" s="1"/>
  <c r="S31" i="36"/>
  <c r="AA31" i="36"/>
  <c r="S10" i="37"/>
  <c r="AA25" i="37"/>
  <c r="S25" i="37"/>
  <c r="AB29" i="37"/>
  <c r="AB14" i="37"/>
  <c r="F39" i="37"/>
  <c r="S39" i="37" s="1"/>
  <c r="F14" i="39"/>
  <c r="AA14" i="39" s="1"/>
  <c r="H14" i="39"/>
  <c r="J14" i="39"/>
  <c r="H16" i="39"/>
  <c r="AB16" i="39" s="1"/>
  <c r="F38" i="39"/>
  <c r="AA38" i="39" s="1"/>
  <c r="J38" i="39"/>
  <c r="H38" i="39"/>
  <c r="AB38" i="39" s="1"/>
  <c r="D18" i="59"/>
  <c r="C19" i="59"/>
  <c r="F7" i="59"/>
  <c r="F6" i="59" s="1"/>
  <c r="F5" i="59"/>
  <c r="V8" i="59"/>
  <c r="D3" i="21"/>
  <c r="E32" i="6"/>
  <c r="AZ562" i="3"/>
  <c r="AZ550" i="3"/>
  <c r="D1" i="57"/>
  <c r="E10" i="57" s="1"/>
  <c r="D38" i="59"/>
  <c r="C39" i="59"/>
  <c r="C7" i="59"/>
  <c r="D7" i="59" s="1"/>
  <c r="T8" i="59"/>
  <c r="D8" i="59"/>
  <c r="F37" i="21"/>
  <c r="J37" i="21"/>
  <c r="AC37" i="21" s="1"/>
  <c r="H37" i="21"/>
  <c r="AZ572" i="3"/>
  <c r="AZ568" i="3"/>
  <c r="AZ564" i="3"/>
  <c r="AZ556" i="3"/>
  <c r="AZ552" i="3"/>
  <c r="AZ536" i="3"/>
  <c r="L100" i="46"/>
  <c r="S21" i="34"/>
  <c r="F31" i="39"/>
  <c r="AA31" i="39" s="1"/>
  <c r="C70" i="59"/>
  <c r="D70" i="59"/>
  <c r="C67" i="59"/>
  <c r="C63" i="59"/>
  <c r="D56" i="59"/>
  <c r="E55" i="59"/>
  <c r="E54" i="59" s="1"/>
  <c r="D26" i="59"/>
  <c r="S52" i="59"/>
  <c r="AC12" i="46"/>
  <c r="AG12" i="46"/>
  <c r="Z12" i="46"/>
  <c r="AF12" i="46"/>
  <c r="C23" i="59"/>
  <c r="C24" i="59" s="1"/>
  <c r="T24" i="59" s="1"/>
  <c r="C15" i="59"/>
  <c r="X6" i="59"/>
  <c r="Y6" i="59"/>
  <c r="Z6" i="59"/>
  <c r="F34" i="15"/>
  <c r="F61" i="15" s="1"/>
  <c r="BA522" i="3"/>
  <c r="AZ522" i="3" s="1"/>
  <c r="BA518" i="3"/>
  <c r="AZ518" i="3" s="1"/>
  <c r="BA514" i="3"/>
  <c r="AZ514" i="3" s="1"/>
  <c r="BA510" i="3"/>
  <c r="AZ510" i="3" s="1"/>
  <c r="BA506" i="3"/>
  <c r="AZ506" i="3" s="1"/>
  <c r="BA502" i="3"/>
  <c r="AZ502" i="3" s="1"/>
  <c r="BA498" i="3"/>
  <c r="AZ498" i="3" s="1"/>
  <c r="BA494" i="3"/>
  <c r="AZ494" i="3" s="1"/>
  <c r="BA490" i="3"/>
  <c r="AZ490" i="3" s="1"/>
  <c r="BA489" i="3"/>
  <c r="AZ489" i="3" s="1"/>
  <c r="AZ486" i="3"/>
  <c r="AZ482" i="3"/>
  <c r="AZ478" i="3"/>
  <c r="AZ474" i="3"/>
  <c r="AZ470" i="3"/>
  <c r="AZ466" i="3"/>
  <c r="AZ462" i="3"/>
  <c r="AZ458" i="3"/>
  <c r="AZ454" i="3"/>
  <c r="AZ450" i="3"/>
  <c r="AZ446" i="3"/>
  <c r="AZ442" i="3"/>
  <c r="AZ438" i="3"/>
  <c r="AZ434" i="3"/>
  <c r="AZ430" i="3"/>
  <c r="AZ426" i="3"/>
  <c r="AZ422" i="3"/>
  <c r="AZ418" i="3"/>
  <c r="AZ414" i="3"/>
  <c r="AZ410" i="3"/>
  <c r="AZ406" i="3"/>
  <c r="AZ402" i="3"/>
  <c r="AZ398" i="3"/>
  <c r="AZ394" i="3"/>
  <c r="AZ390" i="3"/>
  <c r="AZ386" i="3"/>
  <c r="AZ382" i="3"/>
  <c r="AZ378" i="3"/>
  <c r="AZ374" i="3"/>
  <c r="AZ370" i="3"/>
  <c r="AZ366" i="3"/>
  <c r="AZ362" i="3"/>
  <c r="AZ358" i="3"/>
  <c r="AZ350" i="3"/>
  <c r="BA520" i="3"/>
  <c r="AZ520" i="3"/>
  <c r="BA516" i="3"/>
  <c r="AZ516" i="3"/>
  <c r="BA512" i="3"/>
  <c r="AZ512" i="3"/>
  <c r="BA508" i="3"/>
  <c r="AZ508" i="3"/>
  <c r="BA504" i="3"/>
  <c r="AZ504" i="3"/>
  <c r="BA500" i="3"/>
  <c r="AZ500" i="3"/>
  <c r="BA496" i="3"/>
  <c r="AZ496" i="3"/>
  <c r="BA492" i="3"/>
  <c r="AZ492" i="3"/>
  <c r="BL319" i="3"/>
  <c r="AZ319" i="3" s="1"/>
  <c r="BA319" i="3"/>
  <c r="AZ311" i="3"/>
  <c r="AZ303" i="3"/>
  <c r="AZ289" i="3"/>
  <c r="AZ281" i="3"/>
  <c r="AZ273" i="3"/>
  <c r="AZ265" i="3"/>
  <c r="AZ257" i="3"/>
  <c r="AZ249" i="3"/>
  <c r="AZ241" i="3"/>
  <c r="AZ233" i="3"/>
  <c r="AZ225" i="3"/>
  <c r="AZ217" i="3"/>
  <c r="AZ209" i="3"/>
  <c r="AZ201" i="3"/>
  <c r="AZ193" i="3"/>
  <c r="AZ185" i="3"/>
  <c r="AZ177" i="3"/>
  <c r="AZ317" i="3"/>
  <c r="AZ309" i="3"/>
  <c r="AZ301" i="3"/>
  <c r="BA163" i="3"/>
  <c r="BA159" i="3"/>
  <c r="BA155" i="3"/>
  <c r="AZ155" i="3"/>
  <c r="AZ151" i="3"/>
  <c r="AZ143" i="3"/>
  <c r="AZ135" i="3"/>
  <c r="AZ127" i="3"/>
  <c r="AZ111" i="3"/>
  <c r="BA161" i="3"/>
  <c r="AZ161" i="3"/>
  <c r="BA157" i="3"/>
  <c r="AZ157" i="3"/>
  <c r="BA153" i="3"/>
  <c r="AZ153" i="3"/>
  <c r="BA152" i="3"/>
  <c r="AZ152" i="3"/>
  <c r="AZ97" i="3"/>
  <c r="AZ85" i="3"/>
  <c r="AZ61" i="3"/>
  <c r="BA55" i="3"/>
  <c r="BA51" i="3"/>
  <c r="BA47" i="3"/>
  <c r="BA43" i="3"/>
  <c r="BA39" i="3"/>
  <c r="BA35" i="3"/>
  <c r="BA31" i="3"/>
  <c r="AZ31" i="3" s="1"/>
  <c r="BA27" i="3"/>
  <c r="AZ27" i="3" s="1"/>
  <c r="BA23" i="3"/>
  <c r="AZ23" i="3" s="1"/>
  <c r="BA19" i="3"/>
  <c r="AZ19" i="3" s="1"/>
  <c r="BA57" i="3"/>
  <c r="BA53" i="3"/>
  <c r="AZ53" i="3" s="1"/>
  <c r="BA49" i="3"/>
  <c r="AZ49" i="3" s="1"/>
  <c r="BA45" i="3"/>
  <c r="AZ45" i="3" s="1"/>
  <c r="BA41" i="3"/>
  <c r="AZ41" i="3" s="1"/>
  <c r="BA37" i="3"/>
  <c r="AZ37" i="3" s="1"/>
  <c r="BA33" i="3"/>
  <c r="AZ33" i="3" s="1"/>
  <c r="BA29" i="3"/>
  <c r="BA25" i="3"/>
  <c r="AZ25" i="3" s="1"/>
  <c r="BA21" i="3"/>
  <c r="AZ21" i="3" s="1"/>
  <c r="BA17" i="3"/>
  <c r="AZ17" i="3" s="1"/>
  <c r="AZ22" i="3"/>
  <c r="AZ18" i="3"/>
  <c r="S42" i="21"/>
  <c r="AA42" i="21"/>
  <c r="U42" i="21"/>
  <c r="L19" i="6"/>
  <c r="B38" i="63"/>
  <c r="A17" i="51"/>
  <c r="B13" i="63" s="1"/>
  <c r="D15" i="59"/>
  <c r="C16" i="59"/>
  <c r="C62" i="59"/>
  <c r="D62" i="59" s="1"/>
  <c r="D63" i="59"/>
  <c r="AB37" i="21"/>
  <c r="U37" i="21"/>
  <c r="AA37" i="21"/>
  <c r="S37" i="21"/>
  <c r="C40" i="59"/>
  <c r="D39" i="59"/>
  <c r="D19" i="59"/>
  <c r="C20" i="59"/>
  <c r="T20" i="59" s="1"/>
  <c r="W38" i="39"/>
  <c r="AC38" i="39"/>
  <c r="U14" i="39"/>
  <c r="AB14" i="39"/>
  <c r="U34" i="36"/>
  <c r="AB34" i="36"/>
  <c r="AC25" i="35"/>
  <c r="W25" i="35"/>
  <c r="S13" i="35"/>
  <c r="AA13" i="35"/>
  <c r="S31" i="33"/>
  <c r="U12" i="33"/>
  <c r="AA9" i="35"/>
  <c r="S9" i="35"/>
  <c r="AB9" i="35"/>
  <c r="U9" i="35"/>
  <c r="W35" i="21"/>
  <c r="S35" i="40"/>
  <c r="U33" i="36"/>
  <c r="AB13" i="36"/>
  <c r="U13" i="36"/>
  <c r="S24" i="35"/>
  <c r="S12" i="35"/>
  <c r="AB12" i="35"/>
  <c r="C66" i="59"/>
  <c r="D66" i="59" s="1"/>
  <c r="D67" i="59"/>
  <c r="W37" i="21"/>
  <c r="C6" i="59"/>
  <c r="D6" i="59" s="1"/>
  <c r="U38" i="39"/>
  <c r="S14" i="39"/>
  <c r="AA39" i="37"/>
  <c r="W34" i="36"/>
  <c r="U25" i="35"/>
  <c r="W31" i="33"/>
  <c r="AA12" i="33"/>
  <c r="AC12" i="33"/>
  <c r="AA27" i="34"/>
  <c r="S35" i="21"/>
  <c r="AA35" i="21"/>
  <c r="AA19" i="21"/>
  <c r="U35" i="40"/>
  <c r="AA33" i="36"/>
  <c r="AC13" i="36"/>
  <c r="U12" i="36"/>
  <c r="W24" i="35"/>
  <c r="AC12" i="35"/>
  <c r="W38" i="21"/>
  <c r="AC38" i="21"/>
  <c r="AB46" i="33"/>
  <c r="AA45" i="34"/>
  <c r="AB29" i="39"/>
  <c r="AE11" i="1"/>
  <c r="AE8" i="1"/>
  <c r="D40" i="59"/>
  <c r="T40" i="59"/>
  <c r="C5" i="59"/>
  <c r="D5" i="59" s="1"/>
  <c r="D16" i="59"/>
  <c r="T16" i="59"/>
  <c r="AE10" i="1"/>
  <c r="AE9" i="1"/>
  <c r="R10" i="1"/>
  <c r="R8" i="1"/>
  <c r="R11" i="1"/>
  <c r="R9" i="1"/>
  <c r="C18" i="9" l="1"/>
  <c r="M43" i="9" s="1"/>
  <c r="D18" i="9"/>
  <c r="M44" i="9" s="1"/>
  <c r="J29" i="39"/>
  <c r="G103" i="39"/>
  <c r="N49" i="59"/>
  <c r="N50" i="59"/>
  <c r="AC14" i="39"/>
  <c r="W14" i="39"/>
  <c r="W42" i="21"/>
  <c r="AC42" i="21"/>
  <c r="S17" i="21"/>
  <c r="AA17" i="21"/>
  <c r="AB9" i="36"/>
  <c r="U9" i="36"/>
  <c r="AB31" i="33"/>
  <c r="U31" i="33"/>
  <c r="AA9" i="33"/>
  <c r="S9" i="33"/>
  <c r="W9" i="34"/>
  <c r="AC9" i="34"/>
  <c r="W29" i="33"/>
  <c r="AC29" i="33"/>
  <c r="AA14" i="34"/>
  <c r="S14" i="34"/>
  <c r="U11" i="35"/>
  <c r="AB11" i="35"/>
  <c r="AB36" i="35"/>
  <c r="U36" i="35"/>
  <c r="AC9" i="36"/>
  <c r="W9" i="36"/>
  <c r="W12" i="36"/>
  <c r="AC12" i="36"/>
  <c r="W9" i="37"/>
  <c r="AC9" i="37"/>
  <c r="W12" i="37"/>
  <c r="AC12" i="37"/>
  <c r="S28" i="37"/>
  <c r="AA28" i="37"/>
  <c r="U40" i="37"/>
  <c r="AB40" i="37"/>
  <c r="S15" i="39"/>
  <c r="AA15" i="39"/>
  <c r="U33" i="39"/>
  <c r="AB33" i="39"/>
  <c r="S39" i="39"/>
  <c r="AA39" i="39"/>
  <c r="J43" i="39"/>
  <c r="F43" i="39"/>
  <c r="AA14" i="40"/>
  <c r="S14" i="40"/>
  <c r="AA16" i="40"/>
  <c r="S16" i="40"/>
  <c r="D24" i="59"/>
  <c r="D20" i="59"/>
  <c r="AB43" i="39"/>
  <c r="AC35" i="40"/>
  <c r="AC9" i="35"/>
  <c r="U13" i="35"/>
  <c r="U24" i="36"/>
  <c r="S38" i="39"/>
  <c r="D23" i="59"/>
  <c r="W26" i="33"/>
  <c r="AC27" i="34"/>
  <c r="AC39" i="37"/>
  <c r="A3" i="55"/>
  <c r="B56" i="63" s="1"/>
  <c r="AZ29" i="3"/>
  <c r="H126" i="39"/>
  <c r="I126" i="39" s="1"/>
  <c r="J126" i="39" s="1"/>
  <c r="K126" i="39" s="1"/>
  <c r="L126" i="39" s="1"/>
  <c r="M126" i="39" s="1"/>
  <c r="W15" i="21"/>
  <c r="AA26" i="33"/>
  <c r="P49" i="59"/>
  <c r="AC28" i="37"/>
  <c r="U9" i="33"/>
  <c r="W40" i="37"/>
  <c r="C58" i="59"/>
  <c r="D58" i="59" s="1"/>
  <c r="U44" i="21"/>
  <c r="AC23" i="21"/>
  <c r="W23" i="21"/>
  <c r="U23" i="36"/>
  <c r="AB23" i="36"/>
  <c r="W26" i="37"/>
  <c r="AC26" i="37"/>
  <c r="W26" i="35"/>
  <c r="AC26" i="35"/>
  <c r="AA37" i="39"/>
  <c r="S37" i="39"/>
  <c r="S22" i="31"/>
  <c r="K141" i="21"/>
  <c r="K144" i="21"/>
  <c r="K143" i="21"/>
  <c r="U18" i="36"/>
  <c r="D46" i="59"/>
  <c r="C47" i="59"/>
  <c r="AZ567" i="3"/>
  <c r="AZ565" i="3"/>
  <c r="AZ560" i="3"/>
  <c r="AZ558" i="3"/>
  <c r="AZ554" i="3"/>
  <c r="AZ548" i="3"/>
  <c r="AZ544" i="3"/>
  <c r="AZ540" i="3"/>
  <c r="AZ535" i="3"/>
  <c r="AZ533" i="3"/>
  <c r="AZ531" i="3"/>
  <c r="AZ530" i="3"/>
  <c r="AZ526" i="3"/>
  <c r="AZ488" i="3"/>
  <c r="AZ484" i="3"/>
  <c r="AZ480" i="3"/>
  <c r="AZ476" i="3"/>
  <c r="AZ472" i="3"/>
  <c r="AZ468" i="3"/>
  <c r="AZ464" i="3"/>
  <c r="AZ460" i="3"/>
  <c r="AZ456" i="3"/>
  <c r="AZ452" i="3"/>
  <c r="AZ448" i="3"/>
  <c r="AZ444" i="3"/>
  <c r="AZ440" i="3"/>
  <c r="AZ436" i="3"/>
  <c r="AZ432" i="3"/>
  <c r="AZ428" i="3"/>
  <c r="AZ424" i="3"/>
  <c r="AZ420" i="3"/>
  <c r="AZ416" i="3"/>
  <c r="AZ412" i="3"/>
  <c r="AZ408" i="3"/>
  <c r="AZ404" i="3"/>
  <c r="AZ400" i="3"/>
  <c r="AZ396" i="3"/>
  <c r="AZ392" i="3"/>
  <c r="AZ388" i="3"/>
  <c r="AZ384" i="3"/>
  <c r="AZ380" i="3"/>
  <c r="AZ376" i="3"/>
  <c r="AZ372" i="3"/>
  <c r="AZ368" i="3"/>
  <c r="AZ364" i="3"/>
  <c r="AZ360" i="3"/>
  <c r="AZ352" i="3"/>
  <c r="AZ283" i="3"/>
  <c r="AZ251" i="3"/>
  <c r="AZ219" i="3"/>
  <c r="H39" i="37"/>
  <c r="J24" i="36"/>
  <c r="B72" i="46"/>
  <c r="B76" i="46"/>
  <c r="H19" i="21"/>
  <c r="F33" i="39"/>
  <c r="H24" i="35"/>
  <c r="H26" i="33"/>
  <c r="S10" i="36"/>
  <c r="H29" i="34"/>
  <c r="U29" i="33"/>
  <c r="AC46" i="39"/>
  <c r="AC33" i="35"/>
  <c r="AB10" i="33"/>
  <c r="AA31" i="34"/>
  <c r="S45" i="39"/>
  <c r="W14" i="36"/>
  <c r="U25" i="34"/>
  <c r="W39" i="40"/>
  <c r="O40" i="9"/>
  <c r="R7" i="54" s="1"/>
  <c r="B52" i="63" s="1"/>
  <c r="W33" i="36"/>
  <c r="F9" i="36"/>
  <c r="U34" i="35"/>
  <c r="H28" i="37"/>
  <c r="F36" i="35"/>
  <c r="AC23" i="35"/>
  <c r="J9" i="33"/>
  <c r="W29" i="37"/>
  <c r="AA45" i="33"/>
  <c r="S19" i="40"/>
  <c r="U17" i="33"/>
  <c r="AA25" i="33"/>
  <c r="AB19" i="37"/>
  <c r="S19" i="37"/>
  <c r="AA20" i="36"/>
  <c r="C21" i="39"/>
  <c r="C17" i="39"/>
  <c r="S40" i="40"/>
  <c r="U17" i="40"/>
  <c r="AC25" i="33"/>
  <c r="S19" i="34"/>
  <c r="U38" i="37"/>
  <c r="AC15" i="37"/>
  <c r="S32" i="35"/>
  <c r="W22" i="35"/>
  <c r="AA33" i="35"/>
  <c r="AC30" i="35"/>
  <c r="U10" i="36"/>
  <c r="AA11" i="35"/>
  <c r="AC17" i="40"/>
  <c r="S15" i="40"/>
  <c r="U15" i="40"/>
  <c r="W33" i="40"/>
  <c r="W10" i="33"/>
  <c r="AB15" i="33"/>
  <c r="U19" i="33"/>
  <c r="AB11" i="33"/>
  <c r="U37" i="33"/>
  <c r="AB41" i="34"/>
  <c r="W19" i="34"/>
  <c r="AC40" i="34"/>
  <c r="W10" i="34"/>
  <c r="AA40" i="34"/>
  <c r="S37" i="37"/>
  <c r="W32" i="37"/>
  <c r="AC11" i="37"/>
  <c r="S29" i="37"/>
  <c r="AB37" i="37"/>
  <c r="H26" i="35"/>
  <c r="F26" i="35"/>
  <c r="S28" i="35"/>
  <c r="S16" i="35"/>
  <c r="S16" i="36"/>
  <c r="U32" i="36"/>
  <c r="W20" i="36"/>
  <c r="AA28" i="36"/>
  <c r="AC25" i="36"/>
  <c r="AB15" i="39"/>
  <c r="AC15" i="33"/>
  <c r="W14" i="35"/>
  <c r="AB23" i="40"/>
  <c r="AC16" i="40"/>
  <c r="U16" i="40"/>
  <c r="W32" i="33"/>
  <c r="S33" i="40"/>
  <c r="J15" i="39"/>
  <c r="AC15" i="39" s="1"/>
  <c r="J37" i="39"/>
  <c r="H37" i="39"/>
  <c r="J39" i="39"/>
  <c r="J11" i="35"/>
  <c r="J32" i="34"/>
  <c r="H14" i="34"/>
  <c r="U28" i="33"/>
  <c r="AC10" i="36"/>
  <c r="S42" i="33"/>
  <c r="W37" i="37"/>
  <c r="AB10" i="37"/>
  <c r="F12" i="37"/>
  <c r="H12" i="37"/>
  <c r="F9" i="37"/>
  <c r="H9" i="37"/>
  <c r="AA13" i="33"/>
  <c r="AC41" i="34"/>
  <c r="AB28" i="36"/>
  <c r="AC35" i="35"/>
  <c r="F29" i="34"/>
  <c r="F46" i="33"/>
  <c r="F40" i="37"/>
  <c r="J45" i="33"/>
  <c r="AA28" i="34"/>
  <c r="W39" i="34"/>
  <c r="S34" i="35"/>
  <c r="W22" i="36"/>
  <c r="H9" i="34"/>
  <c r="F23" i="36"/>
  <c r="H26" i="37"/>
  <c r="B21" i="63"/>
  <c r="N4" i="63"/>
  <c r="B11" i="59"/>
  <c r="B10" i="59" s="1"/>
  <c r="S12" i="59"/>
  <c r="AZ566" i="3"/>
  <c r="AZ561" i="3"/>
  <c r="AZ559" i="3"/>
  <c r="AZ557" i="3"/>
  <c r="AZ551" i="3"/>
  <c r="AZ534" i="3"/>
  <c r="AZ532" i="3"/>
  <c r="AZ528" i="3"/>
  <c r="AZ515" i="3"/>
  <c r="AZ513" i="3"/>
  <c r="AZ511" i="3"/>
  <c r="AZ509" i="3"/>
  <c r="AZ507" i="3"/>
  <c r="AZ505" i="3"/>
  <c r="AZ503" i="3"/>
  <c r="AZ501" i="3"/>
  <c r="AZ499" i="3"/>
  <c r="AZ497" i="3"/>
  <c r="AZ495" i="3"/>
  <c r="AZ493" i="3"/>
  <c r="AZ491" i="3"/>
  <c r="AZ487" i="3"/>
  <c r="AZ481" i="3"/>
  <c r="AZ479" i="3"/>
  <c r="AZ473" i="3"/>
  <c r="AZ471" i="3"/>
  <c r="AZ465" i="3"/>
  <c r="AZ463" i="3"/>
  <c r="AZ457" i="3"/>
  <c r="AZ455" i="3"/>
  <c r="AZ449" i="3"/>
  <c r="AZ447" i="3"/>
  <c r="AZ441" i="3"/>
  <c r="AZ439" i="3"/>
  <c r="AZ433" i="3"/>
  <c r="AZ431" i="3"/>
  <c r="AZ425" i="3"/>
  <c r="AZ423" i="3"/>
  <c r="AZ417" i="3"/>
  <c r="AZ415" i="3"/>
  <c r="AZ409" i="3"/>
  <c r="AZ407" i="3"/>
  <c r="AZ401" i="3"/>
  <c r="AZ399" i="3"/>
  <c r="AZ393" i="3"/>
  <c r="AZ391" i="3"/>
  <c r="AZ385" i="3"/>
  <c r="AZ383" i="3"/>
  <c r="AZ377" i="3"/>
  <c r="AZ375" i="3"/>
  <c r="AZ369" i="3"/>
  <c r="AZ367" i="3"/>
  <c r="AZ361" i="3"/>
  <c r="AZ359" i="3"/>
  <c r="AZ267" i="3"/>
  <c r="AZ235" i="3"/>
  <c r="AB6" i="59"/>
  <c r="K13" i="1"/>
  <c r="M13" i="1" s="1"/>
  <c r="S13" i="1"/>
  <c r="K11" i="1"/>
  <c r="M11" i="1" s="1"/>
  <c r="S11" i="1"/>
  <c r="K9" i="1"/>
  <c r="S9" i="1"/>
  <c r="S8" i="1"/>
  <c r="K8" i="1"/>
  <c r="M8" i="1" s="1"/>
  <c r="BL349" i="3"/>
  <c r="AZ349" i="3" s="1"/>
  <c r="BL348" i="3"/>
  <c r="AZ348" i="3" s="1"/>
  <c r="BL347" i="3"/>
  <c r="AZ347" i="3" s="1"/>
  <c r="BL346" i="3"/>
  <c r="AZ346" i="3" s="1"/>
  <c r="BL345" i="3"/>
  <c r="AZ345" i="3" s="1"/>
  <c r="BL344" i="3"/>
  <c r="BA343" i="3"/>
  <c r="AZ343" i="3" s="1"/>
  <c r="BA341" i="3"/>
  <c r="AZ341" i="3" s="1"/>
  <c r="BA339" i="3"/>
  <c r="AZ339" i="3" s="1"/>
  <c r="BA337" i="3"/>
  <c r="AZ337" i="3" s="1"/>
  <c r="BA335" i="3"/>
  <c r="AZ335" i="3" s="1"/>
  <c r="BA333" i="3"/>
  <c r="AZ333" i="3" s="1"/>
  <c r="BA331" i="3"/>
  <c r="AZ331" i="3" s="1"/>
  <c r="BA329" i="3"/>
  <c r="AZ329" i="3" s="1"/>
  <c r="BA327" i="3"/>
  <c r="AZ327" i="3" s="1"/>
  <c r="BA325" i="3"/>
  <c r="AZ325" i="3" s="1"/>
  <c r="BA323" i="3"/>
  <c r="AZ323" i="3" s="1"/>
  <c r="BA321" i="3"/>
  <c r="AZ321" i="3" s="1"/>
  <c r="BA320" i="3"/>
  <c r="BA316" i="3"/>
  <c r="AZ316" i="3" s="1"/>
  <c r="BA308" i="3"/>
  <c r="AZ308" i="3" s="1"/>
  <c r="BA300" i="3"/>
  <c r="AZ300" i="3" s="1"/>
  <c r="BA290" i="3"/>
  <c r="AZ290" i="3" s="1"/>
  <c r="BL280" i="3"/>
  <c r="AZ280" i="3" s="1"/>
  <c r="BL279" i="3"/>
  <c r="AZ279" i="3" s="1"/>
  <c r="BL278" i="3"/>
  <c r="AZ278" i="3" s="1"/>
  <c r="BL277" i="3"/>
  <c r="BA276" i="3"/>
  <c r="AZ276" i="3" s="1"/>
  <c r="BA274" i="3"/>
  <c r="AZ274" i="3" s="1"/>
  <c r="BL264" i="3"/>
  <c r="AZ264" i="3" s="1"/>
  <c r="BL263" i="3"/>
  <c r="AZ263" i="3" s="1"/>
  <c r="BL262" i="3"/>
  <c r="AZ262" i="3" s="1"/>
  <c r="BL261" i="3"/>
  <c r="BA260" i="3"/>
  <c r="AZ260" i="3" s="1"/>
  <c r="BA258" i="3"/>
  <c r="AZ258" i="3" s="1"/>
  <c r="BL248" i="3"/>
  <c r="AZ248" i="3" s="1"/>
  <c r="BL247" i="3"/>
  <c r="AZ247" i="3" s="1"/>
  <c r="BL246" i="3"/>
  <c r="AZ246" i="3" s="1"/>
  <c r="BL245" i="3"/>
  <c r="BA244" i="3"/>
  <c r="AZ244" i="3" s="1"/>
  <c r="BA242" i="3"/>
  <c r="AZ242" i="3" s="1"/>
  <c r="BL232" i="3"/>
  <c r="AZ232" i="3" s="1"/>
  <c r="BL231" i="3"/>
  <c r="AZ231" i="3" s="1"/>
  <c r="BL230" i="3"/>
  <c r="AZ230" i="3" s="1"/>
  <c r="BL229" i="3"/>
  <c r="BA228" i="3"/>
  <c r="AZ228" i="3" s="1"/>
  <c r="BA226" i="3"/>
  <c r="AZ226" i="3" s="1"/>
  <c r="BL216" i="3"/>
  <c r="AZ216" i="3" s="1"/>
  <c r="BL215" i="3"/>
  <c r="AZ215" i="3" s="1"/>
  <c r="BL214" i="3"/>
  <c r="AZ214" i="3" s="1"/>
  <c r="BL213" i="3"/>
  <c r="BA212" i="3"/>
  <c r="AZ212" i="3" s="1"/>
  <c r="BA210" i="3"/>
  <c r="AZ210" i="3" s="1"/>
  <c r="BL200" i="3"/>
  <c r="BA200" i="3"/>
  <c r="BL198" i="3"/>
  <c r="BA198" i="3"/>
  <c r="BA196" i="3"/>
  <c r="AZ196" i="3" s="1"/>
  <c r="S27" i="40"/>
  <c r="S18" i="36"/>
  <c r="D60" i="59"/>
  <c r="E59" i="59"/>
  <c r="E58" i="59" s="1"/>
  <c r="Q52" i="59"/>
  <c r="C51" i="59"/>
  <c r="F51" i="59"/>
  <c r="A26" i="64"/>
  <c r="AE12" i="46"/>
  <c r="AB12" i="46"/>
  <c r="I4" i="6"/>
  <c r="G3" i="46" s="1"/>
  <c r="S12" i="1"/>
  <c r="K12" i="1"/>
  <c r="M12" i="1" s="1"/>
  <c r="S10" i="1"/>
  <c r="K10" i="1"/>
  <c r="M10" i="1" s="1"/>
  <c r="O10" i="1" s="1"/>
  <c r="BL354" i="3"/>
  <c r="AZ354" i="3" s="1"/>
  <c r="BA353" i="3"/>
  <c r="AZ353" i="3" s="1"/>
  <c r="BA351" i="3"/>
  <c r="AZ351" i="3" s="1"/>
  <c r="BA344" i="3"/>
  <c r="AZ344" i="3" s="1"/>
  <c r="BA342" i="3"/>
  <c r="AZ342" i="3" s="1"/>
  <c r="BA340" i="3"/>
  <c r="AZ340" i="3" s="1"/>
  <c r="BA338" i="3"/>
  <c r="AZ338" i="3" s="1"/>
  <c r="BA336" i="3"/>
  <c r="AZ336" i="3" s="1"/>
  <c r="BA334" i="3"/>
  <c r="AZ334" i="3" s="1"/>
  <c r="BA332" i="3"/>
  <c r="AZ332" i="3" s="1"/>
  <c r="BA330" i="3"/>
  <c r="AZ330" i="3" s="1"/>
  <c r="BA328" i="3"/>
  <c r="AZ328" i="3" s="1"/>
  <c r="BA326" i="3"/>
  <c r="AZ326" i="3" s="1"/>
  <c r="BA324" i="3"/>
  <c r="AZ324" i="3" s="1"/>
  <c r="BA322" i="3"/>
  <c r="AZ322" i="3" s="1"/>
  <c r="BL320" i="3"/>
  <c r="BL318" i="3"/>
  <c r="AZ318" i="3" s="1"/>
  <c r="BA315" i="3"/>
  <c r="AZ315" i="3" s="1"/>
  <c r="BL313" i="3"/>
  <c r="AZ313" i="3" s="1"/>
  <c r="BA312" i="3"/>
  <c r="AZ312" i="3" s="1"/>
  <c r="BL310" i="3"/>
  <c r="AZ310" i="3" s="1"/>
  <c r="BA307" i="3"/>
  <c r="AZ307" i="3" s="1"/>
  <c r="BL305" i="3"/>
  <c r="AZ305" i="3" s="1"/>
  <c r="BA304" i="3"/>
  <c r="AZ304" i="3" s="1"/>
  <c r="BL302" i="3"/>
  <c r="AZ302" i="3" s="1"/>
  <c r="BA299" i="3"/>
  <c r="AZ299" i="3" s="1"/>
  <c r="BA295" i="3"/>
  <c r="AZ295" i="3" s="1"/>
  <c r="BA291" i="3"/>
  <c r="AZ291" i="3" s="1"/>
  <c r="BL288" i="3"/>
  <c r="AZ288" i="3" s="1"/>
  <c r="BL287" i="3"/>
  <c r="AZ287" i="3" s="1"/>
  <c r="BL286" i="3"/>
  <c r="AZ286" i="3" s="1"/>
  <c r="BL285" i="3"/>
  <c r="AZ285" i="3" s="1"/>
  <c r="BA284" i="3"/>
  <c r="AZ284" i="3" s="1"/>
  <c r="BA282" i="3"/>
  <c r="AZ282" i="3" s="1"/>
  <c r="BA277" i="3"/>
  <c r="AZ277" i="3" s="1"/>
  <c r="BA275" i="3"/>
  <c r="AZ275" i="3" s="1"/>
  <c r="BL272" i="3"/>
  <c r="AZ272" i="3" s="1"/>
  <c r="BL271" i="3"/>
  <c r="AZ271" i="3" s="1"/>
  <c r="BL270" i="3"/>
  <c r="AZ270" i="3" s="1"/>
  <c r="BL269" i="3"/>
  <c r="AZ269" i="3" s="1"/>
  <c r="BA268" i="3"/>
  <c r="AZ268" i="3" s="1"/>
  <c r="BA266" i="3"/>
  <c r="AZ266" i="3" s="1"/>
  <c r="BA261" i="3"/>
  <c r="AZ261" i="3" s="1"/>
  <c r="BA259" i="3"/>
  <c r="AZ259" i="3" s="1"/>
  <c r="BL256" i="3"/>
  <c r="AZ256" i="3" s="1"/>
  <c r="BL255" i="3"/>
  <c r="AZ255" i="3" s="1"/>
  <c r="BL254" i="3"/>
  <c r="AZ254" i="3" s="1"/>
  <c r="BL253" i="3"/>
  <c r="AZ253" i="3" s="1"/>
  <c r="BA252" i="3"/>
  <c r="AZ252" i="3" s="1"/>
  <c r="BA250" i="3"/>
  <c r="AZ250" i="3" s="1"/>
  <c r="BA245" i="3"/>
  <c r="AZ245" i="3" s="1"/>
  <c r="BA243" i="3"/>
  <c r="AZ243" i="3" s="1"/>
  <c r="BL240" i="3"/>
  <c r="AZ240" i="3" s="1"/>
  <c r="BL239" i="3"/>
  <c r="AZ239" i="3" s="1"/>
  <c r="BL238" i="3"/>
  <c r="AZ238" i="3" s="1"/>
  <c r="BL237" i="3"/>
  <c r="AZ237" i="3" s="1"/>
  <c r="BA236" i="3"/>
  <c r="AZ236" i="3" s="1"/>
  <c r="BA234" i="3"/>
  <c r="AZ234" i="3" s="1"/>
  <c r="BA229" i="3"/>
  <c r="AZ229" i="3" s="1"/>
  <c r="BA227" i="3"/>
  <c r="AZ227" i="3" s="1"/>
  <c r="BL224" i="3"/>
  <c r="AZ224" i="3" s="1"/>
  <c r="BL223" i="3"/>
  <c r="AZ223" i="3" s="1"/>
  <c r="BL222" i="3"/>
  <c r="AZ222" i="3" s="1"/>
  <c r="BL221" i="3"/>
  <c r="AZ221" i="3" s="1"/>
  <c r="BA220" i="3"/>
  <c r="AZ220" i="3" s="1"/>
  <c r="BA218" i="3"/>
  <c r="AZ218" i="3" s="1"/>
  <c r="BA213" i="3"/>
  <c r="AZ213" i="3" s="1"/>
  <c r="BA211" i="3"/>
  <c r="AZ211" i="3" s="1"/>
  <c r="BL208" i="3"/>
  <c r="AZ208" i="3" s="1"/>
  <c r="BL207" i="3"/>
  <c r="AZ207" i="3" s="1"/>
  <c r="BL206" i="3"/>
  <c r="AZ206" i="3" s="1"/>
  <c r="BL205" i="3"/>
  <c r="AZ205" i="3" s="1"/>
  <c r="BL199" i="3"/>
  <c r="BA199" i="3"/>
  <c r="AZ199" i="3" s="1"/>
  <c r="BL197" i="3"/>
  <c r="BA194" i="3"/>
  <c r="AZ194" i="3" s="1"/>
  <c r="AZ191" i="3"/>
  <c r="AZ184" i="3"/>
  <c r="AZ134" i="3"/>
  <c r="AZ121" i="3"/>
  <c r="AZ117" i="3"/>
  <c r="AZ113" i="3"/>
  <c r="AZ107" i="3"/>
  <c r="BA204" i="3"/>
  <c r="AZ204" i="3" s="1"/>
  <c r="BA202" i="3"/>
  <c r="AZ202" i="3" s="1"/>
  <c r="BA197" i="3"/>
  <c r="AZ197" i="3" s="1"/>
  <c r="BA195" i="3"/>
  <c r="AZ195" i="3" s="1"/>
  <c r="BL192" i="3"/>
  <c r="AZ192" i="3" s="1"/>
  <c r="BL191" i="3"/>
  <c r="BL190" i="3"/>
  <c r="AZ190" i="3" s="1"/>
  <c r="BL189" i="3"/>
  <c r="AZ189" i="3" s="1"/>
  <c r="BA188" i="3"/>
  <c r="AZ188" i="3" s="1"/>
  <c r="BA186" i="3"/>
  <c r="AZ186" i="3" s="1"/>
  <c r="BA181" i="3"/>
  <c r="BA179" i="3"/>
  <c r="AZ179" i="3" s="1"/>
  <c r="BL176" i="3"/>
  <c r="AZ176" i="3" s="1"/>
  <c r="AZ175" i="3"/>
  <c r="BL172" i="3"/>
  <c r="AZ172" i="3" s="1"/>
  <c r="AZ171" i="3"/>
  <c r="BL168" i="3"/>
  <c r="BL167" i="3"/>
  <c r="AZ167" i="3" s="1"/>
  <c r="BA166" i="3"/>
  <c r="AZ166" i="3" s="1"/>
  <c r="BL164" i="3"/>
  <c r="AZ164" i="3" s="1"/>
  <c r="BL159" i="3"/>
  <c r="AZ159" i="3" s="1"/>
  <c r="BA156" i="3"/>
  <c r="AZ156" i="3" s="1"/>
  <c r="BA147" i="3"/>
  <c r="AZ147" i="3" s="1"/>
  <c r="BA145" i="3"/>
  <c r="AZ145" i="3" s="1"/>
  <c r="BL142" i="3"/>
  <c r="BL141" i="3"/>
  <c r="BL140" i="3"/>
  <c r="BL139" i="3"/>
  <c r="AZ139" i="3" s="1"/>
  <c r="BA138" i="3"/>
  <c r="AZ138" i="3" s="1"/>
  <c r="BA136" i="3"/>
  <c r="AZ136" i="3" s="1"/>
  <c r="BA131" i="3"/>
  <c r="BA129" i="3"/>
  <c r="AZ129" i="3" s="1"/>
  <c r="BL126" i="3"/>
  <c r="AZ126" i="3" s="1"/>
  <c r="BL125" i="3"/>
  <c r="BL124" i="3"/>
  <c r="AZ124" i="3" s="1"/>
  <c r="BL123" i="3"/>
  <c r="AZ123" i="3" s="1"/>
  <c r="BA122" i="3"/>
  <c r="AZ122" i="3" s="1"/>
  <c r="BA120" i="3"/>
  <c r="AZ120" i="3" s="1"/>
  <c r="BA118" i="3"/>
  <c r="AZ118" i="3" s="1"/>
  <c r="BA116" i="3"/>
  <c r="AZ116" i="3" s="1"/>
  <c r="BA114" i="3"/>
  <c r="AZ114" i="3" s="1"/>
  <c r="BA112" i="3"/>
  <c r="AZ112" i="3" s="1"/>
  <c r="AZ99" i="3"/>
  <c r="BL96" i="3"/>
  <c r="BA96" i="3"/>
  <c r="AZ96" i="3" s="1"/>
  <c r="BL94" i="3"/>
  <c r="BA94" i="3"/>
  <c r="AZ94" i="3" s="1"/>
  <c r="BL92" i="3"/>
  <c r="BA92" i="3"/>
  <c r="AZ92" i="3" s="1"/>
  <c r="BA90" i="3"/>
  <c r="AZ90" i="3" s="1"/>
  <c r="BA86" i="3"/>
  <c r="AZ86" i="3" s="1"/>
  <c r="AZ83" i="3"/>
  <c r="AZ79" i="3"/>
  <c r="BL60" i="3"/>
  <c r="BA60" i="3"/>
  <c r="AZ60" i="3" s="1"/>
  <c r="BL58" i="3"/>
  <c r="BA58" i="3"/>
  <c r="AZ58" i="3" s="1"/>
  <c r="BL54" i="3"/>
  <c r="BA54" i="3"/>
  <c r="BL52" i="3"/>
  <c r="BL51" i="3"/>
  <c r="AZ51" i="3" s="1"/>
  <c r="AZ50" i="3"/>
  <c r="BL38" i="3"/>
  <c r="BA38" i="3"/>
  <c r="BL36" i="3"/>
  <c r="BL35" i="3"/>
  <c r="AZ35" i="3" s="1"/>
  <c r="AZ34" i="3"/>
  <c r="BL184" i="3"/>
  <c r="BL183" i="3"/>
  <c r="AZ183" i="3" s="1"/>
  <c r="BL182" i="3"/>
  <c r="AZ182" i="3" s="1"/>
  <c r="BL181" i="3"/>
  <c r="BA180" i="3"/>
  <c r="AZ180" i="3" s="1"/>
  <c r="BA178" i="3"/>
  <c r="AZ178" i="3" s="1"/>
  <c r="BL174" i="3"/>
  <c r="AZ174" i="3" s="1"/>
  <c r="BL170" i="3"/>
  <c r="AZ170" i="3" s="1"/>
  <c r="AZ169" i="3"/>
  <c r="AZ168" i="3"/>
  <c r="BL166" i="3"/>
  <c r="BL163" i="3"/>
  <c r="AZ163" i="3" s="1"/>
  <c r="BA160" i="3"/>
  <c r="AZ160" i="3" s="1"/>
  <c r="BL150" i="3"/>
  <c r="AZ150" i="3" s="1"/>
  <c r="BL149" i="3"/>
  <c r="AZ149" i="3" s="1"/>
  <c r="BL148" i="3"/>
  <c r="AZ148" i="3" s="1"/>
  <c r="BL147" i="3"/>
  <c r="BA146" i="3"/>
  <c r="AZ146" i="3" s="1"/>
  <c r="BA144" i="3"/>
  <c r="AZ144" i="3" s="1"/>
  <c r="AZ142" i="3"/>
  <c r="AZ141" i="3"/>
  <c r="AZ140" i="3"/>
  <c r="BL134" i="3"/>
  <c r="BL133" i="3"/>
  <c r="AZ133" i="3" s="1"/>
  <c r="BL132" i="3"/>
  <c r="AZ132" i="3" s="1"/>
  <c r="BL131" i="3"/>
  <c r="BA130" i="3"/>
  <c r="AZ130" i="3" s="1"/>
  <c r="BA128" i="3"/>
  <c r="AZ128" i="3" s="1"/>
  <c r="AZ125" i="3"/>
  <c r="BL110" i="3"/>
  <c r="AZ110" i="3" s="1"/>
  <c r="BL109" i="3"/>
  <c r="AZ109" i="3" s="1"/>
  <c r="BL108" i="3"/>
  <c r="AZ108" i="3" s="1"/>
  <c r="BL107" i="3"/>
  <c r="BL106" i="3"/>
  <c r="AZ106" i="3" s="1"/>
  <c r="BL105" i="3"/>
  <c r="AZ105" i="3" s="1"/>
  <c r="BL104" i="3"/>
  <c r="AZ104" i="3" s="1"/>
  <c r="BL95" i="3"/>
  <c r="BA95" i="3"/>
  <c r="AZ95" i="3" s="1"/>
  <c r="BL93" i="3"/>
  <c r="BA93" i="3"/>
  <c r="AZ93" i="3" s="1"/>
  <c r="BL91" i="3"/>
  <c r="BA88" i="3"/>
  <c r="AZ88" i="3" s="1"/>
  <c r="BT5" i="3"/>
  <c r="BN5" i="3"/>
  <c r="BL16" i="3"/>
  <c r="AZ16" i="3" s="1"/>
  <c r="BL103" i="3"/>
  <c r="AZ103" i="3" s="1"/>
  <c r="BL102" i="3"/>
  <c r="AZ102" i="3" s="1"/>
  <c r="BL101" i="3"/>
  <c r="AZ101" i="3" s="1"/>
  <c r="BA100" i="3"/>
  <c r="AZ100" i="3" s="1"/>
  <c r="BA98" i="3"/>
  <c r="AZ98" i="3" s="1"/>
  <c r="BA91" i="3"/>
  <c r="AZ91" i="3" s="1"/>
  <c r="BA89" i="3"/>
  <c r="AZ89" i="3" s="1"/>
  <c r="BA87" i="3"/>
  <c r="AZ87" i="3" s="1"/>
  <c r="BL84" i="3"/>
  <c r="AZ84" i="3" s="1"/>
  <c r="BL83" i="3"/>
  <c r="BL82" i="3"/>
  <c r="AZ82" i="3" s="1"/>
  <c r="BL81" i="3"/>
  <c r="AZ81" i="3" s="1"/>
  <c r="BA80" i="3"/>
  <c r="AZ80" i="3" s="1"/>
  <c r="BA77" i="3"/>
  <c r="AZ77" i="3" s="1"/>
  <c r="BL59" i="3"/>
  <c r="BA59" i="3"/>
  <c r="BL57" i="3"/>
  <c r="AZ57" i="3" s="1"/>
  <c r="BL46" i="3"/>
  <c r="BA46" i="3"/>
  <c r="BL44" i="3"/>
  <c r="BL43" i="3"/>
  <c r="AZ43" i="3" s="1"/>
  <c r="AZ42" i="3"/>
  <c r="BA73" i="3"/>
  <c r="AZ73" i="3" s="1"/>
  <c r="BA69" i="3"/>
  <c r="AZ69" i="3" s="1"/>
  <c r="BA65" i="3"/>
  <c r="AZ65" i="3" s="1"/>
  <c r="BA62" i="3"/>
  <c r="AZ62" i="3" s="1"/>
  <c r="BL56" i="3"/>
  <c r="AZ56" i="3" s="1"/>
  <c r="BL55" i="3"/>
  <c r="AZ55" i="3" s="1"/>
  <c r="BA52" i="3"/>
  <c r="AZ52" i="3" s="1"/>
  <c r="BL50" i="3"/>
  <c r="BL48" i="3"/>
  <c r="AZ48" i="3" s="1"/>
  <c r="BL47" i="3"/>
  <c r="AZ47" i="3" s="1"/>
  <c r="BA44" i="3"/>
  <c r="AZ44" i="3" s="1"/>
  <c r="BL42" i="3"/>
  <c r="BL40" i="3"/>
  <c r="AZ40" i="3" s="1"/>
  <c r="BL39" i="3"/>
  <c r="AZ39" i="3" s="1"/>
  <c r="BA36" i="3"/>
  <c r="AZ36" i="3" s="1"/>
  <c r="BL34" i="3"/>
  <c r="BL32" i="3"/>
  <c r="AZ32" i="3" s="1"/>
  <c r="BL24" i="3"/>
  <c r="AZ24" i="3" s="1"/>
  <c r="BQ5" i="3"/>
  <c r="BO5" i="3"/>
  <c r="S44" i="78"/>
  <c r="W27" i="78"/>
  <c r="S25" i="78"/>
  <c r="K6" i="1"/>
  <c r="M6" i="1" s="1"/>
  <c r="D3" i="78"/>
  <c r="AC25" i="78"/>
  <c r="W25" i="78"/>
  <c r="AA26" i="78"/>
  <c r="S26" i="78"/>
  <c r="AC26" i="78"/>
  <c r="W26" i="78"/>
  <c r="AA27" i="78"/>
  <c r="S27" i="78"/>
  <c r="AC28" i="78"/>
  <c r="W28" i="78"/>
  <c r="AA29" i="78"/>
  <c r="S29" i="78"/>
  <c r="AC29" i="78"/>
  <c r="W29" i="78"/>
  <c r="AA30" i="78"/>
  <c r="S30" i="78"/>
  <c r="AA31" i="78"/>
  <c r="S31" i="78"/>
  <c r="AC31" i="78"/>
  <c r="W31" i="78"/>
  <c r="AA32" i="78"/>
  <c r="S32" i="78"/>
  <c r="AB34" i="78"/>
  <c r="U34" i="78"/>
  <c r="AB35" i="78"/>
  <c r="U35" i="78"/>
  <c r="AB38" i="78"/>
  <c r="U38" i="78"/>
  <c r="AB39" i="78"/>
  <c r="U39" i="78"/>
  <c r="AB40" i="78"/>
  <c r="U40" i="78"/>
  <c r="AB41" i="78"/>
  <c r="U41" i="78"/>
  <c r="AA43" i="78"/>
  <c r="S43" i="78"/>
  <c r="AC43" i="78"/>
  <c r="W43" i="78"/>
  <c r="AC44" i="78"/>
  <c r="W44" i="78"/>
  <c r="AA45" i="78"/>
  <c r="S45" i="78"/>
  <c r="J10" i="78"/>
  <c r="H10" i="78"/>
  <c r="F10" i="78"/>
  <c r="F66" i="78"/>
  <c r="G66" i="78" s="1"/>
  <c r="H66" i="78" s="1"/>
  <c r="I66" i="78" s="1"/>
  <c r="H42" i="78"/>
  <c r="G123" i="78"/>
  <c r="H123" i="78" s="1"/>
  <c r="I123" i="78" s="1"/>
  <c r="J123" i="78" s="1"/>
  <c r="K123" i="78" s="1"/>
  <c r="L123" i="78" s="1"/>
  <c r="M123" i="78" s="1"/>
  <c r="J42" i="78"/>
  <c r="F42" i="78"/>
  <c r="AB21" i="78"/>
  <c r="U21" i="78"/>
  <c r="AB27" i="78"/>
  <c r="U27" i="78"/>
  <c r="AB28" i="78"/>
  <c r="U28" i="78"/>
  <c r="AA34" i="78"/>
  <c r="S34" i="78"/>
  <c r="AC35" i="78"/>
  <c r="W35" i="78"/>
  <c r="AC36" i="78"/>
  <c r="W36" i="78"/>
  <c r="AA37" i="78"/>
  <c r="S37" i="78"/>
  <c r="AA38" i="78"/>
  <c r="S38" i="78"/>
  <c r="AC39" i="78"/>
  <c r="W39" i="78"/>
  <c r="AC40" i="78"/>
  <c r="W40" i="78"/>
  <c r="AA41" i="78"/>
  <c r="S41" i="78"/>
  <c r="J12" i="78"/>
  <c r="H12" i="78"/>
  <c r="F12" i="78"/>
  <c r="J14" i="78"/>
  <c r="H14" i="78"/>
  <c r="F14" i="78"/>
  <c r="E83" i="78"/>
  <c r="F83" i="78" s="1"/>
  <c r="G83" i="78" s="1"/>
  <c r="J21" i="78"/>
  <c r="F21" i="78"/>
  <c r="AA21" i="78" s="1"/>
  <c r="BS5" i="3"/>
  <c r="BM5" i="3"/>
  <c r="F29" i="6" s="1"/>
  <c r="BA15" i="3"/>
  <c r="AZ15" i="3" s="1"/>
  <c r="G15" i="3"/>
  <c r="BR5" i="3"/>
  <c r="G28" i="6" s="1"/>
  <c r="BP5" i="3"/>
  <c r="BL14" i="3"/>
  <c r="BC5" i="3"/>
  <c r="E10" i="6" s="1"/>
  <c r="J15" i="79"/>
  <c r="G13" i="3"/>
  <c r="G5" i="3" s="1"/>
  <c r="B3" i="3" s="1"/>
  <c r="BB5" i="3"/>
  <c r="D22" i="77"/>
  <c r="H34" i="39"/>
  <c r="J34" i="39"/>
  <c r="F34" i="39"/>
  <c r="F109" i="39"/>
  <c r="G109" i="39" s="1"/>
  <c r="H109" i="39" s="1"/>
  <c r="I109" i="39" s="1"/>
  <c r="J109" i="39" s="1"/>
  <c r="K109" i="39" s="1"/>
  <c r="L109" i="39" s="1"/>
  <c r="M109" i="39" s="1"/>
  <c r="W33" i="39"/>
  <c r="S21" i="78"/>
  <c r="S31" i="39"/>
  <c r="AC29" i="39"/>
  <c r="W29" i="39"/>
  <c r="F101" i="39"/>
  <c r="G101" i="39" s="1"/>
  <c r="F27" i="39"/>
  <c r="J27" i="39"/>
  <c r="W27" i="39" s="1"/>
  <c r="H27" i="39"/>
  <c r="F23" i="39"/>
  <c r="AA23" i="39" s="1"/>
  <c r="J23" i="39"/>
  <c r="F97" i="39"/>
  <c r="G97" i="39" s="1"/>
  <c r="H23" i="39"/>
  <c r="AB23" i="39" s="1"/>
  <c r="F91" i="39"/>
  <c r="G91" i="39" s="1"/>
  <c r="J17" i="39"/>
  <c r="H17" i="39"/>
  <c r="F17" i="39"/>
  <c r="F93" i="39"/>
  <c r="F19" i="39" s="1"/>
  <c r="F23" i="78"/>
  <c r="H23" i="78"/>
  <c r="J23" i="78"/>
  <c r="F81" i="78"/>
  <c r="G81" i="78" s="1"/>
  <c r="J19" i="78" s="1"/>
  <c r="AC19" i="78" s="1"/>
  <c r="F19" i="78"/>
  <c r="H19" i="78"/>
  <c r="AB19" i="78" s="1"/>
  <c r="F79" i="78"/>
  <c r="G79" i="78" s="1"/>
  <c r="H17" i="78"/>
  <c r="AB17" i="78" s="1"/>
  <c r="J17" i="78"/>
  <c r="F17" i="78"/>
  <c r="AA17" i="78" s="1"/>
  <c r="U15" i="78"/>
  <c r="W15" i="78"/>
  <c r="S29" i="39"/>
  <c r="AC27" i="39"/>
  <c r="U11" i="39"/>
  <c r="W11" i="39"/>
  <c r="U16" i="39"/>
  <c r="AA16" i="39"/>
  <c r="S16" i="39"/>
  <c r="J16" i="39"/>
  <c r="W15" i="39"/>
  <c r="M20" i="15"/>
  <c r="F34" i="77"/>
  <c r="F61" i="77" s="1"/>
  <c r="M22" i="44"/>
  <c r="F36" i="44"/>
  <c r="M20" i="77"/>
  <c r="K17" i="4"/>
  <c r="A22" i="51" s="1"/>
  <c r="B16" i="63" s="1"/>
  <c r="AP10" i="1"/>
  <c r="G6" i="1"/>
  <c r="G8" i="1"/>
  <c r="G11" i="1"/>
  <c r="K76" i="9"/>
  <c r="K77" i="9" s="1"/>
  <c r="K79" i="9" s="1"/>
  <c r="K81" i="9" s="1"/>
  <c r="N76" i="9"/>
  <c r="L76" i="9"/>
  <c r="B8" i="52"/>
  <c r="B13" i="52"/>
  <c r="AP9" i="1"/>
  <c r="G9" i="1"/>
  <c r="B2" i="1"/>
  <c r="C1" i="65"/>
  <c r="E19" i="4"/>
  <c r="F7" i="1" s="1"/>
  <c r="G19" i="4"/>
  <c r="K2" i="54"/>
  <c r="B23" i="63" s="1"/>
  <c r="C53" i="10"/>
  <c r="E21" i="3"/>
  <c r="E419" i="3"/>
  <c r="E323" i="3"/>
  <c r="E547" i="3"/>
  <c r="E464" i="3"/>
  <c r="E245" i="3"/>
  <c r="L27" i="6"/>
  <c r="H5" i="3"/>
  <c r="BA13" i="3"/>
  <c r="W40" i="39"/>
  <c r="S40" i="39"/>
  <c r="E11" i="52"/>
  <c r="B14" i="52"/>
  <c r="AZ13" i="3"/>
  <c r="BA5" i="3"/>
  <c r="E27" i="6" s="1"/>
  <c r="K7" i="1"/>
  <c r="C9" i="12"/>
  <c r="C33" i="78"/>
  <c r="E569" i="3"/>
  <c r="E193" i="3"/>
  <c r="E296" i="3"/>
  <c r="E157" i="3"/>
  <c r="E125" i="3"/>
  <c r="E32" i="3"/>
  <c r="E546" i="3"/>
  <c r="E389" i="3"/>
  <c r="E461" i="3"/>
  <c r="E473" i="3"/>
  <c r="E286" i="3"/>
  <c r="E426" i="3"/>
  <c r="E481" i="3"/>
  <c r="E15" i="3"/>
  <c r="E308" i="3"/>
  <c r="E143" i="3"/>
  <c r="E334" i="3"/>
  <c r="E328" i="3"/>
  <c r="E108" i="3"/>
  <c r="E293" i="3"/>
  <c r="L6" i="3"/>
  <c r="E446" i="3"/>
  <c r="E221" i="3"/>
  <c r="E376" i="3"/>
  <c r="E549" i="3"/>
  <c r="I3" i="6"/>
  <c r="E468" i="3"/>
  <c r="E27" i="3"/>
  <c r="E37" i="3"/>
  <c r="E116" i="3"/>
  <c r="E243" i="3"/>
  <c r="E86" i="3"/>
  <c r="E22" i="3"/>
  <c r="E231" i="3"/>
  <c r="E149" i="3"/>
  <c r="E199" i="3"/>
  <c r="E435" i="3"/>
  <c r="E110" i="3"/>
  <c r="E98" i="3"/>
  <c r="E420" i="3"/>
  <c r="E288" i="3"/>
  <c r="E220" i="3"/>
  <c r="E197" i="3"/>
  <c r="E61" i="3"/>
  <c r="E529" i="3"/>
  <c r="E379" i="3"/>
  <c r="E538" i="3"/>
  <c r="E217" i="3"/>
  <c r="E307" i="3"/>
  <c r="E210" i="3"/>
  <c r="E169" i="3"/>
  <c r="E163" i="3"/>
  <c r="AL6" i="3"/>
  <c r="E515" i="3"/>
  <c r="E542" i="3"/>
  <c r="E341" i="3"/>
  <c r="E318" i="3"/>
  <c r="E413" i="3"/>
  <c r="E430" i="3"/>
  <c r="E447" i="3"/>
  <c r="E363" i="3"/>
  <c r="E126" i="3"/>
  <c r="E440" i="3"/>
  <c r="E216" i="3"/>
  <c r="E562" i="3"/>
  <c r="E18" i="3"/>
  <c r="E41" i="3"/>
  <c r="E92" i="3"/>
  <c r="E358" i="3"/>
  <c r="E312" i="3"/>
  <c r="E326" i="3"/>
  <c r="E40" i="3"/>
  <c r="E322" i="3"/>
  <c r="E104" i="3"/>
  <c r="E29" i="3"/>
  <c r="E270" i="3"/>
  <c r="E267" i="3"/>
  <c r="E304" i="3"/>
  <c r="E437" i="3"/>
  <c r="E294" i="3"/>
  <c r="E142" i="3"/>
  <c r="E398" i="3"/>
  <c r="E465" i="3"/>
  <c r="E135" i="3"/>
  <c r="E470" i="3"/>
  <c r="E423" i="3"/>
  <c r="E174" i="3"/>
  <c r="E39" i="3"/>
  <c r="E105" i="3"/>
  <c r="E433" i="3"/>
  <c r="E530" i="3"/>
  <c r="E177" i="3"/>
  <c r="E106" i="3"/>
  <c r="E351" i="3"/>
  <c r="E494" i="3"/>
  <c r="E316" i="3"/>
  <c r="E349" i="3"/>
  <c r="J6" i="3"/>
  <c r="E466" i="3"/>
  <c r="T6" i="3"/>
  <c r="E283" i="3"/>
  <c r="E414" i="3"/>
  <c r="E127" i="3"/>
  <c r="E548" i="3"/>
  <c r="AK6" i="3"/>
  <c r="E478" i="3"/>
  <c r="AS6" i="3"/>
  <c r="AG6" i="3"/>
  <c r="E487" i="3"/>
  <c r="E42" i="3"/>
  <c r="E314" i="3"/>
  <c r="E513" i="3"/>
  <c r="E451" i="3"/>
  <c r="E97" i="3"/>
  <c r="E274" i="3"/>
  <c r="E222" i="3"/>
  <c r="E78" i="3"/>
  <c r="E443" i="3"/>
  <c r="E484" i="3"/>
  <c r="E406" i="3"/>
  <c r="E366" i="3"/>
  <c r="E531" i="3"/>
  <c r="E236" i="3"/>
  <c r="E525" i="3"/>
  <c r="E234" i="3"/>
  <c r="E540" i="3"/>
  <c r="E276" i="3"/>
  <c r="E25" i="3"/>
  <c r="E568" i="3"/>
  <c r="E28" i="3"/>
  <c r="E62" i="3"/>
  <c r="E450" i="3"/>
  <c r="AN6" i="3"/>
  <c r="E338" i="3"/>
  <c r="E72" i="3"/>
  <c r="E455" i="3"/>
  <c r="E263" i="3"/>
  <c r="E544" i="3"/>
  <c r="E352" i="3"/>
  <c r="E501" i="3"/>
  <c r="E361" i="3"/>
  <c r="E385" i="3"/>
  <c r="E180" i="3"/>
  <c r="E386" i="3"/>
  <c r="AQ6" i="3"/>
  <c r="E172" i="3"/>
  <c r="E482" i="3"/>
  <c r="E140" i="3"/>
  <c r="E36" i="3"/>
  <c r="E348" i="3"/>
  <c r="E449" i="3"/>
  <c r="E485" i="3"/>
  <c r="E256" i="3"/>
  <c r="E502" i="3"/>
  <c r="E259" i="3"/>
  <c r="E493" i="3"/>
  <c r="E527" i="3"/>
  <c r="E572" i="3"/>
  <c r="E332" i="3"/>
  <c r="E57" i="3"/>
  <c r="E224" i="3"/>
  <c r="E241" i="3"/>
  <c r="E31" i="3"/>
  <c r="E460" i="3"/>
  <c r="E185" i="3"/>
  <c r="E203" i="3"/>
  <c r="E453" i="3"/>
  <c r="E459" i="3"/>
  <c r="E249" i="3"/>
  <c r="E218" i="3"/>
  <c r="W6" i="3"/>
  <c r="E88" i="3"/>
  <c r="E285" i="3"/>
  <c r="E300" i="3"/>
  <c r="E403" i="3"/>
  <c r="E90" i="3"/>
  <c r="E226" i="3"/>
  <c r="E167" i="3"/>
  <c r="E254" i="3"/>
  <c r="E380" i="3"/>
  <c r="E552" i="3"/>
  <c r="E445" i="3"/>
  <c r="E324" i="3"/>
  <c r="E329" i="3"/>
  <c r="E418" i="3"/>
  <c r="E202" i="3"/>
  <c r="E215" i="3"/>
  <c r="E454" i="3"/>
  <c r="E205" i="3"/>
  <c r="E357" i="3"/>
  <c r="E383" i="3"/>
  <c r="E17" i="3"/>
  <c r="E571" i="3"/>
  <c r="E183" i="3"/>
  <c r="AF6" i="3"/>
  <c r="E365" i="3"/>
  <c r="E425" i="3"/>
  <c r="E60" i="3"/>
  <c r="E164" i="3"/>
  <c r="E158" i="3"/>
  <c r="E194" i="3"/>
  <c r="AO6" i="3"/>
  <c r="E137" i="3"/>
  <c r="E510" i="3"/>
  <c r="E344" i="3"/>
  <c r="E171" i="3"/>
  <c r="E353" i="3"/>
  <c r="E282" i="3"/>
  <c r="E462" i="3"/>
  <c r="E279" i="3"/>
  <c r="E188" i="3"/>
  <c r="E498" i="3"/>
  <c r="E350" i="3"/>
  <c r="E13" i="3"/>
  <c r="E73" i="3"/>
  <c r="E377" i="3"/>
  <c r="E299" i="3"/>
  <c r="E407" i="3"/>
  <c r="E479" i="3"/>
  <c r="AI6" i="3"/>
  <c r="I101" i="46"/>
  <c r="AJ11" i="46"/>
  <c r="AJ13" i="46" s="1"/>
  <c r="L101" i="46"/>
  <c r="C101" i="46"/>
  <c r="O8" i="1"/>
  <c r="P8" i="1" s="1"/>
  <c r="M7" i="1"/>
  <c r="H16" i="1"/>
  <c r="G22" i="46"/>
  <c r="C23" i="46"/>
  <c r="C21" i="46" s="1"/>
  <c r="E22" i="52"/>
  <c r="E10" i="52"/>
  <c r="B23" i="52"/>
  <c r="Q16" i="1"/>
  <c r="F24" i="43" s="1"/>
  <c r="C26" i="43" s="1"/>
  <c r="D24" i="43" s="1"/>
  <c r="O12" i="1"/>
  <c r="P12" i="1"/>
  <c r="P10" i="1"/>
  <c r="M9" i="1"/>
  <c r="AQ11" i="1"/>
  <c r="O13" i="1"/>
  <c r="P13" i="1" s="1"/>
  <c r="F33" i="78"/>
  <c r="H33" i="78"/>
  <c r="J33" i="78"/>
  <c r="C103" i="46"/>
  <c r="C109" i="46"/>
  <c r="C106" i="46"/>
  <c r="L107" i="46"/>
  <c r="L105" i="46"/>
  <c r="L104" i="46"/>
  <c r="L109" i="46"/>
  <c r="I103" i="46"/>
  <c r="I106" i="46"/>
  <c r="I107" i="46"/>
  <c r="E114" i="3"/>
  <c r="E47" i="3"/>
  <c r="E327" i="3"/>
  <c r="E521" i="3"/>
  <c r="E240" i="3"/>
  <c r="E211" i="3"/>
  <c r="E512" i="3"/>
  <c r="E49" i="3"/>
  <c r="E133" i="3"/>
  <c r="E509" i="3"/>
  <c r="E212" i="3"/>
  <c r="E570" i="3"/>
  <c r="N6" i="3"/>
  <c r="E320" i="3"/>
  <c r="E75" i="3"/>
  <c r="E411" i="3"/>
  <c r="E251" i="3"/>
  <c r="E416" i="3"/>
  <c r="E367" i="3"/>
  <c r="E392" i="3"/>
  <c r="E155" i="3"/>
  <c r="E81" i="3"/>
  <c r="E111" i="3"/>
  <c r="E561" i="3"/>
  <c r="E144" i="3"/>
  <c r="E198" i="3"/>
  <c r="AE6" i="3"/>
  <c r="E388" i="3"/>
  <c r="E156" i="3"/>
  <c r="E488" i="3"/>
  <c r="E122" i="3"/>
  <c r="E319" i="3"/>
  <c r="E160" i="3"/>
  <c r="E204" i="3"/>
  <c r="E141" i="3"/>
  <c r="X6" i="3"/>
  <c r="E518" i="3"/>
  <c r="E79" i="3"/>
  <c r="E541" i="3"/>
  <c r="E532" i="3"/>
  <c r="E524" i="3"/>
  <c r="E76" i="3"/>
  <c r="E255" i="3"/>
  <c r="E213" i="3"/>
  <c r="E93" i="3"/>
  <c r="E310" i="3"/>
  <c r="E284" i="3"/>
  <c r="E150" i="3"/>
  <c r="E65" i="3"/>
  <c r="E52" i="3"/>
  <c r="E48" i="3"/>
  <c r="E101" i="3"/>
  <c r="E124" i="3"/>
  <c r="E427" i="3"/>
  <c r="E250" i="3"/>
  <c r="E382" i="3"/>
  <c r="E227" i="3"/>
  <c r="E483" i="3"/>
  <c r="E56" i="3"/>
  <c r="AJ6" i="3"/>
  <c r="E491" i="3"/>
  <c r="E87" i="3"/>
  <c r="E96" i="3"/>
  <c r="E196" i="3"/>
  <c r="O6" i="3"/>
  <c r="E136" i="3"/>
  <c r="E80" i="3"/>
  <c r="E200" i="3"/>
  <c r="E161" i="3"/>
  <c r="E23" i="3"/>
  <c r="E181" i="3"/>
  <c r="E51" i="3"/>
  <c r="E500" i="3"/>
  <c r="E186" i="3"/>
  <c r="E346" i="3"/>
  <c r="E130" i="3"/>
  <c r="E514" i="3"/>
  <c r="E35" i="3"/>
  <c r="E277" i="3"/>
  <c r="E508" i="3"/>
  <c r="E66" i="3"/>
  <c r="E58" i="3"/>
  <c r="E402" i="3"/>
  <c r="E184" i="3"/>
  <c r="AH6" i="3"/>
  <c r="E409" i="3"/>
  <c r="V6" i="3"/>
  <c r="E297" i="3"/>
  <c r="E475" i="3"/>
  <c r="E421" i="3"/>
  <c r="E206" i="3"/>
  <c r="E132" i="3"/>
  <c r="E333" i="3"/>
  <c r="E91" i="3"/>
  <c r="E115" i="3"/>
  <c r="E359" i="3"/>
  <c r="E195" i="3"/>
  <c r="E391" i="3"/>
  <c r="E472" i="3"/>
  <c r="E187" i="3"/>
  <c r="E253" i="3"/>
  <c r="E225" i="3"/>
  <c r="E428" i="3"/>
  <c r="E165" i="3"/>
  <c r="E100" i="3"/>
  <c r="E404" i="3"/>
  <c r="E374" i="3"/>
  <c r="E30" i="3"/>
  <c r="E84" i="3"/>
  <c r="AP6" i="3"/>
  <c r="E431" i="3"/>
  <c r="E70" i="3"/>
  <c r="E38" i="3"/>
  <c r="E151" i="3"/>
  <c r="E313" i="3"/>
  <c r="E53" i="3"/>
  <c r="E405" i="3"/>
  <c r="E232" i="3"/>
  <c r="E189" i="3"/>
  <c r="E507" i="3"/>
  <c r="E275" i="3"/>
  <c r="E467" i="3"/>
  <c r="E67" i="3"/>
  <c r="E214" i="3"/>
  <c r="E486" i="3"/>
  <c r="E543" i="3"/>
  <c r="E264" i="3"/>
  <c r="E369" i="3"/>
  <c r="E400" i="3"/>
  <c r="E99" i="3"/>
  <c r="E331" i="3"/>
  <c r="E271" i="3"/>
  <c r="E257" i="3"/>
  <c r="E550" i="3"/>
  <c r="E347" i="3"/>
  <c r="E248" i="3"/>
  <c r="E516" i="3"/>
  <c r="E166" i="3"/>
  <c r="E33" i="3"/>
  <c r="E123" i="3"/>
  <c r="AB6" i="3"/>
  <c r="U6" i="3"/>
  <c r="E337" i="3"/>
  <c r="E522" i="3"/>
  <c r="E458" i="3"/>
  <c r="E85" i="3"/>
  <c r="E280" i="3"/>
  <c r="E146" i="3"/>
  <c r="E182" i="3"/>
  <c r="E121" i="3"/>
  <c r="E131" i="3"/>
  <c r="E506" i="3"/>
  <c r="E290" i="3"/>
  <c r="E113" i="3"/>
  <c r="E82" i="3"/>
  <c r="E381" i="3"/>
  <c r="E71" i="3"/>
  <c r="E208" i="3"/>
  <c r="E456" i="3"/>
  <c r="E242" i="3"/>
  <c r="E207" i="3"/>
  <c r="E34" i="3"/>
  <c r="AD6" i="3"/>
  <c r="E26" i="3"/>
  <c r="E556" i="3"/>
  <c r="E557" i="3"/>
  <c r="E340" i="3"/>
  <c r="E19" i="3"/>
  <c r="E24" i="3"/>
  <c r="E145" i="3"/>
  <c r="E397" i="3"/>
  <c r="E55" i="3"/>
  <c r="M6" i="3"/>
  <c r="E69" i="3"/>
  <c r="E152" i="3"/>
  <c r="E46" i="3"/>
  <c r="E457" i="3"/>
  <c r="E534" i="3"/>
  <c r="E387" i="3"/>
  <c r="E89" i="3"/>
  <c r="E201" i="3"/>
  <c r="E170" i="3"/>
  <c r="E343" i="3"/>
  <c r="E410" i="3"/>
  <c r="E109" i="3"/>
  <c r="E148" i="3"/>
  <c r="E412" i="3"/>
  <c r="E533" i="3"/>
  <c r="E303" i="3"/>
  <c r="E429" i="3"/>
  <c r="E372" i="3"/>
  <c r="E154" i="3"/>
  <c r="E309" i="3"/>
  <c r="P6" i="3"/>
  <c r="E68" i="3"/>
  <c r="E147" i="3"/>
  <c r="E439" i="3"/>
  <c r="E117" i="3"/>
  <c r="E528" i="3"/>
  <c r="E492" i="3"/>
  <c r="E295" i="3"/>
  <c r="E537" i="3"/>
  <c r="E54" i="3"/>
  <c r="E452" i="3"/>
  <c r="E490" i="3"/>
  <c r="E442" i="3"/>
  <c r="E63" i="3"/>
  <c r="E129" i="3"/>
  <c r="E422" i="3"/>
  <c r="E190" i="3"/>
  <c r="E233" i="3"/>
  <c r="E107" i="3"/>
  <c r="E393" i="3"/>
  <c r="E480" i="3"/>
  <c r="E517" i="3"/>
  <c r="E74" i="3"/>
  <c r="E162" i="3"/>
  <c r="E235" i="3"/>
  <c r="E229" i="3"/>
  <c r="E120" i="3"/>
  <c r="E191" i="3"/>
  <c r="E555" i="3"/>
  <c r="E355" i="3"/>
  <c r="E499" i="3"/>
  <c r="E558" i="3"/>
  <c r="E173" i="3"/>
  <c r="E436" i="3"/>
  <c r="E260" i="3"/>
  <c r="E432" i="3"/>
  <c r="E153" i="3"/>
  <c r="E339" i="3"/>
  <c r="E14" i="3"/>
  <c r="E118" i="3"/>
  <c r="E378" i="3"/>
  <c r="E364" i="3"/>
  <c r="E342" i="3"/>
  <c r="E497" i="3"/>
  <c r="E566" i="3"/>
  <c r="E553" i="3"/>
  <c r="E273" i="3"/>
  <c r="E563" i="3"/>
  <c r="E112" i="3"/>
  <c r="E268" i="3"/>
  <c r="E175" i="3"/>
  <c r="E565" i="3"/>
  <c r="E503" i="3"/>
  <c r="E390" i="3"/>
  <c r="E311" i="3"/>
  <c r="E77" i="3"/>
  <c r="E463" i="3"/>
  <c r="Q6" i="3"/>
  <c r="E438" i="3"/>
  <c r="E401" i="3"/>
  <c r="E305" i="3"/>
  <c r="Y6" i="3"/>
  <c r="E345" i="3"/>
  <c r="E559" i="3"/>
  <c r="E325" i="3"/>
  <c r="E373" i="3"/>
  <c r="E269" i="3"/>
  <c r="E371" i="3"/>
  <c r="E511" i="3"/>
  <c r="E564" i="3"/>
  <c r="E535" i="3"/>
  <c r="E471" i="3"/>
  <c r="E408" i="3"/>
  <c r="E238" i="3"/>
  <c r="E44" i="3"/>
  <c r="E321" i="3"/>
  <c r="E266" i="3"/>
  <c r="I6" i="3"/>
  <c r="Z6" i="3"/>
  <c r="E520" i="3"/>
  <c r="E223" i="3"/>
  <c r="E399" i="3"/>
  <c r="E317" i="3"/>
  <c r="E179" i="3"/>
  <c r="E444" i="3"/>
  <c r="R6" i="3"/>
  <c r="E20" i="3"/>
  <c r="S6" i="3"/>
  <c r="E384" i="3"/>
  <c r="E219" i="3"/>
  <c r="E45" i="3"/>
  <c r="E489" i="3"/>
  <c r="E362" i="3"/>
  <c r="E281" i="3"/>
  <c r="E336" i="3"/>
  <c r="E291" i="3"/>
  <c r="E272" i="3"/>
  <c r="E289" i="3"/>
  <c r="E119" i="3"/>
  <c r="E292" i="3"/>
  <c r="E262" i="3"/>
  <c r="E424" i="3"/>
  <c r="E83" i="3"/>
  <c r="E278" i="3"/>
  <c r="AM6" i="3"/>
  <c r="E265" i="3"/>
  <c r="E395" i="3"/>
  <c r="E356" i="3"/>
  <c r="E301" i="3"/>
  <c r="E244" i="3"/>
  <c r="E504" i="3"/>
  <c r="E368" i="3"/>
  <c r="E335" i="3"/>
  <c r="E495" i="3"/>
  <c r="E354" i="3"/>
  <c r="E474" i="3"/>
  <c r="E50" i="3"/>
  <c r="K6" i="3"/>
  <c r="E554" i="3"/>
  <c r="E128" i="3"/>
  <c r="E239" i="3"/>
  <c r="E134" i="3"/>
  <c r="E477" i="3"/>
  <c r="E370" i="3"/>
  <c r="E43" i="3"/>
  <c r="E258" i="3"/>
  <c r="E102" i="3"/>
  <c r="E539" i="3"/>
  <c r="E247" i="3"/>
  <c r="E168" i="3"/>
  <c r="E415" i="3"/>
  <c r="E230" i="3"/>
  <c r="E103" i="3"/>
  <c r="AA6" i="3"/>
  <c r="E209" i="3"/>
  <c r="E59" i="3"/>
  <c r="E476" i="3"/>
  <c r="E567" i="3"/>
  <c r="E360" i="3"/>
  <c r="E228" i="3"/>
  <c r="AR6" i="3"/>
  <c r="E139" i="3"/>
  <c r="E178" i="3"/>
  <c r="E434" i="3"/>
  <c r="E94" i="3"/>
  <c r="E523" i="3"/>
  <c r="E252" i="3"/>
  <c r="E138" i="3"/>
  <c r="E496" i="3"/>
  <c r="E330" i="3"/>
  <c r="E159" i="3"/>
  <c r="E315" i="3"/>
  <c r="E298" i="3"/>
  <c r="E95" i="3"/>
  <c r="E16" i="3"/>
  <c r="E551" i="3"/>
  <c r="E306" i="3"/>
  <c r="E287" i="3"/>
  <c r="E302" i="3"/>
  <c r="E505" i="3"/>
  <c r="E448" i="3"/>
  <c r="E417" i="3"/>
  <c r="E261" i="3"/>
  <c r="E469" i="3"/>
  <c r="E545" i="3"/>
  <c r="E536" i="3"/>
  <c r="E64" i="3"/>
  <c r="E237" i="3"/>
  <c r="E375" i="3"/>
  <c r="E394" i="3"/>
  <c r="E192" i="3"/>
  <c r="AB11" i="46"/>
  <c r="AB13" i="46" s="1"/>
  <c r="AE11" i="46"/>
  <c r="AE13" i="46" s="1"/>
  <c r="AF11" i="46"/>
  <c r="AF13" i="46" s="1"/>
  <c r="AI11" i="46"/>
  <c r="AI13" i="46" s="1"/>
  <c r="AA11" i="46"/>
  <c r="AA13" i="46" s="1"/>
  <c r="AH11" i="46"/>
  <c r="AH13" i="46" s="1"/>
  <c r="Z11" i="46"/>
  <c r="Z13" i="46" s="1"/>
  <c r="Y11" i="46"/>
  <c r="Y13" i="46" s="1"/>
  <c r="AC11" i="46"/>
  <c r="AC13" i="46" s="1"/>
  <c r="K101" i="46"/>
  <c r="M101" i="46"/>
  <c r="J101" i="46"/>
  <c r="F101" i="46"/>
  <c r="H22" i="46"/>
  <c r="Z7" i="46"/>
  <c r="N104" i="45"/>
  <c r="E101" i="46"/>
  <c r="H101" i="46"/>
  <c r="E22" i="46"/>
  <c r="F22" i="46"/>
  <c r="AD11" i="46"/>
  <c r="AD13" i="46" s="1"/>
  <c r="N101" i="46"/>
  <c r="G101" i="46"/>
  <c r="B113" i="46"/>
  <c r="D101" i="46"/>
  <c r="O11" i="1"/>
  <c r="P11" i="1" s="1"/>
  <c r="O6" i="1"/>
  <c r="E8" i="6"/>
  <c r="E15" i="6"/>
  <c r="E11" i="6"/>
  <c r="E13" i="6"/>
  <c r="E5" i="6"/>
  <c r="E12" i="6"/>
  <c r="E14" i="6"/>
  <c r="U40" i="39"/>
  <c r="B4" i="52"/>
  <c r="E16" i="52"/>
  <c r="E6" i="52"/>
  <c r="E4" i="52"/>
  <c r="B16" i="52"/>
  <c r="E7" i="52"/>
  <c r="B10" i="52"/>
  <c r="E9" i="52"/>
  <c r="B6" i="52"/>
  <c r="E8" i="52"/>
  <c r="E21" i="52"/>
  <c r="B9" i="52"/>
  <c r="E5" i="52"/>
  <c r="B5" i="52"/>
  <c r="B22" i="52"/>
  <c r="B11" i="52"/>
  <c r="B7" i="52"/>
  <c r="E176" i="3" l="1"/>
  <c r="E526" i="3"/>
  <c r="E396" i="3"/>
  <c r="E246" i="3"/>
  <c r="E519" i="3"/>
  <c r="E441" i="3"/>
  <c r="E560" i="3"/>
  <c r="AZ14" i="3"/>
  <c r="AZ5" i="3" s="1"/>
  <c r="BL5" i="3"/>
  <c r="AC21" i="78"/>
  <c r="W21" i="78"/>
  <c r="AA14" i="78"/>
  <c r="S14" i="78"/>
  <c r="W14" i="78"/>
  <c r="AC14" i="78"/>
  <c r="U12" i="78"/>
  <c r="AB12" i="78"/>
  <c r="AA42" i="78"/>
  <c r="S42" i="78"/>
  <c r="AB10" i="78"/>
  <c r="U10" i="78"/>
  <c r="F28" i="6"/>
  <c r="G29" i="6"/>
  <c r="G30" i="6" s="1"/>
  <c r="G31" i="6" s="1"/>
  <c r="AZ131" i="3"/>
  <c r="AZ181" i="3"/>
  <c r="AG11" i="46"/>
  <c r="AG13" i="46" s="1"/>
  <c r="J22" i="46"/>
  <c r="F50" i="59"/>
  <c r="Q51" i="59"/>
  <c r="AB26" i="37"/>
  <c r="U26" i="37"/>
  <c r="AB9" i="34"/>
  <c r="U9" i="34"/>
  <c r="S40" i="37"/>
  <c r="AA40" i="37"/>
  <c r="S29" i="34"/>
  <c r="AA29" i="34"/>
  <c r="S9" i="37"/>
  <c r="AA9" i="37"/>
  <c r="S12" i="37"/>
  <c r="AA12" i="37"/>
  <c r="U14" i="34"/>
  <c r="AB14" i="34"/>
  <c r="AC11" i="35"/>
  <c r="W11" i="35"/>
  <c r="U37" i="39"/>
  <c r="AB37" i="39"/>
  <c r="S26" i="35"/>
  <c r="AA26" i="35"/>
  <c r="U28" i="37"/>
  <c r="AB28" i="37"/>
  <c r="AA9" i="36"/>
  <c r="S9" i="36"/>
  <c r="AB29" i="34"/>
  <c r="U29" i="34"/>
  <c r="AB26" i="33"/>
  <c r="U26" i="33"/>
  <c r="S33" i="39"/>
  <c r="AA33" i="39"/>
  <c r="AC24" i="36"/>
  <c r="W24" i="36"/>
  <c r="AA43" i="39"/>
  <c r="S43" i="39"/>
  <c r="E29" i="6"/>
  <c r="K15" i="1" s="1"/>
  <c r="AB14" i="78"/>
  <c r="U14" i="78"/>
  <c r="S12" i="78"/>
  <c r="AA12" i="78"/>
  <c r="AC12" i="78"/>
  <c r="W12" i="78"/>
  <c r="AC42" i="78"/>
  <c r="W42" i="78"/>
  <c r="U42" i="78"/>
  <c r="AB42" i="78"/>
  <c r="S10" i="78"/>
  <c r="AA10" i="78"/>
  <c r="W10" i="78"/>
  <c r="AC10" i="78"/>
  <c r="AZ46" i="3"/>
  <c r="AZ59" i="3"/>
  <c r="AZ38" i="3"/>
  <c r="AZ54" i="3"/>
  <c r="C50" i="59"/>
  <c r="O51" i="59"/>
  <c r="D51" i="59"/>
  <c r="AZ198" i="3"/>
  <c r="AZ200" i="3"/>
  <c r="AZ320" i="3"/>
  <c r="AA23" i="36"/>
  <c r="S23" i="36"/>
  <c r="AC45" i="33"/>
  <c r="W45" i="33"/>
  <c r="S46" i="33"/>
  <c r="AA46" i="33"/>
  <c r="U9" i="37"/>
  <c r="AB9" i="37"/>
  <c r="AB12" i="37"/>
  <c r="U12" i="37"/>
  <c r="W32" i="34"/>
  <c r="AC32" i="34"/>
  <c r="W39" i="39"/>
  <c r="AC39" i="39"/>
  <c r="W37" i="39"/>
  <c r="AC37" i="39"/>
  <c r="U26" i="35"/>
  <c r="AB26" i="35"/>
  <c r="AC9" i="33"/>
  <c r="W9" i="33"/>
  <c r="AA36" i="35"/>
  <c r="S36" i="35"/>
  <c r="AB24" i="35"/>
  <c r="U24" i="35"/>
  <c r="U19" i="21"/>
  <c r="AB19" i="21"/>
  <c r="U39" i="37"/>
  <c r="AB39" i="37"/>
  <c r="C48" i="59"/>
  <c r="D47" i="59"/>
  <c r="B20" i="31"/>
  <c r="R22" i="31"/>
  <c r="B21" i="31" s="1"/>
  <c r="W43" i="39"/>
  <c r="AC43" i="39"/>
  <c r="AC34" i="39"/>
  <c r="W34" i="39"/>
  <c r="AA34" i="39"/>
  <c r="S34" i="39"/>
  <c r="AB34" i="39"/>
  <c r="U34" i="39"/>
  <c r="U23" i="39"/>
  <c r="U17" i="78"/>
  <c r="AB27" i="39"/>
  <c r="U27" i="39"/>
  <c r="S27" i="39"/>
  <c r="AA27" i="39"/>
  <c r="S23" i="39"/>
  <c r="AC23" i="39"/>
  <c r="W23" i="39"/>
  <c r="AA17" i="39"/>
  <c r="S17" i="39"/>
  <c r="AA19" i="39"/>
  <c r="S19" i="39"/>
  <c r="J19" i="39"/>
  <c r="G93" i="39"/>
  <c r="H19" i="39"/>
  <c r="U17" i="39"/>
  <c r="AB17" i="39"/>
  <c r="AC17" i="39"/>
  <c r="W17" i="39"/>
  <c r="U23" i="78"/>
  <c r="AB23" i="78"/>
  <c r="AC23" i="78"/>
  <c r="W23" i="78"/>
  <c r="S23" i="78"/>
  <c r="AA23" i="78"/>
  <c r="W19" i="78"/>
  <c r="U19" i="78"/>
  <c r="AA19" i="78"/>
  <c r="S19" i="78"/>
  <c r="S17" i="78"/>
  <c r="AC17" i="78"/>
  <c r="W17" i="78"/>
  <c r="W16" i="39"/>
  <c r="AC16" i="39"/>
  <c r="AP7" i="1"/>
  <c r="AP16" i="1" s="1"/>
  <c r="F22" i="11" s="1"/>
  <c r="G7" i="1"/>
  <c r="G16" i="1" s="1"/>
  <c r="H12" i="40" s="1"/>
  <c r="G19" i="46"/>
  <c r="C42" i="1"/>
  <c r="J51" i="15"/>
  <c r="C7" i="78"/>
  <c r="D38" i="4"/>
  <c r="C39" i="4" s="1"/>
  <c r="C9" i="40"/>
  <c r="C65" i="40" s="1"/>
  <c r="C7" i="37"/>
  <c r="C52" i="37" s="1"/>
  <c r="C7" i="35"/>
  <c r="C48" i="35" s="1"/>
  <c r="C7" i="21"/>
  <c r="N67" i="9"/>
  <c r="J51" i="72"/>
  <c r="C7" i="36"/>
  <c r="C46" i="36" s="1"/>
  <c r="C7" i="34"/>
  <c r="C59" i="34" s="1"/>
  <c r="C9" i="39"/>
  <c r="C70" i="39" s="1"/>
  <c r="C7" i="33"/>
  <c r="C58" i="33" s="1"/>
  <c r="J51" i="77"/>
  <c r="A25" i="51"/>
  <c r="B18" i="63" s="1"/>
  <c r="A25" i="64"/>
  <c r="N1" i="65"/>
  <c r="H1" i="65"/>
  <c r="F18" i="11"/>
  <c r="C18" i="11" s="1"/>
  <c r="O9" i="1"/>
  <c r="P9" i="1" s="1"/>
  <c r="C104" i="46"/>
  <c r="C102" i="46"/>
  <c r="C107" i="46"/>
  <c r="C105" i="46"/>
  <c r="F33" i="12"/>
  <c r="J12" i="40"/>
  <c r="O7" i="1"/>
  <c r="L106" i="46"/>
  <c r="L102" i="46"/>
  <c r="L103" i="46"/>
  <c r="I104" i="46"/>
  <c r="I109" i="46"/>
  <c r="I102" i="46"/>
  <c r="I105" i="46"/>
  <c r="E66" i="39"/>
  <c r="E61" i="40"/>
  <c r="D21" i="12"/>
  <c r="C21" i="12" s="1"/>
  <c r="D12" i="11"/>
  <c r="C12" i="11" s="1"/>
  <c r="E63" i="39"/>
  <c r="E58" i="40"/>
  <c r="F27" i="6"/>
  <c r="E58" i="39"/>
  <c r="E53" i="40"/>
  <c r="E16" i="6"/>
  <c r="D118" i="46"/>
  <c r="E118" i="46" s="1"/>
  <c r="F118" i="46" s="1"/>
  <c r="D115" i="46"/>
  <c r="E115" i="46" s="1"/>
  <c r="F115" i="46" s="1"/>
  <c r="G115" i="46" s="1"/>
  <c r="H115" i="46" s="1"/>
  <c r="B115" i="46"/>
  <c r="I118" i="46"/>
  <c r="J118" i="46" s="1"/>
  <c r="K118" i="46" s="1"/>
  <c r="L118" i="46" s="1"/>
  <c r="M118" i="46" s="1"/>
  <c r="B118" i="46"/>
  <c r="C118" i="46" s="1"/>
  <c r="I115" i="46"/>
  <c r="J115" i="46" s="1"/>
  <c r="K115" i="46" s="1"/>
  <c r="L115" i="46" s="1"/>
  <c r="M115" i="46" s="1"/>
  <c r="B117" i="46"/>
  <c r="C117" i="46" s="1"/>
  <c r="I117" i="46"/>
  <c r="J117" i="46" s="1"/>
  <c r="K117" i="46" s="1"/>
  <c r="L117" i="46" s="1"/>
  <c r="M117" i="46" s="1"/>
  <c r="D116" i="46"/>
  <c r="E116" i="46" s="1"/>
  <c r="F116" i="46" s="1"/>
  <c r="G116" i="46" s="1"/>
  <c r="H116" i="46" s="1"/>
  <c r="B116" i="46"/>
  <c r="C116" i="46" s="1"/>
  <c r="D117" i="46"/>
  <c r="E117" i="46" s="1"/>
  <c r="F117" i="46" s="1"/>
  <c r="G117" i="46" s="1"/>
  <c r="H117" i="46" s="1"/>
  <c r="I116" i="46"/>
  <c r="J116" i="46" s="1"/>
  <c r="K116" i="46" s="1"/>
  <c r="L116" i="46" s="1"/>
  <c r="M116" i="46" s="1"/>
  <c r="G118" i="46"/>
  <c r="H118" i="46" s="1"/>
  <c r="N103" i="46"/>
  <c r="N107" i="46"/>
  <c r="N104" i="46"/>
  <c r="N106" i="46"/>
  <c r="N105" i="46"/>
  <c r="N109" i="46"/>
  <c r="N102" i="46"/>
  <c r="H105" i="46"/>
  <c r="H103" i="46"/>
  <c r="H104" i="46"/>
  <c r="H107" i="46"/>
  <c r="H102" i="46"/>
  <c r="H106" i="46"/>
  <c r="H109" i="46"/>
  <c r="J102" i="46"/>
  <c r="J104" i="46"/>
  <c r="J107" i="46"/>
  <c r="J103" i="46"/>
  <c r="J106" i="46"/>
  <c r="J109" i="46"/>
  <c r="J105" i="46"/>
  <c r="K104" i="46"/>
  <c r="K107" i="46"/>
  <c r="K109" i="46"/>
  <c r="K105" i="46"/>
  <c r="K106" i="46"/>
  <c r="K102" i="46"/>
  <c r="K103" i="46"/>
  <c r="AB33" i="78"/>
  <c r="U33" i="78"/>
  <c r="E64" i="39"/>
  <c r="E59" i="40"/>
  <c r="E60" i="40"/>
  <c r="E65" i="39"/>
  <c r="E67" i="39"/>
  <c r="E62" i="40"/>
  <c r="P6" i="1"/>
  <c r="D104" i="46"/>
  <c r="D107" i="46"/>
  <c r="D106" i="46"/>
  <c r="D109" i="46"/>
  <c r="D103" i="46"/>
  <c r="D105" i="46"/>
  <c r="D102" i="46"/>
  <c r="G106" i="46"/>
  <c r="G105" i="46"/>
  <c r="G109" i="46"/>
  <c r="G102" i="46"/>
  <c r="G104" i="46"/>
  <c r="G107" i="46"/>
  <c r="G103" i="46"/>
  <c r="D22" i="46"/>
  <c r="E105" i="46"/>
  <c r="E103" i="46"/>
  <c r="E107" i="46"/>
  <c r="E106" i="46"/>
  <c r="E104" i="46"/>
  <c r="E109" i="46"/>
  <c r="E102" i="46"/>
  <c r="F109" i="46"/>
  <c r="F103" i="46"/>
  <c r="F105" i="46"/>
  <c r="F102" i="46"/>
  <c r="F107" i="46"/>
  <c r="F104" i="46"/>
  <c r="F106" i="46"/>
  <c r="M107" i="46"/>
  <c r="M109" i="46"/>
  <c r="M104" i="46"/>
  <c r="M105" i="46"/>
  <c r="M106" i="46"/>
  <c r="M103" i="46"/>
  <c r="M102" i="46"/>
  <c r="H6" i="3"/>
  <c r="AC6" i="3"/>
  <c r="AC33" i="78"/>
  <c r="W33" i="78"/>
  <c r="AA33" i="78"/>
  <c r="S33" i="78"/>
  <c r="E3" i="6" l="1"/>
  <c r="AY6" i="3"/>
  <c r="F12" i="40"/>
  <c r="S12" i="40" s="1"/>
  <c r="T48" i="59"/>
  <c r="D48" i="59"/>
  <c r="O49" i="59"/>
  <c r="D50" i="59"/>
  <c r="O50" i="59"/>
  <c r="Q50" i="59"/>
  <c r="Q49" i="59"/>
  <c r="F30" i="6"/>
  <c r="F31" i="6" s="1"/>
  <c r="E28" i="6"/>
  <c r="AB19" i="39"/>
  <c r="U19" i="39"/>
  <c r="W19" i="39"/>
  <c r="AC19" i="39"/>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J7" i="34"/>
  <c r="H7" i="34"/>
  <c r="I7" i="21"/>
  <c r="G7" i="21"/>
  <c r="C58" i="21"/>
  <c r="D52" i="37"/>
  <c r="E52" i="37" s="1"/>
  <c r="F52" i="37" s="1"/>
  <c r="G52" i="37" s="1"/>
  <c r="H52" i="37" s="1"/>
  <c r="I52" i="37" s="1"/>
  <c r="J52" i="37" s="1"/>
  <c r="K52" i="37" s="1"/>
  <c r="L52" i="37" s="1"/>
  <c r="M52" i="37" s="1"/>
  <c r="N52" i="37" s="1"/>
  <c r="O52" i="37" s="1"/>
  <c r="H7" i="37"/>
  <c r="J7" i="37"/>
  <c r="F7" i="37"/>
  <c r="P24" i="46"/>
  <c r="B68" i="40" s="1"/>
  <c r="P21" i="46"/>
  <c r="P23" i="46"/>
  <c r="B73" i="39" s="1"/>
  <c r="P22" i="46"/>
  <c r="P25" i="46"/>
  <c r="O19" i="46"/>
  <c r="M20" i="46"/>
  <c r="C19" i="46" s="1"/>
  <c r="D70" i="39"/>
  <c r="C72" i="39"/>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J7" i="35"/>
  <c r="D65" i="40"/>
  <c r="C67" i="40"/>
  <c r="C58" i="78"/>
  <c r="C27" i="43"/>
  <c r="C30" i="44"/>
  <c r="C28" i="72"/>
  <c r="C28" i="15"/>
  <c r="C28" i="77"/>
  <c r="C31" i="43"/>
  <c r="C15" i="43"/>
  <c r="C25" i="12"/>
  <c r="C34" i="12" s="1"/>
  <c r="D33" i="12" s="1"/>
  <c r="P7" i="1"/>
  <c r="AA12" i="40"/>
  <c r="AC12" i="39"/>
  <c r="W12" i="39"/>
  <c r="U12" i="40"/>
  <c r="AB12" i="40"/>
  <c r="E6" i="3"/>
  <c r="AA12" i="39"/>
  <c r="S12" i="39"/>
  <c r="AC12" i="40"/>
  <c r="W12" i="40"/>
  <c r="AB12" i="39"/>
  <c r="U12" i="39"/>
  <c r="S5" i="46"/>
  <c r="T5" i="46" s="1"/>
  <c r="V5" i="46" s="1"/>
  <c r="S4" i="46"/>
  <c r="T4" i="46" s="1"/>
  <c r="V4" i="46" s="1"/>
  <c r="S6" i="46"/>
  <c r="T6" i="46" s="1"/>
  <c r="V6" i="46" s="1"/>
  <c r="S3" i="46"/>
  <c r="T3" i="46" s="1"/>
  <c r="V3" i="46" s="1"/>
  <c r="S2" i="46"/>
  <c r="T2" i="46" s="1"/>
  <c r="V2" i="46" s="1"/>
  <c r="S7" i="46"/>
  <c r="T7" i="46" s="1"/>
  <c r="V7" i="46" s="1"/>
  <c r="C15" i="12"/>
  <c r="C115" i="46"/>
  <c r="D113" i="46" s="1"/>
  <c r="E68" i="39"/>
  <c r="K14" i="1" l="1"/>
  <c r="E30" i="6"/>
  <c r="E31" i="6" s="1"/>
  <c r="K19" i="6"/>
  <c r="K25" i="6"/>
  <c r="M25" i="6" s="1"/>
  <c r="I25" i="6" s="1"/>
  <c r="S25" i="6" s="1"/>
  <c r="K20" i="6"/>
  <c r="K22" i="6"/>
  <c r="M22" i="6" s="1"/>
  <c r="I22" i="6" s="1"/>
  <c r="S22" i="6" s="1"/>
  <c r="K23" i="6"/>
  <c r="M23" i="6" s="1"/>
  <c r="I23" i="6" s="1"/>
  <c r="S23" i="6" s="1"/>
  <c r="K26" i="6"/>
  <c r="M26" i="6" s="1"/>
  <c r="I26" i="6" s="1"/>
  <c r="S26" i="6" s="1"/>
  <c r="K24" i="6"/>
  <c r="M24" i="6" s="1"/>
  <c r="I24" i="6" s="1"/>
  <c r="S24" i="6" s="1"/>
  <c r="K21" i="6"/>
  <c r="M21" i="6" s="1"/>
  <c r="I21" i="6" s="1"/>
  <c r="S21" i="6" s="1"/>
  <c r="AY549" i="3"/>
  <c r="AY88" i="3"/>
  <c r="AY97" i="3"/>
  <c r="AY129" i="3"/>
  <c r="AY104" i="3"/>
  <c r="AY259" i="3"/>
  <c r="AY368" i="3"/>
  <c r="AY409" i="3"/>
  <c r="AY171" i="3"/>
  <c r="AY365" i="3"/>
  <c r="AY471" i="3"/>
  <c r="AY288" i="3"/>
  <c r="AY318" i="3"/>
  <c r="AY249" i="3"/>
  <c r="AY486" i="3"/>
  <c r="AY67" i="3"/>
  <c r="AY159" i="3"/>
  <c r="AY105" i="3"/>
  <c r="AY293" i="3"/>
  <c r="AY386" i="3"/>
  <c r="AY411" i="3"/>
  <c r="AY187" i="3"/>
  <c r="AY271" i="3"/>
  <c r="AY445" i="3"/>
  <c r="AY87" i="3"/>
  <c r="AY77" i="3"/>
  <c r="AY290" i="3"/>
  <c r="AY46" i="3"/>
  <c r="AY569" i="3"/>
  <c r="AY316" i="3"/>
  <c r="AY446" i="3"/>
  <c r="AY203" i="3"/>
  <c r="AY150" i="3"/>
  <c r="AY432" i="3"/>
  <c r="AY280" i="3"/>
  <c r="AY172" i="3"/>
  <c r="AY257" i="3"/>
  <c r="BS6" i="3"/>
  <c r="AY254" i="3"/>
  <c r="AY394" i="3"/>
  <c r="AY359" i="3"/>
  <c r="AY282" i="3"/>
  <c r="AY437" i="3"/>
  <c r="AY544" i="3"/>
  <c r="AY493" i="3"/>
  <c r="AY24" i="3"/>
  <c r="AY239" i="3"/>
  <c r="AY107" i="3"/>
  <c r="AY152" i="3"/>
  <c r="AY546" i="3"/>
  <c r="AY417" i="3"/>
  <c r="AY163" i="3"/>
  <c r="AY492" i="3"/>
  <c r="AY355" i="3"/>
  <c r="BR6" i="3"/>
  <c r="AY285" i="3"/>
  <c r="AY327" i="3"/>
  <c r="AY502" i="3"/>
  <c r="AY298" i="3"/>
  <c r="AY514" i="3"/>
  <c r="AY499" i="3"/>
  <c r="AY103" i="3"/>
  <c r="AY204" i="3"/>
  <c r="AY234" i="3"/>
  <c r="AY402" i="3"/>
  <c r="AY343" i="3"/>
  <c r="AY265" i="3"/>
  <c r="AY50" i="3"/>
  <c r="AY161" i="3"/>
  <c r="AY305" i="3"/>
  <c r="AY43" i="3"/>
  <c r="AY481" i="3"/>
  <c r="AY401" i="3"/>
  <c r="AY267" i="3"/>
  <c r="AY545" i="3"/>
  <c r="AY433" i="3"/>
  <c r="AY455" i="3"/>
  <c r="AY51" i="3"/>
  <c r="BJ6" i="3"/>
  <c r="AY564" i="3"/>
  <c r="AY291" i="3"/>
  <c r="AY149" i="3"/>
  <c r="AY294" i="3"/>
  <c r="AY155" i="3"/>
  <c r="AY278" i="3"/>
  <c r="AY273" i="3"/>
  <c r="AY251" i="3"/>
  <c r="AY119" i="3"/>
  <c r="AY33" i="3"/>
  <c r="AY482" i="3"/>
  <c r="AY53" i="3"/>
  <c r="AY262" i="3"/>
  <c r="AY116" i="3"/>
  <c r="AY295" i="3"/>
  <c r="AY91" i="3"/>
  <c r="AY347" i="3"/>
  <c r="AY79" i="3"/>
  <c r="AY521" i="3"/>
  <c r="AY29" i="3"/>
  <c r="AY225" i="3"/>
  <c r="BQ6" i="3"/>
  <c r="AY360" i="3"/>
  <c r="AY137" i="3"/>
  <c r="BP6" i="3"/>
  <c r="AY480" i="3"/>
  <c r="AY358" i="3"/>
  <c r="AY223" i="3"/>
  <c r="AY235" i="3"/>
  <c r="AY205" i="3"/>
  <c r="AY423" i="3"/>
  <c r="AY160" i="3"/>
  <c r="AY425" i="3"/>
  <c r="AY169" i="3"/>
  <c r="AY30" i="3"/>
  <c r="AY143" i="3"/>
  <c r="AY276" i="3"/>
  <c r="AY387" i="3"/>
  <c r="AY313" i="3"/>
  <c r="AY180" i="3"/>
  <c r="AY217" i="3"/>
  <c r="AY135" i="3"/>
  <c r="AY412" i="3"/>
  <c r="AY61" i="3"/>
  <c r="AY102" i="3"/>
  <c r="AY100" i="3"/>
  <c r="AY463" i="3"/>
  <c r="AY330" i="3"/>
  <c r="AY444" i="3"/>
  <c r="AY162" i="3"/>
  <c r="AY562" i="3"/>
  <c r="AY303" i="3"/>
  <c r="AY498" i="3"/>
  <c r="AY415" i="3"/>
  <c r="AY208" i="3"/>
  <c r="AY447" i="3"/>
  <c r="AY483" i="3"/>
  <c r="AY60" i="3"/>
  <c r="AY270" i="3"/>
  <c r="AY554" i="3"/>
  <c r="AY42" i="3"/>
  <c r="AY467" i="3"/>
  <c r="AY70" i="3"/>
  <c r="AY435" i="3"/>
  <c r="AY188" i="3"/>
  <c r="AY567" i="3"/>
  <c r="AY478" i="3"/>
  <c r="AY93" i="3"/>
  <c r="AY439" i="3"/>
  <c r="AY57" i="3"/>
  <c r="AY39" i="3"/>
  <c r="AY307" i="3"/>
  <c r="AY215" i="3"/>
  <c r="AY134" i="3"/>
  <c r="AY504" i="3"/>
  <c r="AY214" i="3"/>
  <c r="BC6" i="3"/>
  <c r="AY312" i="3"/>
  <c r="AY109" i="3"/>
  <c r="AY34" i="3"/>
  <c r="AY309" i="3"/>
  <c r="AY176" i="3"/>
  <c r="AY44" i="3"/>
  <c r="AY520" i="3"/>
  <c r="AY82" i="3"/>
  <c r="AY128" i="3"/>
  <c r="AY246" i="3"/>
  <c r="AY408" i="3"/>
  <c r="AY374" i="3"/>
  <c r="AY200" i="3"/>
  <c r="AY335" i="3"/>
  <c r="AY111" i="3"/>
  <c r="AY224" i="3"/>
  <c r="AY85" i="3"/>
  <c r="AY369" i="3"/>
  <c r="AY229" i="3"/>
  <c r="AY430" i="3"/>
  <c r="AY314" i="3"/>
  <c r="AY320" i="3"/>
  <c r="AY268" i="3"/>
  <c r="AY407" i="3"/>
  <c r="AY140" i="3"/>
  <c r="AY461" i="3"/>
  <c r="AY66" i="3"/>
  <c r="AY186" i="3"/>
  <c r="AY222" i="3"/>
  <c r="AY540" i="3"/>
  <c r="AY505" i="3"/>
  <c r="AY563" i="3"/>
  <c r="AY357" i="3"/>
  <c r="AY84" i="3"/>
  <c r="AY377" i="3"/>
  <c r="AY164" i="3"/>
  <c r="AY177" i="3"/>
  <c r="AY524" i="3"/>
  <c r="AY21" i="3"/>
  <c r="AY92" i="3"/>
  <c r="AY209" i="3"/>
  <c r="AY55" i="3"/>
  <c r="AY560" i="3"/>
  <c r="AY310" i="3"/>
  <c r="AY226" i="3"/>
  <c r="AY340" i="3"/>
  <c r="AY405" i="3"/>
  <c r="AY572" i="3"/>
  <c r="AY207" i="3"/>
  <c r="AY281" i="3"/>
  <c r="AY395" i="3"/>
  <c r="AY393" i="3"/>
  <c r="AY490" i="3"/>
  <c r="AY297" i="3"/>
  <c r="AY94" i="3"/>
  <c r="AY517" i="3"/>
  <c r="AY74" i="3"/>
  <c r="AY349" i="3"/>
  <c r="AY379" i="3"/>
  <c r="AY550" i="3"/>
  <c r="AY342" i="3"/>
  <c r="AY201" i="3"/>
  <c r="AY566" i="3"/>
  <c r="AY296" i="3"/>
  <c r="AY533" i="3"/>
  <c r="AY196" i="3"/>
  <c r="AY121" i="3"/>
  <c r="AY73" i="3"/>
  <c r="AY427" i="3"/>
  <c r="AY366" i="3"/>
  <c r="AY279" i="3"/>
  <c r="AY428" i="3"/>
  <c r="AY54" i="3"/>
  <c r="AY261" i="3"/>
  <c r="AY441" i="3"/>
  <c r="AY367" i="3"/>
  <c r="AY413" i="3"/>
  <c r="BT6" i="3"/>
  <c r="AY370" i="3"/>
  <c r="AY485" i="3"/>
  <c r="AY399" i="3"/>
  <c r="AY174" i="3"/>
  <c r="AY328" i="3"/>
  <c r="AY71" i="3"/>
  <c r="AY195" i="3"/>
  <c r="AY252" i="3"/>
  <c r="AY228" i="3"/>
  <c r="AY75" i="3"/>
  <c r="AY202" i="3"/>
  <c r="AY348" i="3"/>
  <c r="AY542" i="3"/>
  <c r="AY308" i="3"/>
  <c r="AY436" i="3"/>
  <c r="AY410" i="3"/>
  <c r="AY125" i="3"/>
  <c r="AY292" i="3"/>
  <c r="AY361" i="3"/>
  <c r="AY548" i="3"/>
  <c r="AY253" i="3"/>
  <c r="AY345" i="3"/>
  <c r="AY165" i="3"/>
  <c r="AY47" i="3"/>
  <c r="AY315" i="3"/>
  <c r="AY526" i="3"/>
  <c r="AY243" i="3"/>
  <c r="AY380" i="3"/>
  <c r="AY396" i="3"/>
  <c r="AY245" i="3"/>
  <c r="AY456" i="3"/>
  <c r="AY247" i="3"/>
  <c r="AY78" i="3"/>
  <c r="AY375" i="3"/>
  <c r="AY506" i="3"/>
  <c r="AY475" i="3"/>
  <c r="AY487" i="3"/>
  <c r="AY539" i="3"/>
  <c r="AY515" i="3"/>
  <c r="AY479" i="3"/>
  <c r="AY238" i="3"/>
  <c r="AY230" i="3"/>
  <c r="AY157" i="3"/>
  <c r="AY538" i="3"/>
  <c r="AY418" i="3"/>
  <c r="AY130" i="3"/>
  <c r="AY477" i="3"/>
  <c r="AY232" i="3"/>
  <c r="AY372" i="3"/>
  <c r="AY336" i="3"/>
  <c r="AY451" i="3"/>
  <c r="BG6" i="3"/>
  <c r="AY83" i="3"/>
  <c r="AY258" i="3"/>
  <c r="AY23" i="3"/>
  <c r="AY525" i="3"/>
  <c r="D3" i="6"/>
  <c r="AY69" i="3"/>
  <c r="AY530" i="3"/>
  <c r="AY26" i="3"/>
  <c r="AY529" i="3"/>
  <c r="AY145" i="3"/>
  <c r="AY248" i="3"/>
  <c r="AY472" i="3"/>
  <c r="AY96" i="3"/>
  <c r="AY233" i="3"/>
  <c r="AY329" i="3"/>
  <c r="AY131" i="3"/>
  <c r="AY371" i="3"/>
  <c r="BA6" i="3"/>
  <c r="AY561" i="3"/>
  <c r="AY80" i="3"/>
  <c r="AY58" i="3"/>
  <c r="AY179" i="3"/>
  <c r="AY274" i="3"/>
  <c r="AY275" i="3"/>
  <c r="AY556" i="3"/>
  <c r="AY414" i="3"/>
  <c r="AY114" i="3"/>
  <c r="AY304" i="3"/>
  <c r="AY38" i="3"/>
  <c r="AY198" i="3"/>
  <c r="AY158" i="3"/>
  <c r="AY443" i="3"/>
  <c r="AY219" i="3"/>
  <c r="AY148" i="3"/>
  <c r="AY147" i="3"/>
  <c r="AY37" i="3"/>
  <c r="AY95" i="3"/>
  <c r="AY216" i="3"/>
  <c r="AY28" i="3"/>
  <c r="AY311" i="3"/>
  <c r="AY183" i="3"/>
  <c r="AY337" i="3"/>
  <c r="AY25" i="3"/>
  <c r="AY341" i="3"/>
  <c r="AY197" i="3"/>
  <c r="AY76" i="3"/>
  <c r="AY321" i="3"/>
  <c r="AY465" i="3"/>
  <c r="BH6" i="3"/>
  <c r="AY86" i="3"/>
  <c r="AY431" i="3"/>
  <c r="AY500" i="3"/>
  <c r="AY458" i="3"/>
  <c r="AY489" i="3"/>
  <c r="AY242" i="3"/>
  <c r="AY287" i="3"/>
  <c r="AY385" i="3"/>
  <c r="AY15" i="3"/>
  <c r="AY220" i="3"/>
  <c r="AY497" i="3"/>
  <c r="AY404" i="3"/>
  <c r="AY213" i="3"/>
  <c r="AY110" i="3"/>
  <c r="AY403" i="3"/>
  <c r="AY454" i="3"/>
  <c r="AY391" i="3"/>
  <c r="AY52" i="3"/>
  <c r="AY31" i="3"/>
  <c r="AY317" i="3"/>
  <c r="AY181" i="3"/>
  <c r="AY65" i="3"/>
  <c r="AY350" i="3"/>
  <c r="AY346" i="3"/>
  <c r="AY101" i="3"/>
  <c r="AY429" i="3"/>
  <c r="AY501" i="3"/>
  <c r="AY510" i="3"/>
  <c r="AY495" i="3"/>
  <c r="AY363" i="3"/>
  <c r="AY339" i="3"/>
  <c r="AY547" i="3"/>
  <c r="AY332" i="3"/>
  <c r="AY511" i="3"/>
  <c r="AY535" i="3"/>
  <c r="AY98" i="3"/>
  <c r="AY448" i="3"/>
  <c r="AY476" i="3"/>
  <c r="AY168" i="3"/>
  <c r="AY122" i="3"/>
  <c r="AY352" i="3"/>
  <c r="AY19" i="3"/>
  <c r="AY237" i="3"/>
  <c r="AY89" i="3"/>
  <c r="AY570" i="3"/>
  <c r="AY508" i="3"/>
  <c r="AY182" i="3"/>
  <c r="AY146" i="3"/>
  <c r="AY62" i="3"/>
  <c r="AY438" i="3"/>
  <c r="AY48" i="3"/>
  <c r="AY173" i="3"/>
  <c r="AY426" i="3"/>
  <c r="AY523" i="3"/>
  <c r="AY453" i="3"/>
  <c r="AY184" i="3"/>
  <c r="AY151" i="3"/>
  <c r="AY531" i="3"/>
  <c r="AY565" i="3"/>
  <c r="AY553" i="3"/>
  <c r="AY90" i="3"/>
  <c r="AY344" i="3"/>
  <c r="AY190" i="3"/>
  <c r="AY421" i="3"/>
  <c r="BM6" i="3"/>
  <c r="BL6" i="3"/>
  <c r="AY277" i="3"/>
  <c r="AY286" i="3"/>
  <c r="AY72" i="3"/>
  <c r="AY382" i="3"/>
  <c r="AY236" i="3"/>
  <c r="AY113" i="3"/>
  <c r="AY56" i="3"/>
  <c r="AY551" i="3"/>
  <c r="AY507" i="3"/>
  <c r="AY170" i="3"/>
  <c r="AY389" i="3"/>
  <c r="AY449" i="3"/>
  <c r="AY338" i="3"/>
  <c r="AY474" i="3"/>
  <c r="AY136" i="3"/>
  <c r="AY81" i="3"/>
  <c r="AY568" i="3"/>
  <c r="AY466" i="3"/>
  <c r="AY22" i="3"/>
  <c r="AY406" i="3"/>
  <c r="AY127" i="3"/>
  <c r="AY518" i="3"/>
  <c r="AY503" i="3"/>
  <c r="AY299" i="3"/>
  <c r="AY185" i="3"/>
  <c r="AY108" i="3"/>
  <c r="AY334" i="3"/>
  <c r="AY571" i="3"/>
  <c r="AY532" i="3"/>
  <c r="AY175" i="3"/>
  <c r="AY139" i="3"/>
  <c r="BK6" i="3"/>
  <c r="AY132" i="3"/>
  <c r="AY528" i="3"/>
  <c r="AY534" i="3"/>
  <c r="AY434" i="3"/>
  <c r="AY473" i="3"/>
  <c r="AY231" i="3"/>
  <c r="AY397" i="3"/>
  <c r="AY256" i="3"/>
  <c r="AY35" i="3"/>
  <c r="AY470" i="3"/>
  <c r="AY255" i="3"/>
  <c r="AY126" i="3"/>
  <c r="AY269" i="3"/>
  <c r="AY488" i="3"/>
  <c r="AY373" i="3"/>
  <c r="AY142" i="3"/>
  <c r="AY218" i="3"/>
  <c r="AY392" i="3"/>
  <c r="AY356" i="3"/>
  <c r="AY206" i="3"/>
  <c r="AY283" i="3"/>
  <c r="AY41" i="3"/>
  <c r="AY36" i="3"/>
  <c r="AY333" i="3"/>
  <c r="AY117" i="3"/>
  <c r="AY123"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13" i="3"/>
  <c r="AY191" i="3"/>
  <c r="AY118" i="3"/>
  <c r="AY416" i="3"/>
  <c r="AY250" i="3"/>
  <c r="AY141" i="3"/>
  <c r="AY459" i="3"/>
  <c r="AY400" i="3"/>
  <c r="AY272" i="3"/>
  <c r="AY442" i="3"/>
  <c r="AY99" i="3"/>
  <c r="AY40" i="3"/>
  <c r="AY322" i="3"/>
  <c r="AY189" i="3"/>
  <c r="BO6" i="3"/>
  <c r="AY210" i="3"/>
  <c r="AY462" i="3"/>
  <c r="AY536" i="3"/>
  <c r="AY18" i="3"/>
  <c r="AY106" i="3"/>
  <c r="AY422" i="3"/>
  <c r="AY178" i="3"/>
  <c r="AY376" i="3"/>
  <c r="AY457" i="3"/>
  <c r="AY124" i="3"/>
  <c r="AY513" i="3"/>
  <c r="AY460" i="3"/>
  <c r="AY419" i="3"/>
  <c r="AY496" i="3"/>
  <c r="AY537" i="3"/>
  <c r="AY45" i="3"/>
  <c r="AY326" i="3"/>
  <c r="AY464" i="3"/>
  <c r="AY543" i="3"/>
  <c r="BB6" i="3"/>
  <c r="AY284" i="3"/>
  <c r="AY301" i="3"/>
  <c r="AY138" i="3"/>
  <c r="AY166" i="3"/>
  <c r="AY319" i="3"/>
  <c r="AY323" i="3"/>
  <c r="AY388" i="3"/>
  <c r="AY244" i="3"/>
  <c r="AY199" i="3"/>
  <c r="AY351" i="3"/>
  <c r="AY63" i="3"/>
  <c r="AY440" i="3"/>
  <c r="AY362" i="3"/>
  <c r="AY260" i="3"/>
  <c r="AY154" i="3"/>
  <c r="AY384" i="3"/>
  <c r="AY398" i="3"/>
  <c r="AY241" i="3"/>
  <c r="AY555" i="3"/>
  <c r="BD6" i="3"/>
  <c r="AY192" i="3"/>
  <c r="AY512" i="3"/>
  <c r="AY167" i="3"/>
  <c r="AY144" i="3"/>
  <c r="AY324" i="3"/>
  <c r="AY194" i="3"/>
  <c r="AY212" i="3"/>
  <c r="AY522" i="3"/>
  <c r="AY491" i="3"/>
  <c r="AY49" i="3"/>
  <c r="AY16" i="3"/>
  <c r="AY353" i="3"/>
  <c r="AY452" i="3"/>
  <c r="AY211" i="3"/>
  <c r="AY221" i="3"/>
  <c r="AY32" i="3"/>
  <c r="AY112" i="3"/>
  <c r="AY20" i="3"/>
  <c r="AY153" i="3"/>
  <c r="AY559" i="3"/>
  <c r="AY240" i="3"/>
  <c r="AY331" i="3"/>
  <c r="AY509" i="3"/>
  <c r="AY64" i="3"/>
  <c r="AY264" i="3"/>
  <c r="AY364" i="3"/>
  <c r="AY115" i="3"/>
  <c r="AY420" i="3"/>
  <c r="AY516" i="3"/>
  <c r="AY557" i="3"/>
  <c r="AY289" i="3"/>
  <c r="AY541" i="3"/>
  <c r="AY300" i="3"/>
  <c r="AY381" i="3"/>
  <c r="AY302" i="3"/>
  <c r="AY494" i="3"/>
  <c r="AY59" i="3"/>
  <c r="BE6" i="3"/>
  <c r="AY383" i="3"/>
  <c r="AY450" i="3"/>
  <c r="AY354" i="3"/>
  <c r="AY306" i="3"/>
  <c r="D16" i="12"/>
  <c r="L38" i="9"/>
  <c r="B14" i="66" s="1"/>
  <c r="D10" i="11"/>
  <c r="D46" i="9"/>
  <c r="D16" i="43"/>
  <c r="C16" i="43" s="1"/>
  <c r="E6" i="6"/>
  <c r="C33" i="21"/>
  <c r="C21" i="4"/>
  <c r="O5" i="54" s="1"/>
  <c r="B45" i="63" s="1"/>
  <c r="D45" i="9"/>
  <c r="H7" i="35"/>
  <c r="AB7" i="35" s="1"/>
  <c r="T38" i="35" s="1"/>
  <c r="G38" i="35" s="1"/>
  <c r="F7" i="35"/>
  <c r="D58" i="78"/>
  <c r="E58" i="78" s="1"/>
  <c r="F58" i="78" s="1"/>
  <c r="G58" i="78" s="1"/>
  <c r="H58" i="78" s="1"/>
  <c r="I58" i="78" s="1"/>
  <c r="J58" i="78" s="1"/>
  <c r="K58" i="78" s="1"/>
  <c r="L58" i="78" s="1"/>
  <c r="M58" i="78" s="1"/>
  <c r="N58" i="78" s="1"/>
  <c r="O58" i="78" s="1"/>
  <c r="F7" i="78"/>
  <c r="H7" i="78"/>
  <c r="U7" i="35"/>
  <c r="AA7" i="35"/>
  <c r="R38" i="35" s="1"/>
  <c r="S7" i="35"/>
  <c r="F7" i="36"/>
  <c r="C35" i="46"/>
  <c r="C33" i="46"/>
  <c r="T9" i="46"/>
  <c r="V9" i="46" s="1"/>
  <c r="T14" i="46"/>
  <c r="V14" i="46" s="1"/>
  <c r="C38" i="46"/>
  <c r="T16" i="46"/>
  <c r="V16" i="46" s="1"/>
  <c r="T10" i="46"/>
  <c r="V10" i="46" s="1"/>
  <c r="T15" i="46"/>
  <c r="V15" i="46" s="1"/>
  <c r="T12" i="46"/>
  <c r="V12" i="46" s="1"/>
  <c r="T11" i="46"/>
  <c r="V11" i="46" s="1"/>
  <c r="C34" i="46"/>
  <c r="C36" i="46"/>
  <c r="T8" i="46"/>
  <c r="V8" i="46" s="1"/>
  <c r="T13" i="46"/>
  <c r="V13" i="46" s="1"/>
  <c r="C37" i="46"/>
  <c r="C39" i="46"/>
  <c r="C29" i="46"/>
  <c r="W7" i="37"/>
  <c r="AC7" i="37"/>
  <c r="V42" i="37" s="1"/>
  <c r="I42" i="37" s="1"/>
  <c r="U7" i="34"/>
  <c r="AB7" i="34"/>
  <c r="T49" i="34" s="1"/>
  <c r="G49" i="34" s="1"/>
  <c r="AB7" i="33"/>
  <c r="T48" i="33" s="1"/>
  <c r="G48" i="33" s="1"/>
  <c r="U7" i="33"/>
  <c r="J7" i="33"/>
  <c r="J7" i="78"/>
  <c r="D67" i="40"/>
  <c r="E65" i="40"/>
  <c r="AC7" i="35"/>
  <c r="V38" i="35" s="1"/>
  <c r="I38" i="35" s="1"/>
  <c r="W7" i="35"/>
  <c r="J7" i="36"/>
  <c r="H7" i="36"/>
  <c r="E70" i="39"/>
  <c r="D72" i="39"/>
  <c r="AA7" i="37"/>
  <c r="R42" i="37" s="1"/>
  <c r="S7" i="37"/>
  <c r="AB7" i="37"/>
  <c r="T42" i="37" s="1"/>
  <c r="G42" i="37" s="1"/>
  <c r="U7" i="37"/>
  <c r="D58" i="21"/>
  <c r="E58" i="21" s="1"/>
  <c r="F58" i="21" s="1"/>
  <c r="G58" i="21" s="1"/>
  <c r="H58" i="21" s="1"/>
  <c r="I58" i="21" s="1"/>
  <c r="J58" i="21" s="1"/>
  <c r="K58" i="21" s="1"/>
  <c r="L58" i="21" s="1"/>
  <c r="M58" i="21" s="1"/>
  <c r="N58" i="21" s="1"/>
  <c r="O58" i="21" s="1"/>
  <c r="F7" i="21"/>
  <c r="J7" i="21"/>
  <c r="AC7" i="34"/>
  <c r="V49" i="34" s="1"/>
  <c r="I49" i="34" s="1"/>
  <c r="W7" i="34"/>
  <c r="F7" i="34"/>
  <c r="F7" i="33"/>
  <c r="M24" i="15"/>
  <c r="F18" i="44"/>
  <c r="F7" i="15"/>
  <c r="F13" i="77"/>
  <c r="N4" i="65"/>
  <c r="M31" i="44"/>
  <c r="B10" i="67"/>
  <c r="F7" i="77"/>
  <c r="J15" i="77"/>
  <c r="E10" i="67"/>
  <c r="F10" i="67"/>
  <c r="J36" i="15"/>
  <c r="L48" i="72"/>
  <c r="M28" i="15"/>
  <c r="M28" i="44"/>
  <c r="M25" i="44"/>
  <c r="F9" i="15"/>
  <c r="F40" i="77"/>
  <c r="M29" i="44"/>
  <c r="F36" i="72"/>
  <c r="M9" i="15"/>
  <c r="F9" i="67"/>
  <c r="L49" i="44"/>
  <c r="L48" i="44"/>
  <c r="M27" i="72"/>
  <c r="L47" i="15"/>
  <c r="M27" i="15"/>
  <c r="E12" i="67"/>
  <c r="F35" i="77"/>
  <c r="N5" i="65"/>
  <c r="F43" i="15"/>
  <c r="F11" i="67"/>
  <c r="F9" i="77"/>
  <c r="F8" i="44"/>
  <c r="M9" i="72"/>
  <c r="E8" i="67"/>
  <c r="F16" i="15"/>
  <c r="M11" i="44"/>
  <c r="F9" i="72"/>
  <c r="F42" i="72"/>
  <c r="M23" i="15"/>
  <c r="F43" i="72"/>
  <c r="M26" i="72"/>
  <c r="B8" i="67"/>
  <c r="F36" i="77"/>
  <c r="F9" i="44"/>
  <c r="F16" i="72"/>
  <c r="F26" i="77"/>
  <c r="M22" i="15"/>
  <c r="C14" i="77"/>
  <c r="F13" i="67"/>
  <c r="F45" i="44"/>
  <c r="M29" i="72"/>
  <c r="M10" i="44"/>
  <c r="F11" i="44"/>
  <c r="J17" i="44"/>
  <c r="F43" i="77"/>
  <c r="B12" i="67"/>
  <c r="F43" i="44"/>
  <c r="F40" i="44"/>
  <c r="F37" i="15"/>
  <c r="M21" i="72"/>
  <c r="F8" i="15"/>
  <c r="B14" i="67"/>
  <c r="F39" i="44"/>
  <c r="J15" i="15"/>
  <c r="M24" i="77"/>
  <c r="M29" i="15"/>
  <c r="F37" i="72"/>
  <c r="F28" i="44"/>
  <c r="J36" i="72"/>
  <c r="M8" i="72"/>
  <c r="J7" i="65"/>
  <c r="N6" i="65"/>
  <c r="E14" i="67"/>
  <c r="I3" i="65"/>
  <c r="F38" i="77"/>
  <c r="F13" i="15"/>
  <c r="F37" i="44"/>
  <c r="E13" i="67"/>
  <c r="M23" i="77"/>
  <c r="F38" i="15"/>
  <c r="F16" i="77"/>
  <c r="L48" i="77"/>
  <c r="M23" i="72"/>
  <c r="M22" i="72"/>
  <c r="M27" i="77"/>
  <c r="J15" i="72"/>
  <c r="J4" i="65"/>
  <c r="I4" i="65"/>
  <c r="M29" i="77"/>
  <c r="E11" i="67"/>
  <c r="F6" i="77"/>
  <c r="F46" i="44"/>
  <c r="N7" i="65"/>
  <c r="F8" i="77"/>
  <c r="F37" i="77"/>
  <c r="F35" i="72"/>
  <c r="M8" i="15"/>
  <c r="F42" i="15"/>
  <c r="F38" i="72"/>
  <c r="M28" i="72"/>
  <c r="F36" i="15"/>
  <c r="M30" i="44"/>
  <c r="L48" i="15"/>
  <c r="F6" i="15"/>
  <c r="F26" i="15"/>
  <c r="F13" i="72"/>
  <c r="F41" i="77"/>
  <c r="M23" i="44"/>
  <c r="J36" i="77"/>
  <c r="C19" i="44"/>
  <c r="M9" i="77"/>
  <c r="F8" i="72"/>
  <c r="I7" i="65"/>
  <c r="C14" i="72"/>
  <c r="F26" i="72"/>
  <c r="F7" i="72"/>
  <c r="M8" i="77"/>
  <c r="F10" i="44"/>
  <c r="F6" i="72"/>
  <c r="F8" i="67"/>
  <c r="F40" i="15"/>
  <c r="B13" i="67"/>
  <c r="F42" i="77"/>
  <c r="M22" i="77"/>
  <c r="F15" i="44"/>
  <c r="M24" i="72"/>
  <c r="M8" i="44"/>
  <c r="N3" i="65"/>
  <c r="M28" i="77"/>
  <c r="M6" i="77"/>
  <c r="M24" i="44"/>
  <c r="M6" i="15"/>
  <c r="M26" i="15"/>
  <c r="M26" i="44"/>
  <c r="F40" i="72"/>
  <c r="M26" i="77"/>
  <c r="L47" i="72"/>
  <c r="B9" i="67"/>
  <c r="I6" i="65"/>
  <c r="J5" i="65"/>
  <c r="M6" i="72"/>
  <c r="F38" i="44"/>
  <c r="I5" i="65"/>
  <c r="E9" i="67"/>
  <c r="F41" i="72"/>
  <c r="B11" i="67"/>
  <c r="C16" i="44"/>
  <c r="J6" i="65"/>
  <c r="M21" i="77"/>
  <c r="F12" i="67"/>
  <c r="L47" i="77"/>
  <c r="J3" i="65"/>
  <c r="F14" i="67"/>
  <c r="J1" i="65" l="1"/>
  <c r="L58" i="77"/>
  <c r="L59" i="77"/>
  <c r="J20" i="77"/>
  <c r="C21" i="44"/>
  <c r="C22" i="44" s="1"/>
  <c r="C28" i="44" s="1"/>
  <c r="C17" i="44"/>
  <c r="C20" i="44"/>
  <c r="F68" i="72"/>
  <c r="I1" i="65"/>
  <c r="L59" i="72"/>
  <c r="L58" i="72"/>
  <c r="Q74" i="72" s="1"/>
  <c r="F67" i="72"/>
  <c r="F67" i="15"/>
  <c r="C6" i="72"/>
  <c r="M7" i="72"/>
  <c r="J6" i="72" s="1"/>
  <c r="F49" i="72"/>
  <c r="C27" i="72"/>
  <c r="C18" i="72"/>
  <c r="C19" i="72"/>
  <c r="C20" i="72" s="1"/>
  <c r="C26" i="72" s="1"/>
  <c r="C15" i="72"/>
  <c r="F50" i="72"/>
  <c r="Q72" i="77"/>
  <c r="J22" i="44"/>
  <c r="F68" i="77"/>
  <c r="C27" i="15"/>
  <c r="C6" i="15"/>
  <c r="J53" i="15"/>
  <c r="Q53" i="15" s="1"/>
  <c r="I54" i="15"/>
  <c r="J60" i="15"/>
  <c r="Q49" i="15" s="1"/>
  <c r="L57" i="15"/>
  <c r="L56" i="15"/>
  <c r="L60" i="15"/>
  <c r="Q67" i="15" s="1"/>
  <c r="J59" i="15"/>
  <c r="J57" i="15"/>
  <c r="J55" i="15" s="1"/>
  <c r="J58" i="15" s="1"/>
  <c r="Q51" i="15" s="1"/>
  <c r="F63" i="15"/>
  <c r="F65" i="72"/>
  <c r="F62" i="72"/>
  <c r="C61" i="72" s="1"/>
  <c r="C34" i="72"/>
  <c r="F64" i="77"/>
  <c r="F50" i="77"/>
  <c r="C6" i="77"/>
  <c r="E20" i="46"/>
  <c r="M17" i="46" s="1"/>
  <c r="J57" i="77"/>
  <c r="J55" i="77" s="1"/>
  <c r="J58" i="77" s="1"/>
  <c r="Q51" i="77" s="1"/>
  <c r="I54" i="77"/>
  <c r="L57" i="77"/>
  <c r="L56" i="77"/>
  <c r="J53" i="77"/>
  <c r="J60" i="77"/>
  <c r="Q49" i="77" s="1"/>
  <c r="J59" i="77"/>
  <c r="L60" i="77"/>
  <c r="Q67" i="77" s="1"/>
  <c r="F65" i="15"/>
  <c r="C36" i="44"/>
  <c r="F65" i="77"/>
  <c r="Q72" i="72"/>
  <c r="C29" i="44"/>
  <c r="F64" i="72"/>
  <c r="F50" i="15"/>
  <c r="J20" i="72"/>
  <c r="F64" i="15"/>
  <c r="Q73" i="44"/>
  <c r="F70" i="77"/>
  <c r="C19" i="77"/>
  <c r="C20" i="77" s="1"/>
  <c r="C15" i="77"/>
  <c r="C18" i="77"/>
  <c r="C27" i="77"/>
  <c r="M9" i="44"/>
  <c r="J8" i="44" s="1"/>
  <c r="F63" i="77"/>
  <c r="F70" i="72"/>
  <c r="C8" i="44"/>
  <c r="F70" i="15"/>
  <c r="C34" i="77"/>
  <c r="F62" i="77"/>
  <c r="C61" i="77" s="1"/>
  <c r="L59" i="15"/>
  <c r="Q62" i="15" s="1"/>
  <c r="L58" i="15"/>
  <c r="Q61" i="15" s="1"/>
  <c r="L59" i="44"/>
  <c r="Q62" i="44" s="1"/>
  <c r="L60" i="44"/>
  <c r="Q63" i="44" s="1"/>
  <c r="L61" i="44"/>
  <c r="L58" i="44"/>
  <c r="J58" i="44"/>
  <c r="J56" i="44" s="1"/>
  <c r="J59" i="44" s="1"/>
  <c r="Q52" i="44" s="1"/>
  <c r="I55" i="44"/>
  <c r="L47" i="44"/>
  <c r="J60" i="44"/>
  <c r="L57" i="44"/>
  <c r="J54" i="44"/>
  <c r="J61" i="44"/>
  <c r="Q50" i="44" s="1"/>
  <c r="F63" i="72"/>
  <c r="F67" i="77"/>
  <c r="J60" i="72"/>
  <c r="Q49" i="72" s="1"/>
  <c r="L56" i="72"/>
  <c r="J59" i="72"/>
  <c r="L57" i="72"/>
  <c r="I54" i="72"/>
  <c r="J53" i="72"/>
  <c r="Q53" i="72" s="1"/>
  <c r="J57" i="72"/>
  <c r="J55" i="72" s="1"/>
  <c r="J58" i="72" s="1"/>
  <c r="Q51" i="72" s="1"/>
  <c r="L60" i="72"/>
  <c r="Q58" i="72" s="1"/>
  <c r="Q72" i="15"/>
  <c r="M7" i="77"/>
  <c r="J6" i="77" s="1"/>
  <c r="F49" i="77"/>
  <c r="C4" i="65"/>
  <c r="B39" i="1" s="1"/>
  <c r="M7" i="15"/>
  <c r="J6" i="15" s="1"/>
  <c r="F49" i="15"/>
  <c r="C48" i="77"/>
  <c r="Q67" i="72"/>
  <c r="Q61" i="72"/>
  <c r="C48" i="15"/>
  <c r="F11" i="77"/>
  <c r="C52" i="77" s="1"/>
  <c r="C47" i="77" s="1"/>
  <c r="F11" i="15"/>
  <c r="M11" i="72"/>
  <c r="J10" i="72" s="1"/>
  <c r="J5" i="72" s="1"/>
  <c r="J24" i="72" s="1"/>
  <c r="Q75" i="15"/>
  <c r="C26" i="77"/>
  <c r="Q68" i="44"/>
  <c r="Q59" i="44"/>
  <c r="F1" i="72"/>
  <c r="F1" i="15"/>
  <c r="Q75" i="44"/>
  <c r="Q58" i="77"/>
  <c r="F1" i="77"/>
  <c r="Q53" i="77"/>
  <c r="H33" i="21"/>
  <c r="F33" i="21"/>
  <c r="J33" i="21"/>
  <c r="C16" i="12"/>
  <c r="D19" i="12"/>
  <c r="C19" i="12" s="1"/>
  <c r="B27" i="9"/>
  <c r="D20" i="6"/>
  <c r="D22" i="6"/>
  <c r="D26" i="6"/>
  <c r="R26" i="6" s="1"/>
  <c r="K38" i="9"/>
  <c r="C14" i="66" s="1"/>
  <c r="B2" i="66" s="1"/>
  <c r="H20" i="6"/>
  <c r="D29" i="6"/>
  <c r="D6" i="6"/>
  <c r="D12" i="6"/>
  <c r="D5" i="6"/>
  <c r="D9" i="6"/>
  <c r="D11" i="6"/>
  <c r="F45" i="9"/>
  <c r="E45" i="9"/>
  <c r="D15" i="6"/>
  <c r="C22" i="4"/>
  <c r="H25" i="6"/>
  <c r="H23" i="6"/>
  <c r="D19" i="6"/>
  <c r="D24" i="6"/>
  <c r="D28" i="6"/>
  <c r="D30" i="6" s="1"/>
  <c r="D23" i="6"/>
  <c r="R23" i="6" s="1"/>
  <c r="D25" i="6"/>
  <c r="R25" i="6" s="1"/>
  <c r="D21" i="6"/>
  <c r="E46" i="9"/>
  <c r="H26" i="6"/>
  <c r="E63" i="40"/>
  <c r="D8" i="6"/>
  <c r="H22" i="6"/>
  <c r="D14" i="6"/>
  <c r="H24" i="6"/>
  <c r="H21" i="6"/>
  <c r="D13" i="6"/>
  <c r="D10" i="6"/>
  <c r="F46" i="9"/>
  <c r="M20" i="6"/>
  <c r="I20" i="6" s="1"/>
  <c r="S20" i="6" s="1"/>
  <c r="S7" i="1"/>
  <c r="S6" i="1"/>
  <c r="M19" i="6"/>
  <c r="K27" i="6"/>
  <c r="M14" i="1"/>
  <c r="K16" i="1"/>
  <c r="D22" i="12"/>
  <c r="C22" i="12" s="1"/>
  <c r="C20" i="12" s="1"/>
  <c r="D13" i="11"/>
  <c r="C13" i="11" s="1"/>
  <c r="K14" i="66"/>
  <c r="B1" i="66"/>
  <c r="C52" i="15"/>
  <c r="AA7" i="34"/>
  <c r="R49" i="34" s="1"/>
  <c r="S7" i="34"/>
  <c r="I53" i="34"/>
  <c r="J53" i="34" s="1"/>
  <c r="S7" i="21"/>
  <c r="AA7" i="21"/>
  <c r="U7" i="36"/>
  <c r="AB7" i="36"/>
  <c r="T36" i="36" s="1"/>
  <c r="G36" i="36" s="1"/>
  <c r="E67" i="40"/>
  <c r="F65" i="40"/>
  <c r="AC7" i="78"/>
  <c r="W7" i="78"/>
  <c r="G53" i="34"/>
  <c r="H53" i="34" s="1"/>
  <c r="G54" i="34"/>
  <c r="H54" i="34" s="1"/>
  <c r="H7" i="21"/>
  <c r="E39" i="46"/>
  <c r="G39" i="46"/>
  <c r="I39" i="46" s="1"/>
  <c r="G36" i="46"/>
  <c r="I36" i="46" s="1"/>
  <c r="E36" i="46"/>
  <c r="G33" i="46"/>
  <c r="I33" i="46" s="1"/>
  <c r="E33" i="46"/>
  <c r="G42" i="35"/>
  <c r="H42" i="35" s="1"/>
  <c r="G43" i="35"/>
  <c r="H43" i="35" s="1"/>
  <c r="AA7" i="78"/>
  <c r="S7" i="78"/>
  <c r="AA7" i="33"/>
  <c r="R48" i="33" s="1"/>
  <c r="S7" i="33"/>
  <c r="AC7" i="21"/>
  <c r="W7" i="21"/>
  <c r="G47" i="37"/>
  <c r="H47" i="37" s="1"/>
  <c r="G46" i="37"/>
  <c r="H46" i="37" s="1"/>
  <c r="R43" i="37"/>
  <c r="E42" i="37"/>
  <c r="I47" i="37" s="1"/>
  <c r="J47" i="37" s="1"/>
  <c r="F70" i="39"/>
  <c r="E72" i="39"/>
  <c r="AC7" i="36"/>
  <c r="V36" i="36" s="1"/>
  <c r="I36" i="36" s="1"/>
  <c r="W7" i="36"/>
  <c r="I42" i="35"/>
  <c r="J42" i="35" s="1"/>
  <c r="W7" i="33"/>
  <c r="AC7" i="33"/>
  <c r="V48" i="33" s="1"/>
  <c r="I48" i="33" s="1"/>
  <c r="G52" i="33"/>
  <c r="H52" i="33" s="1"/>
  <c r="G53" i="33"/>
  <c r="H53" i="33" s="1"/>
  <c r="I46" i="37"/>
  <c r="J46" i="37" s="1"/>
  <c r="C30" i="46"/>
  <c r="E30" i="46" s="1"/>
  <c r="C27" i="46" s="1"/>
  <c r="E29" i="46"/>
  <c r="G37" i="46"/>
  <c r="I37" i="46" s="1"/>
  <c r="E37" i="46"/>
  <c r="G34" i="46"/>
  <c r="I34" i="46" s="1"/>
  <c r="E34" i="46"/>
  <c r="G38" i="46"/>
  <c r="I38" i="46" s="1"/>
  <c r="E38" i="46"/>
  <c r="G35" i="46"/>
  <c r="I35" i="46" s="1"/>
  <c r="E35" i="46"/>
  <c r="AA7" i="36"/>
  <c r="R36" i="36" s="1"/>
  <c r="S7" i="36"/>
  <c r="E38" i="35"/>
  <c r="I43" i="35" s="1"/>
  <c r="J43" i="35" s="1"/>
  <c r="R39" i="35"/>
  <c r="AB7" i="78"/>
  <c r="U7" i="78"/>
  <c r="E3" i="65"/>
  <c r="E2" i="65"/>
  <c r="C16" i="77"/>
  <c r="C16" i="15"/>
  <c r="C18" i="44"/>
  <c r="F7" i="67"/>
  <c r="C17" i="15"/>
  <c r="C17" i="77"/>
  <c r="C16" i="72"/>
  <c r="C17" i="72"/>
  <c r="AE7" i="1"/>
  <c r="C10" i="15" l="1"/>
  <c r="C5" i="15" s="1"/>
  <c r="Q74" i="15"/>
  <c r="C10" i="77"/>
  <c r="C5" i="77" s="1"/>
  <c r="C38" i="77" s="1"/>
  <c r="Q58" i="15"/>
  <c r="Q76" i="44"/>
  <c r="C48" i="72"/>
  <c r="O17" i="46"/>
  <c r="B40" i="1"/>
  <c r="F24" i="77" s="1"/>
  <c r="F17" i="11"/>
  <c r="C17" i="11" s="1"/>
  <c r="C19" i="11" s="1"/>
  <c r="C20" i="11" s="1"/>
  <c r="C21" i="11" s="1"/>
  <c r="C22" i="11" s="1"/>
  <c r="C23" i="11" s="1"/>
  <c r="B2" i="11" s="1"/>
  <c r="B5" i="11" s="1"/>
  <c r="F13" i="44"/>
  <c r="C12" i="44" s="1"/>
  <c r="C7" i="44" s="1"/>
  <c r="M13" i="44"/>
  <c r="J12" i="44" s="1"/>
  <c r="J7" i="44" s="1"/>
  <c r="J26" i="44" s="1"/>
  <c r="F11" i="72"/>
  <c r="M11" i="77"/>
  <c r="J10" i="77" s="1"/>
  <c r="J5" i="77" s="1"/>
  <c r="J24" i="77" s="1"/>
  <c r="M11" i="15"/>
  <c r="J10" i="15" s="1"/>
  <c r="J5" i="15" s="1"/>
  <c r="N17" i="46"/>
  <c r="P17" i="46"/>
  <c r="Q75" i="72"/>
  <c r="Q62" i="72"/>
  <c r="Q61" i="77"/>
  <c r="Q74" i="77"/>
  <c r="Q54" i="44"/>
  <c r="F1" i="44"/>
  <c r="Q75" i="77"/>
  <c r="Q62" i="77"/>
  <c r="J18" i="72"/>
  <c r="C47" i="15"/>
  <c r="C60" i="15" s="1"/>
  <c r="J26" i="72"/>
  <c r="J29" i="72" s="1"/>
  <c r="F24" i="72"/>
  <c r="C24" i="72" s="1"/>
  <c r="O14" i="1"/>
  <c r="M16" i="1"/>
  <c r="T10" i="1"/>
  <c r="T6" i="1"/>
  <c r="T9" i="1"/>
  <c r="T7" i="1"/>
  <c r="I19" i="6"/>
  <c r="M27" i="6"/>
  <c r="D27" i="6"/>
  <c r="D31" i="6" s="1"/>
  <c r="R20" i="6"/>
  <c r="R7" i="1" s="1"/>
  <c r="W33" i="21"/>
  <c r="AC33" i="21"/>
  <c r="U33" i="21"/>
  <c r="AB33" i="21"/>
  <c r="C8" i="66"/>
  <c r="C7" i="66"/>
  <c r="S16" i="1"/>
  <c r="T12" i="1" s="1"/>
  <c r="D16" i="6"/>
  <c r="R21" i="6"/>
  <c r="R24" i="6"/>
  <c r="A20" i="51"/>
  <c r="B15" i="63" s="1"/>
  <c r="A6" i="64"/>
  <c r="A20" i="64"/>
  <c r="N5" i="54"/>
  <c r="B43" i="63" s="1"/>
  <c r="A6" i="51"/>
  <c r="B7" i="63" s="1"/>
  <c r="D7" i="66"/>
  <c r="D8" i="66"/>
  <c r="R22" i="6"/>
  <c r="D27" i="9"/>
  <c r="D30" i="9" s="1"/>
  <c r="B30" i="9"/>
  <c r="S33" i="21"/>
  <c r="AA33" i="21"/>
  <c r="E4" i="67"/>
  <c r="C39" i="35"/>
  <c r="B3" i="35" s="1"/>
  <c r="B2" i="35" s="1"/>
  <c r="C38" i="35"/>
  <c r="E42" i="35"/>
  <c r="F42" i="35" s="1"/>
  <c r="E43" i="35"/>
  <c r="F43" i="35" s="1"/>
  <c r="R37" i="36"/>
  <c r="E36" i="36"/>
  <c r="I40" i="36"/>
  <c r="J40" i="36" s="1"/>
  <c r="I41" i="36"/>
  <c r="J41" i="36" s="1"/>
  <c r="G70" i="39"/>
  <c r="F72" i="39"/>
  <c r="C43" i="37"/>
  <c r="B3" i="37" s="1"/>
  <c r="B2" i="37" s="1"/>
  <c r="C42" i="37"/>
  <c r="E48" i="33"/>
  <c r="R49" i="33"/>
  <c r="F67" i="40"/>
  <c r="G65" i="40"/>
  <c r="G41" i="36"/>
  <c r="H41" i="36" s="1"/>
  <c r="G40" i="36"/>
  <c r="H40" i="36" s="1"/>
  <c r="C38" i="15"/>
  <c r="C32" i="15"/>
  <c r="C33" i="15"/>
  <c r="C33" i="77"/>
  <c r="C26" i="46"/>
  <c r="I53" i="33"/>
  <c r="J53" i="33" s="1"/>
  <c r="I52" i="33"/>
  <c r="J52" i="33" s="1"/>
  <c r="E47" i="37"/>
  <c r="F47" i="37" s="1"/>
  <c r="E46" i="37"/>
  <c r="F46" i="37" s="1"/>
  <c r="U7" i="21"/>
  <c r="AB7" i="21"/>
  <c r="R50" i="34"/>
  <c r="E49" i="34"/>
  <c r="C59" i="77"/>
  <c r="C65" i="77"/>
  <c r="C60" i="77"/>
  <c r="F41" i="15"/>
  <c r="F35" i="15"/>
  <c r="E7" i="67"/>
  <c r="C14" i="15"/>
  <c r="M21" i="15"/>
  <c r="C23" i="72" l="1"/>
  <c r="C29" i="72" s="1"/>
  <c r="Q50" i="72" s="1"/>
  <c r="C32" i="77"/>
  <c r="C31" i="77" s="1"/>
  <c r="C59" i="15"/>
  <c r="F24" i="15"/>
  <c r="C24" i="15" s="1"/>
  <c r="J18" i="77"/>
  <c r="C24" i="77"/>
  <c r="C23" i="77"/>
  <c r="F21" i="43"/>
  <c r="C23" i="43" s="1"/>
  <c r="D21" i="43" s="1"/>
  <c r="F68" i="15"/>
  <c r="J26" i="77"/>
  <c r="J29" i="77" s="1"/>
  <c r="J26" i="15"/>
  <c r="J29" i="15" s="1"/>
  <c r="J18" i="15"/>
  <c r="J24" i="15"/>
  <c r="C52" i="72"/>
  <c r="C47" i="72" s="1"/>
  <c r="C10" i="72"/>
  <c r="C5" i="72" s="1"/>
  <c r="F26" i="44"/>
  <c r="F26" i="12"/>
  <c r="C27" i="12" s="1"/>
  <c r="D26" i="12" s="1"/>
  <c r="C32" i="12" s="1"/>
  <c r="D30" i="12" s="1"/>
  <c r="C35" i="44"/>
  <c r="C34" i="44"/>
  <c r="C40" i="44"/>
  <c r="J28" i="44"/>
  <c r="J31" i="44" s="1"/>
  <c r="J20" i="44"/>
  <c r="B4" i="11"/>
  <c r="B3" i="11"/>
  <c r="C65" i="15"/>
  <c r="C15" i="15"/>
  <c r="C18" i="15"/>
  <c r="F62" i="15"/>
  <c r="C61" i="15" s="1"/>
  <c r="C34" i="15"/>
  <c r="C31" i="15" s="1"/>
  <c r="J20" i="15"/>
  <c r="C24" i="9"/>
  <c r="C25" i="9"/>
  <c r="I5" i="6"/>
  <c r="I6" i="6"/>
  <c r="C13" i="43"/>
  <c r="L16" i="1"/>
  <c r="N16" i="1"/>
  <c r="C29" i="43" s="1"/>
  <c r="S19" i="6"/>
  <c r="S27" i="6" s="1"/>
  <c r="I27" i="6"/>
  <c r="H19" i="6"/>
  <c r="T11" i="1"/>
  <c r="T8" i="1"/>
  <c r="T13" i="1"/>
  <c r="P14" i="1"/>
  <c r="P16" i="1" s="1"/>
  <c r="C13" i="12" s="1"/>
  <c r="O16" i="1"/>
  <c r="J14" i="72"/>
  <c r="J22" i="72" s="1"/>
  <c r="C36" i="72"/>
  <c r="C56" i="72"/>
  <c r="C63" i="72" s="1"/>
  <c r="E3" i="67"/>
  <c r="C50" i="34"/>
  <c r="B3" i="34" s="1"/>
  <c r="B2" i="34" s="1"/>
  <c r="C49" i="34"/>
  <c r="G67" i="40"/>
  <c r="H65" i="40"/>
  <c r="C49" i="33"/>
  <c r="B3" i="33" s="1"/>
  <c r="B2" i="33" s="1"/>
  <c r="C48" i="33"/>
  <c r="E41" i="36"/>
  <c r="F41" i="36" s="1"/>
  <c r="E40" i="36"/>
  <c r="F40" i="36" s="1"/>
  <c r="C58" i="77"/>
  <c r="E54" i="34"/>
  <c r="F54" i="34" s="1"/>
  <c r="E53" i="34"/>
  <c r="F53" i="34" s="1"/>
  <c r="I54" i="34"/>
  <c r="J54" i="34" s="1"/>
  <c r="B2" i="46"/>
  <c r="E53" i="33"/>
  <c r="F53" i="33" s="1"/>
  <c r="E52" i="33"/>
  <c r="F52" i="33" s="1"/>
  <c r="H70" i="39"/>
  <c r="G72" i="39"/>
  <c r="C36" i="36"/>
  <c r="C37" i="36"/>
  <c r="B3" i="36" s="1"/>
  <c r="B2" i="36" s="1"/>
  <c r="B7" i="67"/>
  <c r="L52" i="44"/>
  <c r="C13" i="72" l="1"/>
  <c r="J35" i="72" s="1"/>
  <c r="J19" i="72"/>
  <c r="J17" i="72" s="1"/>
  <c r="C58" i="15"/>
  <c r="C33" i="44"/>
  <c r="C29" i="77"/>
  <c r="Q69" i="44"/>
  <c r="C26" i="44"/>
  <c r="C25" i="44"/>
  <c r="C59" i="72"/>
  <c r="C60" i="72"/>
  <c r="C65" i="72"/>
  <c r="Q49" i="44"/>
  <c r="Q55" i="44" s="1"/>
  <c r="Q67" i="44"/>
  <c r="Q77" i="44" s="1"/>
  <c r="Q58" i="44"/>
  <c r="Q64" i="44" s="1"/>
  <c r="C33" i="72"/>
  <c r="C38" i="72"/>
  <c r="C32" i="72"/>
  <c r="C31" i="72" s="1"/>
  <c r="T16" i="1"/>
  <c r="C37" i="72"/>
  <c r="J13" i="72"/>
  <c r="J23" i="72" s="1"/>
  <c r="C19" i="15"/>
  <c r="C20" i="15" s="1"/>
  <c r="C23" i="15" s="1"/>
  <c r="C17" i="12"/>
  <c r="C14" i="12"/>
  <c r="H27" i="6"/>
  <c r="R19" i="6"/>
  <c r="C11" i="78"/>
  <c r="C13" i="39"/>
  <c r="C11" i="21"/>
  <c r="C17" i="43"/>
  <c r="C14" i="43"/>
  <c r="Q71" i="72"/>
  <c r="J16" i="72"/>
  <c r="J25" i="72" s="1"/>
  <c r="B2" i="67"/>
  <c r="B4" i="67" s="1"/>
  <c r="I70" i="39"/>
  <c r="H72" i="39"/>
  <c r="B4" i="46"/>
  <c r="B3" i="46"/>
  <c r="D4" i="46"/>
  <c r="H67" i="40"/>
  <c r="I65" i="40"/>
  <c r="C55" i="72" l="1"/>
  <c r="C64" i="72" s="1"/>
  <c r="C30" i="72"/>
  <c r="C39" i="72" s="1"/>
  <c r="J39" i="72" s="1"/>
  <c r="J40" i="72" s="1"/>
  <c r="Q50" i="77"/>
  <c r="C13" i="77"/>
  <c r="C36" i="77"/>
  <c r="J19" i="77"/>
  <c r="J17" i="77" s="1"/>
  <c r="C56" i="77"/>
  <c r="C63" i="77" s="1"/>
  <c r="J14" i="77"/>
  <c r="C58" i="72"/>
  <c r="C57" i="72" s="1"/>
  <c r="C66" i="72" s="1"/>
  <c r="C67" i="72" s="1"/>
  <c r="C70" i="72" s="1"/>
  <c r="C31" i="44"/>
  <c r="C18" i="12"/>
  <c r="C23" i="12" s="1"/>
  <c r="C26" i="15"/>
  <c r="C29" i="15" s="1"/>
  <c r="C18" i="43"/>
  <c r="C19" i="43" s="1"/>
  <c r="J11" i="21"/>
  <c r="F11" i="21"/>
  <c r="H11" i="21"/>
  <c r="J11" i="78"/>
  <c r="F11" i="78"/>
  <c r="H11" i="78"/>
  <c r="H13" i="39"/>
  <c r="J13" i="39"/>
  <c r="F13" i="39"/>
  <c r="R6" i="1"/>
  <c r="R16" i="1" s="1"/>
  <c r="R27" i="6"/>
  <c r="B3" i="67"/>
  <c r="Q70" i="72"/>
  <c r="Q69" i="72" s="1"/>
  <c r="J65" i="40"/>
  <c r="I67" i="40"/>
  <c r="J70" i="39"/>
  <c r="I72" i="39"/>
  <c r="L51" i="72"/>
  <c r="C40" i="72" l="1"/>
  <c r="Q57" i="72" s="1"/>
  <c r="Q63" i="72" s="1"/>
  <c r="J22" i="77"/>
  <c r="J13" i="77"/>
  <c r="J23" i="77" s="1"/>
  <c r="C55" i="77"/>
  <c r="C64" i="77" s="1"/>
  <c r="C57" i="77" s="1"/>
  <c r="C66" i="77" s="1"/>
  <c r="C67" i="77" s="1"/>
  <c r="C70" i="77" s="1"/>
  <c r="C37" i="77"/>
  <c r="C30" i="77" s="1"/>
  <c r="C39" i="77" s="1"/>
  <c r="Q71" i="77"/>
  <c r="J35" i="77"/>
  <c r="J39" i="77" s="1"/>
  <c r="J40" i="77" s="1"/>
  <c r="Q51" i="44"/>
  <c r="C15" i="44"/>
  <c r="J16" i="44"/>
  <c r="C38" i="44"/>
  <c r="J21" i="44"/>
  <c r="J19" i="44" s="1"/>
  <c r="J19" i="15"/>
  <c r="J17" i="15" s="1"/>
  <c r="C56" i="15"/>
  <c r="C63" i="15" s="1"/>
  <c r="Q50" i="15"/>
  <c r="C25" i="43"/>
  <c r="C24" i="43" s="1"/>
  <c r="C22" i="43"/>
  <c r="C21" i="43" s="1"/>
  <c r="C13" i="15"/>
  <c r="J14" i="15"/>
  <c r="C36" i="15"/>
  <c r="Q68" i="72"/>
  <c r="AA13" i="39"/>
  <c r="S13" i="39"/>
  <c r="AB13" i="39"/>
  <c r="U13" i="39"/>
  <c r="AB11" i="78"/>
  <c r="T48" i="78" s="1"/>
  <c r="G48" i="78" s="1"/>
  <c r="U11" i="78"/>
  <c r="W11" i="78"/>
  <c r="AC11" i="78"/>
  <c r="V48" i="78" s="1"/>
  <c r="I48" i="78" s="1"/>
  <c r="AA11" i="21"/>
  <c r="R48" i="21" s="1"/>
  <c r="S11" i="21"/>
  <c r="AC13" i="39"/>
  <c r="W13" i="39"/>
  <c r="AA11" i="78"/>
  <c r="R48" i="78" s="1"/>
  <c r="S11" i="78"/>
  <c r="AB11" i="21"/>
  <c r="T48" i="21" s="1"/>
  <c r="G48" i="21" s="1"/>
  <c r="U11" i="21"/>
  <c r="W11" i="21"/>
  <c r="AC11" i="21"/>
  <c r="V48" i="21" s="1"/>
  <c r="I48" i="21" s="1"/>
  <c r="C46" i="72"/>
  <c r="C43" i="72"/>
  <c r="Q66" i="72"/>
  <c r="Q76" i="72" s="1"/>
  <c r="Q48" i="72"/>
  <c r="Q54" i="72" s="1"/>
  <c r="B2" i="72"/>
  <c r="B3" i="72" s="1"/>
  <c r="J42" i="72"/>
  <c r="J43" i="72" s="1"/>
  <c r="J67" i="40"/>
  <c r="K65" i="40"/>
  <c r="K70" i="39"/>
  <c r="J72" i="39"/>
  <c r="L51" i="77"/>
  <c r="J16" i="77" l="1"/>
  <c r="J25" i="77" s="1"/>
  <c r="Q68" i="77"/>
  <c r="C40" i="77"/>
  <c r="Q70" i="77"/>
  <c r="Q69" i="77" s="1"/>
  <c r="C39" i="44"/>
  <c r="C32" i="44" s="1"/>
  <c r="C42" i="44" s="1"/>
  <c r="Q71" i="44" s="1"/>
  <c r="C43" i="44"/>
  <c r="Q72" i="44"/>
  <c r="J15" i="44"/>
  <c r="J25" i="44" s="1"/>
  <c r="J24" i="44"/>
  <c r="C28" i="43"/>
  <c r="C30" i="43" s="1"/>
  <c r="C32" i="43" s="1"/>
  <c r="B2" i="43" s="1"/>
  <c r="B3" i="43" s="1"/>
  <c r="J35" i="15"/>
  <c r="Q71" i="15"/>
  <c r="C55" i="15"/>
  <c r="C64" i="15" s="1"/>
  <c r="C57" i="15" s="1"/>
  <c r="C66" i="15" s="1"/>
  <c r="C67" i="15" s="1"/>
  <c r="C70" i="15" s="1"/>
  <c r="C37" i="15"/>
  <c r="C30" i="15" s="1"/>
  <c r="C39" i="15" s="1"/>
  <c r="J13" i="15"/>
  <c r="J23" i="15" s="1"/>
  <c r="J22" i="15"/>
  <c r="I52" i="21"/>
  <c r="J52" i="21" s="1"/>
  <c r="R49" i="21"/>
  <c r="E48" i="21"/>
  <c r="G52" i="78"/>
  <c r="H52" i="78" s="1"/>
  <c r="G53" i="78"/>
  <c r="H53" i="78" s="1"/>
  <c r="G52" i="21"/>
  <c r="H52" i="21" s="1"/>
  <c r="G53" i="21"/>
  <c r="H53" i="21" s="1"/>
  <c r="R49" i="78"/>
  <c r="E48" i="78"/>
  <c r="I52" i="78"/>
  <c r="J52" i="78" s="1"/>
  <c r="I53" i="78"/>
  <c r="J53" i="78" s="1"/>
  <c r="L65" i="40"/>
  <c r="K67" i="40"/>
  <c r="L70" i="39"/>
  <c r="K72" i="39"/>
  <c r="L51" i="15"/>
  <c r="C46" i="77" l="1"/>
  <c r="Q57" i="77"/>
  <c r="Q63" i="77" s="1"/>
  <c r="J42" i="77"/>
  <c r="J43" i="77" s="1"/>
  <c r="B2" i="77"/>
  <c r="B3" i="77" s="1"/>
  <c r="C43" i="77"/>
  <c r="Q66" i="77"/>
  <c r="Q76" i="77" s="1"/>
  <c r="Q48" i="77"/>
  <c r="Q54" i="77" s="1"/>
  <c r="J18" i="44"/>
  <c r="J27" i="44" s="1"/>
  <c r="Q70" i="44"/>
  <c r="C44" i="44"/>
  <c r="C45" i="44" s="1"/>
  <c r="B2" i="44" s="1"/>
  <c r="B5" i="43"/>
  <c r="B4" i="43"/>
  <c r="J16" i="15"/>
  <c r="J25" i="15" s="1"/>
  <c r="Q68" i="15"/>
  <c r="Q70" i="15"/>
  <c r="Q69" i="15" s="1"/>
  <c r="C40" i="15"/>
  <c r="J39" i="15"/>
  <c r="J40" i="15" s="1"/>
  <c r="C48" i="78"/>
  <c r="C49" i="78"/>
  <c r="B3" i="78" s="1"/>
  <c r="C49" i="21"/>
  <c r="B3" i="21" s="1"/>
  <c r="B2" i="21" s="1"/>
  <c r="C48" i="21"/>
  <c r="E53" i="78"/>
  <c r="F53" i="78" s="1"/>
  <c r="E52" i="78"/>
  <c r="F52" i="78" s="1"/>
  <c r="E53" i="21"/>
  <c r="F53" i="21" s="1"/>
  <c r="E52" i="21"/>
  <c r="F52" i="21" s="1"/>
  <c r="I53" i="21"/>
  <c r="J53" i="21" s="1"/>
  <c r="M70" i="39"/>
  <c r="L72" i="39"/>
  <c r="L67" i="40"/>
  <c r="M65" i="40"/>
  <c r="B3" i="44" l="1"/>
  <c r="B4" i="44"/>
  <c r="B5" i="44"/>
  <c r="Q66" i="15"/>
  <c r="Q76" i="15" s="1"/>
  <c r="C43" i="15"/>
  <c r="Q57" i="15"/>
  <c r="Q63" i="15" s="1"/>
  <c r="B2" i="15"/>
  <c r="J42" i="15"/>
  <c r="J43" i="15" s="1"/>
  <c r="C46" i="15"/>
  <c r="Q48" i="15"/>
  <c r="Q54" i="15" s="1"/>
  <c r="B2" i="78"/>
  <c r="D10" i="12" s="1"/>
  <c r="D8" i="12"/>
  <c r="N65" i="40"/>
  <c r="N67" i="40" s="1"/>
  <c r="M67" i="40"/>
  <c r="N70" i="39"/>
  <c r="N72" i="39" s="1"/>
  <c r="M72" i="39"/>
  <c r="C10" i="12" l="1"/>
  <c r="C6" i="12" s="1"/>
  <c r="B3" i="15"/>
  <c r="C8" i="12" s="1"/>
  <c r="K9" i="79" s="1"/>
  <c r="F9" i="39"/>
  <c r="J9" i="39"/>
  <c r="H9" i="39"/>
  <c r="J9" i="40"/>
  <c r="H9" i="40"/>
  <c r="F9" i="40"/>
  <c r="C29" i="12" l="1"/>
  <c r="C24" i="12"/>
  <c r="K11" i="79"/>
  <c r="K14" i="79"/>
  <c r="K13" i="79"/>
  <c r="K6" i="79"/>
  <c r="K8" i="79"/>
  <c r="K5" i="79"/>
  <c r="K3" i="79"/>
  <c r="K4" i="79"/>
  <c r="K12" i="79"/>
  <c r="K7" i="79"/>
  <c r="K10" i="79"/>
  <c r="AA9" i="40"/>
  <c r="R44" i="40" s="1"/>
  <c r="S9" i="40"/>
  <c r="AC9" i="40"/>
  <c r="V44" i="40" s="1"/>
  <c r="I44" i="40" s="1"/>
  <c r="W9" i="40"/>
  <c r="AC9" i="39"/>
  <c r="V49" i="39" s="1"/>
  <c r="I49" i="39" s="1"/>
  <c r="I53" i="39" s="1"/>
  <c r="J53" i="39" s="1"/>
  <c r="W9" i="39"/>
  <c r="AB9" i="40"/>
  <c r="T44" i="40" s="1"/>
  <c r="G44" i="40" s="1"/>
  <c r="U9" i="40"/>
  <c r="AB9" i="39"/>
  <c r="T49" i="39" s="1"/>
  <c r="G49" i="39" s="1"/>
  <c r="U9" i="39"/>
  <c r="AA9" i="39"/>
  <c r="R49" i="39" s="1"/>
  <c r="S9" i="39"/>
  <c r="C35" i="12" l="1"/>
  <c r="C33" i="12" s="1"/>
  <c r="C28" i="12"/>
  <c r="C26" i="12" s="1"/>
  <c r="C31" i="12" s="1"/>
  <c r="C30" i="12" s="1"/>
  <c r="K15" i="79"/>
  <c r="E49" i="39"/>
  <c r="R50" i="39"/>
  <c r="G53" i="39"/>
  <c r="H53" i="39" s="1"/>
  <c r="G54" i="39"/>
  <c r="H54" i="39" s="1"/>
  <c r="G48" i="40"/>
  <c r="H48" i="40" s="1"/>
  <c r="G49" i="40"/>
  <c r="H49" i="40" s="1"/>
  <c r="I48" i="40"/>
  <c r="J48" i="40" s="1"/>
  <c r="R45" i="40"/>
  <c r="E44" i="40"/>
  <c r="C36" i="12" l="1"/>
  <c r="B2" i="12" s="1"/>
  <c r="B4" i="12" s="1"/>
  <c r="E48" i="40"/>
  <c r="F48" i="40" s="1"/>
  <c r="E49" i="40"/>
  <c r="F49" i="40" s="1"/>
  <c r="C49" i="39"/>
  <c r="C50" i="39"/>
  <c r="C45" i="40"/>
  <c r="C44" i="40"/>
  <c r="I49" i="40"/>
  <c r="J49" i="40" s="1"/>
  <c r="I54" i="39"/>
  <c r="J54" i="39" s="1"/>
  <c r="E54" i="39"/>
  <c r="F54" i="39" s="1"/>
  <c r="E53" i="39"/>
  <c r="F53" i="39" s="1"/>
  <c r="D19" i="9"/>
  <c r="D21" i="9"/>
  <c r="B5" i="12" l="1"/>
  <c r="B3" i="12"/>
  <c r="L44" i="9"/>
  <c r="B59" i="39"/>
  <c r="F59" i="39" s="1"/>
  <c r="B63" i="39"/>
  <c r="F63" i="39" s="1"/>
  <c r="B67" i="39"/>
  <c r="F67" i="39" s="1"/>
  <c r="B60" i="39"/>
  <c r="F60" i="39" s="1"/>
  <c r="B64" i="39"/>
  <c r="F64" i="39" s="1"/>
  <c r="B61" i="39"/>
  <c r="F61" i="39" s="1"/>
  <c r="B58" i="39"/>
  <c r="F58" i="39" s="1"/>
  <c r="B62" i="39"/>
  <c r="F62" i="39" s="1"/>
  <c r="B65" i="39"/>
  <c r="F65" i="39" s="1"/>
  <c r="B66" i="39"/>
  <c r="F66" i="39" s="1"/>
  <c r="B60" i="40"/>
  <c r="F60" i="40" s="1"/>
  <c r="B58" i="40"/>
  <c r="F58" i="40" s="1"/>
  <c r="B55" i="40"/>
  <c r="F55" i="40" s="1"/>
  <c r="B54" i="40"/>
  <c r="F54" i="40" s="1"/>
  <c r="B57" i="40"/>
  <c r="F57" i="40" s="1"/>
  <c r="B56" i="40"/>
  <c r="F56" i="40" s="1"/>
  <c r="B61" i="40"/>
  <c r="F61" i="40" s="1"/>
  <c r="B59" i="40"/>
  <c r="F59" i="40" s="1"/>
  <c r="B53" i="40"/>
  <c r="F53" i="40" s="1"/>
  <c r="B62" i="40"/>
  <c r="F62" i="40" s="1"/>
  <c r="F63" i="40"/>
  <c r="B2" i="40" s="1"/>
  <c r="D20" i="9"/>
  <c r="B3" i="40" l="1"/>
  <c r="B4" i="40"/>
  <c r="B5" i="40"/>
  <c r="F68" i="39"/>
  <c r="B2" i="39" s="1"/>
  <c r="C19" i="9"/>
  <c r="L43" i="9" l="1"/>
  <c r="D22" i="9"/>
  <c r="G19" i="9"/>
  <c r="B3" i="39"/>
  <c r="B5" i="39"/>
  <c r="B4" i="39"/>
  <c r="C20" i="9"/>
  <c r="C21" i="9"/>
  <c r="G21" i="9" l="1"/>
  <c r="G20" i="9"/>
  <c r="C32" i="9"/>
  <c r="L15" i="79"/>
  <c r="N43" i="9"/>
  <c r="Q29" i="9"/>
  <c r="G22" i="9"/>
  <c r="C33" i="9" l="1"/>
  <c r="C35" i="9"/>
  <c r="F42" i="9" s="1"/>
  <c r="O38" i="9"/>
  <c r="O43" i="9"/>
  <c r="C34" i="9"/>
  <c r="C42" i="9"/>
  <c r="L9" i="79"/>
  <c r="L3" i="79"/>
  <c r="L13" i="79"/>
  <c r="L10" i="79"/>
  <c r="L5" i="79"/>
  <c r="L14" i="79"/>
  <c r="L11" i="79"/>
  <c r="L4" i="79"/>
  <c r="L6" i="79"/>
  <c r="L12" i="79"/>
  <c r="L7" i="79"/>
  <c r="L8" i="79"/>
  <c r="D14" i="66" l="1"/>
  <c r="D63" i="9"/>
  <c r="C44" i="9"/>
  <c r="R5" i="54"/>
  <c r="B48" i="63" s="1"/>
  <c r="N68" i="9"/>
  <c r="M38" i="9"/>
  <c r="K27" i="9" s="1"/>
  <c r="E42" i="9"/>
  <c r="P5" i="54" s="1"/>
  <c r="B46" i="63" s="1"/>
  <c r="K26" i="9"/>
  <c r="K25" i="9"/>
  <c r="D42" i="9"/>
  <c r="Q5" i="54" s="1"/>
  <c r="B47" i="63" s="1"/>
  <c r="N38" i="9"/>
  <c r="K28" i="9" s="1"/>
  <c r="C111" i="9" l="1"/>
  <c r="C104" i="9" s="1"/>
  <c r="D70" i="9"/>
  <c r="D71" i="9"/>
  <c r="D66" i="9" s="1"/>
  <c r="N72" i="9" s="1"/>
  <c r="C96" i="9"/>
  <c r="C91" i="9" s="1"/>
  <c r="C103" i="9"/>
  <c r="C90" i="9"/>
  <c r="D73" i="9"/>
  <c r="N73" i="9" s="1"/>
  <c r="C82" i="9"/>
  <c r="C81" i="9" s="1"/>
  <c r="C85" i="9" s="1"/>
  <c r="C86" i="9" s="1"/>
  <c r="D72" i="9" s="1"/>
  <c r="O39" i="9"/>
  <c r="E44" i="9"/>
  <c r="F44" i="9"/>
  <c r="G14" i="66"/>
  <c r="N69" i="9"/>
  <c r="D44" i="9"/>
  <c r="E14" i="66"/>
  <c r="F14" i="66"/>
  <c r="L14" i="66"/>
  <c r="C113" i="9" l="1"/>
  <c r="C115" i="9" s="1"/>
  <c r="D76" i="9" s="1"/>
  <c r="D74" i="9" s="1"/>
  <c r="N74" i="9" s="1"/>
  <c r="O77" i="9" s="1"/>
  <c r="C97" i="9"/>
  <c r="C98" i="9" s="1"/>
  <c r="E98" i="9" s="1"/>
  <c r="E99" i="9" s="1"/>
  <c r="M83" i="9"/>
  <c r="N83" i="9" s="1"/>
  <c r="M87" i="9"/>
  <c r="N87" i="9" s="1"/>
  <c r="M86" i="9"/>
  <c r="N86" i="9" s="1"/>
  <c r="M85" i="9"/>
  <c r="N85" i="9" s="1"/>
  <c r="M84" i="9"/>
  <c r="N84" i="9" s="1"/>
  <c r="M88" i="9"/>
  <c r="N88" i="9" s="1"/>
  <c r="K29" i="9"/>
  <c r="K30" i="9" s="1"/>
  <c r="R6" i="54"/>
  <c r="B50" i="63" s="1"/>
  <c r="C114" i="9"/>
  <c r="E114" i="9" s="1"/>
  <c r="E115" i="9" s="1"/>
  <c r="C99" i="9" l="1"/>
  <c r="O78" i="9"/>
  <c r="Q77" i="9"/>
  <c r="O79" i="9"/>
  <c r="N89" i="9"/>
  <c r="O89" i="9" s="1"/>
  <c r="O81" i="9" l="1"/>
  <c r="O80" i="9"/>
  <c r="E15" i="66" l="1"/>
  <c r="L15" i="66"/>
  <c r="G15" i="66"/>
  <c r="B6" i="66" s="1"/>
  <c r="B5" i="66"/>
  <c r="F15" i="66"/>
  <c r="C5" i="66" l="1"/>
  <c r="D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<sst xmlns="http://schemas.openxmlformats.org/spreadsheetml/2006/main" count="9398" uniqueCount="3458">
  <si>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</si>
  <si>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</si>
  <si>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</si>
  <si>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</si>
  <si>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</si>
  <si>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</si>
  <si>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</si>
  <si>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</si>
  <si>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</si>
  <si>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</si>
  <si>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</si>
  <si>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</si>
  <si>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</si>
  <si>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</si>
  <si>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</si>
  <si>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</si>
  <si>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</si>
  <si>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</si>
  <si>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</si>
  <si>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</si>
  <si>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</si>
  <si>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</si>
  <si>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</si>
  <si>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</si>
  <si>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</si>
  <si>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</si>
  <si>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</si>
  <si>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</si>
  <si>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</si>
  <si>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</si>
  <si>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</si>
  <si>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</si>
  <si>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</si>
  <si>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</si>
  <si>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</si>
  <si>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</si>
  <si>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</si>
  <si>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</si>
  <si>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</si>
  <si>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</si>
  <si>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</si>
  <si>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</si>
  <si>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</si>
  <si>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</si>
  <si>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</si>
  <si>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</si>
  <si>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</si>
  <si>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</si>
  <si>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</si>
  <si>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</si>
  <si>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</si>
  <si>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</si>
  <si>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</si>
  <si>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</si>
  <si>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</si>
  <si>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</si>
  <si>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</si>
  <si>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</si>
  <si>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</si>
  <si>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</si>
  <si>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</si>
  <si>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</si>
  <si>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</si>
  <si>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</si>
  <si>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</si>
  <si>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</si>
  <si>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</si>
  <si>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</si>
  <si>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</si>
  <si>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</si>
  <si>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</si>
  <si>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</si>
  <si>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</si>
  <si>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</si>
  <si>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</si>
  <si>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</si>
  <si>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</si>
  <si>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</si>
  <si>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</si>
  <si>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</si>
  <si>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</si>
  <si>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</si>
  <si>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</si>
  <si>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</si>
  <si>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</si>
  <si>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</si>
  <si>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</si>
  <si>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</si>
  <si>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</si>
  <si>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</si>
  <si>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</si>
  <si>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</si>
  <si>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</si>
  <si>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</si>
  <si>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</si>
  <si>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</si>
  <si>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</si>
  <si>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</si>
  <si>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</si>
  <si>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</si>
  <si>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</si>
  <si>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</si>
  <si>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</si>
  <si>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</si>
  <si>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</si>
  <si>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</si>
  <si>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</si>
  <si>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</si>
  <si>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</si>
  <si>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</si>
  <si>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</si>
  <si>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</si>
  <si>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</si>
  <si>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</si>
  <si>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</si>
  <si>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</si>
  <si>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</si>
  <si>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</si>
  <si>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</si>
  <si>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</si>
  <si>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</si>
  <si>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</si>
  <si>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</si>
  <si>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</si>
  <si>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</si>
  <si>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</si>
  <si>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</si>
  <si>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</si>
  <si>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</si>
  <si>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</si>
  <si>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</si>
  <si>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</si>
  <si>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</si>
  <si>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</si>
  <si>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</si>
  <si>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</si>
  <si>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</si>
  <si>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</si>
  <si>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</si>
  <si>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</si>
  <si>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</si>
  <si>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</si>
  <si>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</si>
  <si>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</si>
  <si>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</si>
  <si>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</si>
  <si>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</si>
  <si>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</si>
  <si>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</si>
  <si>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</si>
  <si>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</si>
  <si>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</si>
  <si>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</si>
  <si>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</si>
  <si>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</si>
  <si>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</si>
  <si>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</si>
  <si>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</si>
  <si>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</si>
  <si>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</si>
  <si>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</si>
  <si>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</si>
  <si>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</si>
  <si>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</si>
  <si>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</si>
  <si>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</si>
  <si>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</si>
  <si>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</si>
  <si>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</si>
  <si>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</si>
  <si>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</si>
  <si>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</si>
  <si>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</si>
  <si>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</si>
  <si>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</si>
  <si>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</si>
  <si>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</si>
  <si>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</si>
  <si>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</si>
  <si>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</si>
  <si>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</si>
  <si>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</si>
  <si>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</si>
  <si>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</si>
  <si>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</si>
  <si>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</si>
  <si>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</si>
  <si>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</si>
  <si>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</si>
  <si>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</si>
  <si>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</si>
  <si>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</si>
  <si>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</si>
  <si>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</si>
  <si>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</si>
  <si>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</si>
  <si>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</si>
  <si>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</si>
  <si>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</si>
  <si>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</si>
  <si>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</si>
  <si>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</si>
  <si>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</si>
  <si>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</si>
  <si>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</si>
  <si>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</si>
  <si>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</si>
  <si>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</si>
  <si>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</si>
  <si>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</si>
  <si>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</si>
  <si>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</si>
  <si>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</si>
  <si>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</si>
  <si>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</si>
  <si>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</si>
  <si>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</si>
  <si>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</si>
  <si>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</si>
  <si>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</si>
  <si>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</si>
  <si>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</si>
  <si>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</si>
  <si>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</si>
  <si>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</si>
  <si>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</si>
  <si>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</si>
  <si>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</si>
  <si>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</si>
  <si>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</si>
  <si>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</si>
  <si>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</si>
  <si>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</si>
  <si>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</si>
  <si>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</si>
  <si>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</si>
  <si>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</si>
  <si>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</si>
  <si>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</si>
  <si>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</si>
  <si>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</si>
  <si>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</si>
  <si>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</si>
  <si>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</si>
  <si>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</si>
  <si>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</si>
  <si>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</si>
  <si>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</si>
  <si>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</si>
  <si>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</si>
  <si>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</si>
  <si>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</si>
  <si>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</si>
  <si>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</si>
  <si>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</si>
  <si>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</si>
  <si>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</si>
  <si>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</si>
  <si>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</si>
  <si>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</si>
  <si>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</si>
  <si>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</si>
  <si>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</si>
  <si>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</si>
  <si>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</si>
  <si>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</si>
  <si>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</si>
  <si>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</si>
  <si>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</si>
  <si>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</si>
  <si>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</si>
  <si>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</si>
  <si>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</si>
  <si>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</si>
  <si>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</si>
  <si>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</si>
  <si>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</si>
  <si>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</si>
  <si>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</si>
  <si>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</si>
  <si>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</si>
  <si>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</si>
  <si>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</si>
  <si>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</si>
  <si>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</si>
  <si>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</si>
  <si>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</si>
  <si>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</si>
  <si>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</si>
  <si>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</si>
  <si>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</si>
  <si>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</si>
  <si>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</si>
  <si>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</si>
  <si>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</si>
  <si>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</si>
  <si>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</si>
  <si>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</si>
  <si>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</si>
  <si>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</si>
  <si>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</si>
  <si>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</si>
  <si>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</si>
  <si>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</si>
  <si>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</si>
  <si>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</si>
  <si>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</si>
  <si>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</si>
  <si>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</si>
  <si>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</si>
  <si>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</si>
  <si>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</si>
  <si>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</si>
  <si>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</si>
  <si>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</si>
  <si>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</si>
  <si>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</si>
  <si>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</si>
  <si>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</si>
  <si>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</si>
  <si>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</si>
  <si>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</si>
  <si>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</si>
  <si>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</si>
  <si>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</si>
  <si>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</si>
  <si>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</si>
  <si>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</si>
  <si>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</si>
  <si>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</si>
  <si>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</si>
  <si>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</si>
  <si>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</si>
  <si>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</si>
  <si>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</si>
  <si>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</si>
  <si>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</si>
  <si>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</si>
  <si>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</si>
  <si>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</si>
  <si>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</si>
  <si>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</si>
  <si>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</si>
  <si>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</si>
  <si>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</si>
  <si>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</si>
  <si>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</si>
  <si>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</si>
  <si>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</si>
  <si>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</si>
  <si>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</si>
  <si>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</si>
  <si>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</si>
  <si>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</si>
  <si>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</si>
  <si>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</si>
  <si>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</si>
  <si>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</si>
  <si>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</si>
  <si>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</si>
  <si>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</si>
  <si>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</si>
  <si>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</si>
  <si>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</si>
  <si>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</si>
  <si>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</si>
  <si>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</si>
  <si>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</si>
  <si>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</si>
  <si>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</si>
  <si>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</si>
  <si>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</si>
  <si>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</si>
  <si>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</si>
  <si>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</si>
  <si>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</si>
  <si>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</si>
  <si>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</si>
  <si>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</si>
  <si>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</si>
  <si>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</si>
  <si>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</si>
  <si>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</si>
  <si>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</si>
  <si>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</si>
  <si>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</si>
  <si>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</si>
  <si>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</si>
  <si>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</si>
  <si>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</si>
  <si>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</si>
  <si>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</si>
  <si>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</si>
  <si>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</si>
  <si>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</si>
  <si>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</si>
  <si>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</si>
  <si>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</si>
  <si>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</si>
  <si>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</si>
  <si>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</si>
  <si>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</si>
  <si>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</si>
  <si>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</si>
  <si>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</si>
  <si>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</si>
  <si>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</si>
  <si>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</si>
  <si>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</si>
  <si>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</si>
  <si>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</si>
  <si>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</si>
  <si>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</si>
  <si>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</si>
  <si>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</si>
  <si>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</si>
  <si>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</si>
  <si>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</si>
  <si>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</si>
  <si>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</si>
  <si>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</si>
  <si>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</si>
  <si>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</si>
  <si>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</si>
  <si>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</si>
  <si>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</si>
  <si>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</si>
  <si>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</si>
  <si>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</si>
  <si>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</si>
  <si>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</si>
  <si>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</si>
  <si>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</si>
  <si>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</si>
  <si>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</si>
  <si>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</si>
  <si>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</si>
  <si>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</si>
  <si>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</si>
  <si>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</si>
  <si>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</si>
  <si>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</si>
  <si>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</si>
  <si>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</si>
  <si>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</si>
  <si>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</si>
  <si>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</si>
  <si>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</si>
  <si>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</si>
  <si>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</si>
  <si>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</si>
  <si>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</si>
  <si>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</si>
  <si>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</si>
  <si>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</si>
  <si>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</si>
  <si>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</si>
  <si>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</si>
  <si>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</si>
  <si>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</si>
  <si>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</si>
  <si>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</si>
  <si>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</si>
  <si>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</si>
  <si>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</si>
  <si>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</si>
  <si>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</si>
  <si>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</si>
  <si>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</si>
  <si>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</si>
  <si>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</si>
  <si>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</si>
  <si>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</si>
  <si>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</si>
  <si>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</si>
  <si>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</si>
  <si>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</si>
  <si>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</si>
  <si>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</si>
  <si>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</si>
  <si>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</si>
  <si>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</si>
  <si>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</si>
  <si>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</si>
  <si>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</si>
  <si>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</si>
  <si>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</si>
  <si>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</si>
  <si>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</si>
  <si>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</si>
  <si>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</si>
  <si>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</si>
  <si>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</si>
  <si>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</si>
  <si>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</si>
  <si>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</si>
  <si>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</si>
  <si>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</si>
  <si>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</si>
  <si>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</si>
  <si>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</si>
  <si>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</si>
  <si>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</si>
  <si>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</si>
  <si>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</si>
  <si>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</si>
  <si>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</si>
  <si>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</si>
  <si>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</si>
  <si>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</si>
  <si>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</si>
  <si>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</si>
  <si>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</si>
  <si>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</si>
  <si>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</si>
  <si>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</si>
  <si>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</si>
  <si>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</si>
  <si>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</si>
  <si>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</si>
  <si>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</si>
  <si>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</si>
  <si>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</si>
  <si>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</si>
  <si>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</si>
  <si>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</si>
  <si>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</si>
  <si>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</si>
  <si>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</si>
  <si>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</si>
  <si>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</si>
  <si>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</si>
  <si>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</si>
  <si>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</si>
  <si>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</si>
  <si>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</si>
  <si>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</si>
  <si>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</si>
  <si>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</si>
  <si>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</si>
  <si>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</si>
  <si>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</si>
  <si>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</si>
  <si>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</si>
  <si>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</si>
  <si>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</si>
  <si>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</si>
  <si>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</si>
  <si>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</si>
  <si>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</si>
  <si>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</si>
  <si>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</si>
  <si>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</si>
  <si>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</si>
  <si>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</si>
  <si>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</si>
  <si>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</si>
  <si>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</si>
  <si>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</si>
  <si>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</si>
  <si>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</si>
  <si>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</si>
  <si>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</si>
  <si>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</si>
  <si>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</si>
  <si>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</si>
  <si>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</si>
  <si>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</si>
  <si>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</si>
  <si>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</si>
  <si>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</si>
  <si>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</si>
  <si>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</si>
  <si>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</si>
  <si>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</si>
  <si>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</si>
  <si>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</si>
  <si>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</si>
  <si>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</si>
  <si>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</si>
  <si>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</si>
  <si>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</si>
  <si>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</si>
  <si>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</si>
  <si>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</si>
  <si>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</si>
  <si>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</si>
  <si>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</si>
  <si>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</si>
  <si>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</si>
  <si>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</si>
  <si>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</si>
  <si>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</si>
  <si>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</si>
  <si>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</si>
  <si>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</si>
  <si>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</si>
  <si>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</si>
  <si>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</si>
  <si>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</si>
  <si>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</si>
  <si>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</si>
  <si>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</si>
  <si>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</si>
  <si>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</si>
  <si>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</si>
  <si>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</si>
  <si>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</si>
  <si>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</si>
  <si>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</si>
  <si>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</si>
  <si>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</si>
  <si>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</si>
  <si>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</si>
  <si>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</si>
  <si>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</si>
  <si>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</si>
  <si>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</si>
  <si>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</si>
  <si>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</si>
  <si>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</si>
  <si>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</si>
  <si>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</si>
  <si>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</si>
  <si>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</si>
  <si>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</si>
  <si>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</si>
  <si>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</si>
  <si>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</si>
  <si>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</si>
  <si>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</si>
  <si>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</si>
  <si>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</si>
  <si>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</si>
  <si>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</si>
  <si>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</si>
  <si>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</si>
  <si>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</si>
  <si>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</si>
  <si>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</si>
  <si>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</si>
  <si>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</si>
  <si>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</si>
  <si>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</si>
  <si>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</si>
  <si>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</si>
  <si>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</si>
  <si>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</si>
  <si>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</si>
  <si>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</si>
  <si>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</si>
  <si>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</si>
  <si>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</si>
  <si>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</si>
  <si>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</si>
  <si>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</si>
  <si>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</si>
  <si>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</si>
  <si>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</si>
  <si>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</si>
  <si>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</si>
  <si>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</si>
  <si>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</si>
  <si>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</si>
  <si>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</si>
  <si>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</si>
  <si>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</si>
  <si>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</si>
  <si>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</si>
  <si>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</si>
  <si>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</si>
  <si>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</si>
  <si>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</si>
  <si>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</si>
  <si>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</si>
  <si>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</si>
  <si>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</si>
  <si>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</si>
  <si>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</si>
  <si>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</si>
  <si>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</si>
  <si>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</si>
  <si>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</si>
  <si>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</si>
  <si>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</si>
  <si>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</si>
  <si>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</si>
  <si>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</si>
  <si>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</si>
  <si>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</si>
  <si>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</si>
  <si>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</si>
  <si>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</si>
  <si>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</si>
  <si>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</si>
  <si>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</si>
  <si>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</si>
  <si>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</si>
  <si>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</si>
  <si>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</si>
  <si>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</si>
  <si>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</si>
  <si>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</si>
  <si>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</si>
  <si>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</si>
  <si>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</si>
  <si>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</si>
  <si>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</si>
  <si>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</si>
  <si>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</si>
  <si>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</si>
  <si>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</si>
  <si>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</si>
  <si>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</si>
  <si>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</si>
  <si>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</si>
  <si>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</si>
  <si>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</si>
  <si>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</si>
  <si>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</si>
  <si>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</si>
  <si>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</si>
  <si>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</si>
  <si>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</si>
  <si>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</si>
  <si>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</si>
  <si>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</si>
  <si>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</si>
  <si>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</si>
  <si>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</si>
  <si>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</si>
  <si>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</si>
  <si>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</si>
  <si>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</si>
  <si>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</si>
  <si>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</si>
  <si>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</si>
  <si>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</si>
  <si>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</si>
  <si>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</si>
  <si>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</si>
  <si>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</si>
  <si>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</si>
  <si>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</si>
  <si>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</si>
  <si>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</si>
  <si>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</si>
  <si>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</si>
  <si>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</si>
  <si>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</si>
  <si>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</si>
  <si>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</si>
  <si>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</si>
  <si>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</si>
  <si>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</si>
  <si>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</si>
  <si>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</si>
  <si>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</si>
  <si>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</si>
  <si>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</si>
  <si>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</si>
  <si>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</si>
  <si>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</si>
  <si>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</si>
  <si>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</si>
  <si>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</si>
  <si>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</si>
  <si>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</si>
  <si>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</si>
  <si>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</si>
  <si>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</si>
  <si>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</si>
  <si>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</si>
  <si>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</si>
  <si>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</si>
  <si>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</si>
  <si>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</si>
  <si>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</si>
  <si>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</si>
  <si>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</si>
  <si>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</si>
  <si>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</si>
  <si>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</si>
  <si>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</si>
  <si>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</si>
  <si>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</si>
  <si>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</si>
  <si>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</si>
  <si>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</si>
  <si>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</si>
  <si>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</si>
  <si>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</si>
  <si>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</si>
  <si>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</si>
  <si>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</si>
  <si>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</si>
  <si>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</si>
  <si>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</si>
  <si>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</si>
  <si>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</si>
  <si>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</si>
  <si>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</si>
  <si>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</si>
  <si>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</si>
  <si>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</si>
  <si>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</si>
  <si>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</si>
  <si>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</si>
  <si>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</si>
  <si>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</si>
  <si>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</si>
  <si>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</si>
  <si>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</si>
  <si>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</si>
  <si>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</si>
  <si>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</si>
  <si>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</si>
  <si>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</si>
  <si>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</si>
  <si>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</si>
  <si>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</si>
  <si>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</si>
  <si>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</si>
  <si>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</si>
  <si>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</si>
  <si>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</si>
  <si>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</si>
  <si>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</si>
  <si>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</si>
  <si>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</si>
  <si>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</si>
  <si>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</si>
  <si>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</si>
  <si>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</si>
  <si>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</si>
  <si>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</si>
  <si>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</si>
  <si>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</si>
  <si>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</si>
  <si>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</si>
  <si>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</si>
  <si>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</si>
  <si>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</si>
  <si>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</si>
  <si>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</si>
  <si>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</si>
  <si>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</si>
  <si>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</si>
  <si>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</si>
  <si>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</si>
  <si>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</si>
  <si>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</si>
  <si>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</si>
  <si>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</si>
  <si>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</si>
  <si>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</si>
  <si>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</si>
  <si>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</si>
  <si>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</si>
  <si>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</si>
  <si>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</si>
  <si>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</si>
  <si>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</si>
  <si>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</si>
  <si>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</si>
  <si>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</si>
  <si>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</si>
  <si>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</si>
  <si>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</si>
  <si>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</si>
  <si>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</si>
  <si>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</si>
  <si>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</si>
  <si>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</si>
  <si>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</si>
  <si>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</si>
  <si>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</si>
  <si>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</si>
  <si>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</si>
  <si>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</si>
  <si>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</si>
  <si>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</si>
  <si>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</si>
  <si>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</si>
  <si>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</si>
  <si>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</si>
  <si>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</si>
  <si>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</si>
  <si>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</si>
  <si>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</si>
  <si>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</si>
  <si>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</si>
  <si>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</si>
  <si>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</si>
  <si>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</si>
  <si>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</si>
  <si>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</si>
  <si>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</si>
  <si>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</si>
  <si>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</si>
  <si>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</si>
  <si>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</si>
  <si>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</si>
  <si>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</si>
  <si>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</si>
  <si>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</si>
  <si>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</si>
  <si>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</si>
  <si>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</si>
  <si>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</si>
  <si>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</si>
  <si>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</si>
  <si>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</si>
  <si>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</si>
  <si>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</si>
  <si>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</si>
  <si>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</si>
  <si>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</si>
  <si>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</si>
  <si>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</si>
  <si>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</si>
  <si>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</si>
  <si>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</si>
  <si>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</si>
  <si>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</si>
  <si>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</si>
  <si>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</si>
  <si>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</si>
  <si>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</si>
  <si>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</si>
  <si>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</si>
  <si>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</si>
  <si>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</si>
  <si>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</si>
  <si>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</si>
  <si>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</si>
  <si>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</si>
  <si>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</si>
  <si>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</si>
  <si>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</si>
  <si>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</si>
  <si>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</si>
  <si>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</si>
  <si>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</si>
  <si>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</si>
  <si>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</si>
  <si>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</si>
  <si>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</si>
  <si>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</si>
  <si>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</si>
  <si>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</si>
  <si>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</si>
  <si>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</si>
  <si>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</si>
  <si>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</si>
  <si>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</si>
  <si>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</si>
  <si>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</si>
  <si>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</si>
  <si>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</si>
  <si>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</si>
  <si>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</si>
  <si>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</si>
  <si>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</si>
  <si>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</si>
  <si>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</si>
  <si>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</si>
  <si>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</si>
  <si>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</si>
  <si>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</si>
  <si>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</si>
  <si>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</si>
  <si>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</si>
  <si>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</si>
  <si>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</si>
  <si>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</si>
  <si>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</si>
  <si>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</si>
  <si>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</si>
  <si>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</si>
  <si>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</si>
  <si>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</si>
  <si>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</si>
  <si>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</si>
  <si>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</si>
  <si>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</si>
  <si>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</si>
  <si>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</si>
  <si>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</si>
  <si>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</si>
  <si>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</si>
  <si>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</si>
  <si>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</si>
  <si>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</si>
  <si>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</si>
  <si>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</si>
  <si>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</si>
  <si>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</si>
  <si>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</si>
  <si>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</si>
  <si>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</si>
  <si>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</si>
  <si>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</si>
  <si>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</si>
  <si>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</si>
  <si>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</si>
  <si>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</si>
  <si>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</si>
  <si>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</si>
  <si>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</si>
  <si>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</si>
  <si>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</si>
  <si>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</si>
  <si>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</si>
  <si>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</si>
  <si>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</si>
  <si>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</si>
  <si>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</si>
  <si>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</si>
  <si>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</si>
  <si>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</si>
  <si>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</si>
  <si>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</si>
  <si>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</si>
  <si>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</si>
  <si>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</si>
  <si>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</si>
  <si>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</si>
  <si>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</si>
  <si>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</si>
  <si>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</si>
  <si>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</si>
  <si>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</si>
  <si>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</si>
  <si>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</si>
  <si>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</si>
  <si>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</si>
  <si>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</si>
  <si>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</si>
  <si>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</si>
  <si>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</si>
  <si>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</si>
  <si>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</si>
  <si>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</si>
  <si>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</si>
  <si>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</si>
  <si>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</si>
  <si>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</si>
  <si>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</si>
  <si>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</si>
  <si>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</si>
  <si>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</si>
  <si>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</si>
  <si>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</si>
  <si>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</si>
  <si>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</si>
  <si>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</si>
  <si>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</si>
  <si>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</si>
  <si>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</si>
  <si>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</si>
  <si>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</si>
  <si>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</si>
  <si>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</si>
  <si>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</si>
  <si>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</si>
  <si>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</si>
  <si>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</si>
  <si>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</si>
  <si>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</si>
  <si>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</si>
  <si>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</si>
  <si>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</si>
  <si>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</si>
  <si>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</si>
  <si>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</si>
  <si>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</si>
  <si>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</si>
  <si>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</si>
  <si>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</si>
  <si>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</si>
  <si>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</si>
  <si>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</si>
  <si>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</si>
  <si>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</si>
  <si>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</si>
  <si>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</si>
  <si>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</si>
  <si>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</si>
  <si>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</si>
  <si>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</si>
  <si>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</si>
  <si>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</si>
  <si>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</si>
  <si>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</si>
  <si>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</si>
  <si>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</si>
  <si>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</si>
  <si>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</si>
  <si>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</si>
  <si>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</si>
  <si>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</si>
  <si>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</si>
  <si>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</si>
  <si>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</si>
  <si>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</si>
  <si>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</si>
  <si>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</si>
  <si>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</si>
  <si>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</si>
  <si>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</si>
  <si>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</si>
  <si>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</si>
  <si>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</si>
  <si>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</si>
  <si>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</si>
  <si>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</si>
  <si>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</si>
  <si>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</si>
  <si>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</si>
  <si>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</si>
  <si>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</si>
  <si>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</si>
  <si>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</si>
  <si>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</si>
  <si>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</si>
  <si>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</si>
  <si>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</si>
  <si>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</si>
  <si>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</si>
  <si>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</si>
  <si>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</si>
  <si>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</si>
  <si>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</si>
  <si>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</si>
  <si>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</si>
  <si>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</si>
  <si>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</si>
  <si>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</si>
  <si>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</si>
  <si>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</si>
  <si>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</si>
  <si>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</si>
  <si>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</si>
  <si>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</si>
  <si>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</si>
  <si>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</si>
  <si>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</si>
  <si>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</si>
  <si>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</si>
  <si>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</si>
  <si>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</si>
  <si>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</si>
  <si>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</si>
  <si>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</si>
  <si>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</si>
  <si>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</si>
  <si>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</si>
  <si>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</si>
  <si>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</si>
  <si>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</si>
  <si>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</si>
  <si>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</si>
  <si>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</si>
  <si>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</si>
  <si>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</si>
  <si>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</si>
  <si>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</si>
  <si>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</si>
  <si>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</si>
  <si>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</si>
  <si>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</si>
  <si>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</si>
  <si>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</si>
  <si>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</si>
  <si>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</si>
  <si>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</si>
  <si>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</si>
  <si>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</si>
  <si>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</si>
  <si>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</si>
  <si>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</si>
  <si>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</si>
  <si>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</si>
  <si>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</si>
  <si>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</si>
  <si>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</si>
  <si>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</si>
  <si>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</si>
  <si>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</si>
  <si>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</si>
  <si>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</si>
  <si>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</si>
  <si>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</si>
  <si>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</si>
  <si>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</si>
  <si>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</si>
  <si>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</si>
  <si>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</si>
  <si>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</si>
  <si>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</si>
  <si>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</si>
  <si>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</si>
  <si>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</si>
  <si>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</si>
  <si>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</si>
  <si>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</si>
  <si>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</si>
  <si>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</si>
  <si>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</si>
  <si>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</si>
  <si>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</si>
  <si>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</si>
  <si>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</si>
  <si>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</si>
  <si>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</si>
  <si>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</si>
  <si>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</si>
  <si>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</si>
  <si>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</si>
  <si>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</si>
  <si>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</si>
  <si>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</si>
  <si>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</si>
  <si>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</si>
  <si>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</si>
  <si>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</si>
  <si>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</si>
  <si>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</si>
  <si>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</si>
  <si>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</si>
  <si>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</si>
  <si>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</si>
  <si>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</si>
  <si>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</si>
  <si>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</si>
  <si>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</si>
  <si>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</si>
  <si>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</si>
  <si>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</si>
  <si>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</si>
  <si>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</si>
  <si>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</si>
  <si>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</si>
  <si>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</si>
  <si>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</si>
  <si>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</si>
  <si>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</si>
  <si>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</si>
  <si>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</si>
  <si>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</si>
  <si>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</si>
  <si>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</si>
  <si>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</si>
  <si>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</si>
  <si>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</si>
  <si>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</si>
  <si>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</si>
  <si>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</si>
  <si>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</si>
  <si>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</si>
  <si>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</si>
  <si>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</si>
  <si>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</si>
  <si>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</si>
  <si>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</si>
  <si>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</si>
  <si>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</si>
  <si>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</si>
  <si>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</si>
  <si>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</si>
  <si>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</si>
  <si>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</si>
  <si>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</si>
  <si>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</si>
  <si>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</si>
  <si>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</si>
  <si>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</si>
  <si>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</si>
  <si>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</si>
  <si>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</si>
  <si>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</si>
  <si>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</si>
  <si>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</si>
  <si>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</si>
  <si>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</si>
  <si>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</si>
  <si>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</si>
  <si>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</si>
  <si>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</si>
  <si>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</si>
  <si>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</si>
  <si>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</si>
  <si>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</si>
  <si>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</si>
  <si>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</si>
  <si>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</si>
  <si>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</si>
  <si>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</si>
  <si>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</si>
  <si>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</si>
  <si>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</si>
  <si>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</si>
  <si>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</si>
  <si>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</si>
  <si>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</si>
  <si>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</si>
  <si>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</si>
  <si>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</si>
  <si>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</si>
  <si>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</si>
  <si>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</si>
  <si>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</si>
  <si>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</si>
  <si>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</si>
  <si>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</si>
  <si>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</si>
  <si>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</si>
  <si>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</si>
  <si>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</si>
  <si>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</si>
  <si>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</si>
  <si>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</si>
  <si>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</si>
  <si>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</si>
  <si>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</si>
  <si>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</si>
  <si>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</si>
  <si>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</si>
  <si>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</si>
  <si>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</si>
  <si>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</si>
  <si>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</si>
  <si>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</si>
  <si>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</si>
  <si>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</si>
  <si>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</si>
  <si>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</si>
  <si>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</si>
  <si>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</si>
  <si>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</si>
  <si>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</si>
  <si>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</si>
  <si>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</si>
  <si>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</si>
  <si>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</si>
  <si>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</si>
  <si>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</si>
  <si>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</si>
  <si>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</si>
  <si>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</si>
  <si>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</si>
  <si>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</si>
  <si>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</si>
  <si>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</si>
  <si>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</si>
  <si>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</si>
  <si>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</si>
  <si>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</si>
  <si>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</si>
  <si>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</si>
  <si>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</si>
  <si>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</si>
  <si>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</si>
  <si>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</si>
  <si>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</si>
  <si>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</si>
  <si>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</si>
  <si>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</si>
  <si>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</si>
  <si>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</si>
  <si>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</si>
  <si>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</si>
  <si>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</si>
  <si>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</si>
  <si>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</si>
  <si>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</si>
  <si>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</si>
  <si>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</si>
  <si>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</si>
  <si>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</si>
  <si>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</si>
  <si>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</si>
  <si>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</si>
  <si>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</si>
  <si>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</si>
  <si>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</si>
  <si>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</si>
  <si>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</si>
  <si>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</si>
  <si>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</si>
  <si>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</si>
  <si>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</si>
  <si>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</si>
  <si>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</si>
  <si>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</si>
  <si>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</si>
  <si>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</si>
  <si>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</si>
  <si>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</si>
  <si>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</si>
  <si>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</si>
  <si>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</si>
  <si>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</si>
  <si>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</si>
  <si>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</si>
  <si>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</si>
  <si>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</si>
  <si>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</si>
  <si>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</si>
  <si>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</si>
  <si>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</si>
  <si>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</si>
  <si>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</si>
  <si>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</si>
  <si>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</si>
  <si>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</si>
  <si>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</si>
  <si>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</si>
  <si>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</si>
  <si>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</si>
  <si>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</si>
  <si>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</si>
  <si>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</si>
  <si>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</si>
  <si>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</si>
  <si>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</si>
  <si>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</si>
  <si>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</si>
  <si>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</si>
  <si>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</si>
  <si>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</si>
  <si>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</si>
  <si>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</si>
  <si>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</si>
  <si>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</si>
  <si>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</si>
  <si>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</si>
  <si>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</si>
  <si>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</si>
  <si>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</si>
  <si>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</si>
  <si>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</si>
  <si>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</si>
  <si>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</si>
  <si>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</si>
  <si>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</si>
  <si>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</si>
  <si>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</si>
  <si>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</si>
  <si>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</si>
  <si>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</si>
  <si>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</si>
  <si>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</si>
  <si>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</si>
  <si>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</si>
  <si>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</si>
  <si>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</si>
  <si>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</si>
  <si>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</si>
  <si>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</si>
  <si>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</si>
  <si>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</si>
  <si>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</si>
  <si>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</si>
  <si>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</si>
  <si>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</si>
  <si>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</si>
  <si>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</si>
  <si>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</si>
  <si>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</si>
  <si>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</si>
  <si>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</si>
  <si>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</si>
  <si>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</si>
  <si>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</si>
  <si>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</si>
  <si>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</si>
  <si>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</si>
  <si>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</si>
  <si>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</si>
  <si>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</si>
  <si>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</si>
  <si>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</si>
  <si>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</si>
  <si>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</si>
  <si>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</si>
  <si>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</si>
  <si>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</si>
  <si>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</si>
  <si>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</si>
  <si>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</si>
  <si>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</si>
  <si>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</si>
  <si>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</si>
  <si>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</si>
  <si>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</si>
  <si>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</si>
  <si>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</si>
  <si>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</si>
  <si>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</si>
  <si>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</si>
  <si>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</si>
  <si>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</si>
  <si>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</si>
  <si>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</si>
  <si>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</si>
  <si>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</si>
  <si>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</si>
  <si>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</si>
  <si>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</si>
  <si>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</si>
  <si>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</si>
  <si>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</si>
  <si>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</si>
  <si>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</si>
  <si>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</si>
  <si>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</si>
  <si>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</si>
  <si>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</si>
  <si>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</si>
  <si>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</si>
  <si>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</si>
  <si>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</si>
  <si>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</si>
  <si>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</si>
  <si>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</si>
  <si>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</si>
  <si>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</si>
  <si>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</si>
  <si>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</si>
  <si>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</si>
  <si>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</si>
  <si>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</si>
  <si>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</si>
  <si>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</si>
  <si>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</si>
  <si>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</si>
  <si>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</si>
  <si>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</si>
  <si>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</si>
  <si>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</si>
  <si>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</si>
  <si>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</si>
  <si>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</si>
  <si>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</si>
  <si>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</si>
  <si>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</si>
  <si>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</si>
  <si>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</si>
  <si>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</si>
  <si>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</si>
  <si>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</si>
  <si>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</si>
  <si>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</si>
  <si>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</si>
  <si>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</si>
  <si>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</si>
  <si>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</si>
  <si>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</si>
  <si>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</si>
  <si>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</si>
  <si>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</si>
  <si>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</si>
  <si>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</si>
  <si>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</si>
  <si>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</si>
  <si>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</si>
  <si>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</si>
  <si>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</si>
  <si>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</si>
  <si>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</si>
  <si>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</si>
  <si>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</si>
  <si>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</si>
  <si>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</si>
  <si>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</si>
  <si>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</si>
  <si>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</si>
  <si>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</si>
  <si>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</si>
  <si>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</si>
  <si>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</si>
  <si>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</si>
  <si>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</si>
  <si>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</si>
  <si>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</si>
  <si>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</si>
  <si>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</si>
  <si>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</si>
  <si>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</si>
  <si>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</si>
  <si>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</si>
  <si>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</si>
  <si>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</si>
  <si>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</si>
  <si>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</si>
  <si>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</si>
  <si>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</si>
  <si>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</si>
  <si>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</si>
  <si>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</si>
  <si>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</si>
  <si>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</si>
  <si>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</si>
  <si>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</si>
  <si>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</si>
  <si>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</si>
  <si>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</si>
  <si>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</si>
  <si>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</si>
  <si>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</si>
  <si>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</si>
  <si>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</si>
  <si>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</si>
  <si>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</si>
  <si>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</si>
  <si>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</si>
  <si>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</si>
  <si>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</si>
  <si>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</si>
  <si>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</si>
  <si>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</si>
  <si>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</si>
  <si>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</si>
  <si>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</si>
  <si>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</si>
  <si>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</si>
  <si>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</si>
  <si>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</si>
  <si>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</si>
  <si>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</si>
  <si>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</si>
  <si>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</si>
  <si>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</si>
  <si>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</si>
  <si>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</si>
  <si>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</si>
  <si>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</si>
  <si>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</si>
  <si>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</si>
  <si>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</si>
  <si>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</si>
  <si>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</si>
  <si>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</si>
  <si>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</si>
  <si>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</si>
  <si>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</si>
  <si>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</si>
  <si>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</si>
  <si>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</si>
  <si>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</si>
  <si>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</si>
  <si>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</si>
  <si>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</si>
  <si>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</si>
  <si>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</si>
  <si>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</si>
  <si>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</si>
  <si>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</si>
  <si>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</si>
  <si>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</si>
  <si>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</si>
  <si>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</si>
  <si>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</si>
  <si>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</si>
  <si>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</si>
  <si>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</si>
  <si>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</si>
  <si>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</si>
  <si>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</si>
  <si>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</si>
  <si>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</si>
  <si>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</si>
  <si>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</si>
  <si>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</si>
  <si>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</si>
  <si>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</si>
  <si>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</si>
  <si>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</si>
  <si>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</si>
  <si>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</si>
  <si>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</si>
  <si>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</si>
  <si>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</si>
  <si>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</si>
  <si>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</si>
  <si>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</si>
  <si>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</si>
  <si>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</si>
  <si>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</si>
  <si>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</si>
  <si>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</si>
  <si>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</si>
  <si>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</si>
  <si>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</si>
  <si>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</si>
  <si>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</si>
  <si>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</si>
  <si>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</si>
  <si>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</si>
  <si>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</si>
  <si>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</si>
  <si>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</si>
  <si>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</si>
  <si>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</si>
  <si>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</si>
  <si>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</si>
  <si>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</si>
  <si>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</si>
  <si>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</si>
  <si>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</si>
  <si>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</si>
  <si>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</si>
  <si>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</si>
  <si>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</si>
  <si>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</si>
  <si>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</si>
  <si>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</si>
  <si>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</si>
  <si>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</si>
  <si>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</si>
  <si>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</si>
  <si>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</si>
  <si>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</si>
  <si>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</si>
  <si>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</si>
  <si>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</si>
  <si>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</si>
  <si>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</si>
  <si>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</si>
  <si>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</si>
  <si>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</si>
  <si>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</si>
  <si>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</si>
  <si>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</si>
  <si>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</si>
  <si>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</si>
  <si>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</si>
  <si>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</si>
  <si>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</si>
  <si>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</si>
  <si>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</si>
  <si>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</si>
  <si>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</si>
  <si>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</si>
  <si>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</si>
  <si>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</si>
  <si>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</si>
  <si>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</si>
  <si>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</si>
  <si>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</si>
  <si>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</si>
  <si>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</si>
  <si>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</si>
  <si>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</si>
  <si>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</si>
  <si>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</si>
  <si>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</si>
  <si>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</si>
  <si>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</si>
  <si>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</si>
  <si>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</si>
  <si>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</si>
  <si>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</si>
  <si>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</si>
  <si>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</si>
  <si>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</si>
  <si>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</si>
  <si>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</si>
  <si>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</si>
  <si>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</si>
  <si>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</si>
  <si>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</si>
  <si>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</si>
  <si>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</si>
  <si>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</si>
  <si>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</si>
  <si>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</si>
  <si>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</si>
  <si>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</si>
  <si>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</si>
  <si>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</si>
  <si>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</si>
  <si>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</si>
  <si>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</si>
  <si>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</si>
  <si>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</si>
  <si>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</si>
  <si>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</si>
  <si>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</si>
  <si>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</si>
  <si>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</si>
  <si>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</si>
  <si>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</si>
  <si>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</si>
  <si>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</si>
  <si>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</si>
  <si>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</si>
  <si>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</si>
  <si>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</si>
  <si>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</si>
  <si>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</si>
  <si>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</si>
  <si>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</si>
  <si>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</si>
  <si>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</si>
  <si>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</si>
  <si>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</si>
  <si>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</si>
  <si>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</si>
  <si>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</si>
  <si>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</si>
  <si>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</si>
  <si>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</si>
  <si>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</si>
  <si>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</si>
  <si>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</si>
  <si>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</si>
  <si>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</si>
  <si>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</si>
  <si>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</si>
  <si>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</si>
  <si>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</si>
  <si>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</si>
  <si>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</si>
  <si>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</si>
  <si>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</si>
  <si>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</si>
  <si>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</si>
  <si>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</si>
  <si>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</si>
  <si>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</si>
  <si>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</si>
  <si>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</si>
  <si>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</si>
  <si>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</si>
  <si>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</si>
  <si>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</si>
  <si>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</si>
  <si>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</si>
  <si>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</si>
  <si>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</si>
  <si>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</si>
  <si>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</si>
  <si>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</si>
  <si>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</si>
  <si>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</si>
  <si>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</si>
  <si>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</si>
  <si>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</si>
  <si>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</si>
  <si>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</si>
  <si>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</si>
  <si>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</si>
  <si>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</si>
  <si>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</si>
  <si>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</si>
  <si>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</si>
  <si>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</si>
  <si>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</si>
  <si>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</si>
  <si>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</si>
  <si>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</si>
  <si>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</si>
  <si>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</si>
  <si>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</si>
  <si>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</si>
  <si>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</si>
  <si>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</si>
  <si>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</si>
  <si>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</si>
  <si>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</si>
  <si>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</si>
  <si>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</si>
  <si>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</si>
  <si>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</si>
  <si>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</si>
  <si>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</si>
  <si>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</si>
  <si>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</si>
  <si>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</si>
  <si>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</si>
  <si>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</si>
  <si>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</si>
  <si>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</si>
  <si>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</si>
  <si>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</si>
  <si>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</si>
  <si>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</si>
  <si>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</si>
  <si>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</si>
  <si>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</si>
  <si>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</si>
  <si>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</si>
  <si>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</si>
  <si>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</si>
  <si>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</si>
  <si>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</si>
  <si>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</si>
  <si>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</si>
  <si>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</si>
  <si>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</si>
  <si>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</si>
  <si>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</si>
  <si>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</si>
  <si>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</si>
  <si>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</si>
  <si>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</si>
  <si>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</si>
  <si>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</si>
  <si>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</si>
  <si>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</si>
  <si>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</si>
  <si>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</si>
  <si>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</si>
  <si>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</si>
  <si>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</si>
  <si>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</si>
  <si>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</si>
  <si>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</si>
  <si>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</si>
  <si>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</si>
  <si>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</si>
  <si>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</si>
  <si>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</si>
  <si>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</si>
  <si>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</si>
  <si>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</si>
  <si>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</si>
  <si>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</si>
  <si>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</si>
  <si>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</si>
  <si>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</si>
  <si>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</si>
  <si>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</si>
  <si>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</si>
  <si>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</si>
  <si>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</si>
  <si>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</si>
  <si>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</si>
  <si>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</si>
  <si>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</si>
  <si>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</si>
  <si>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</si>
  <si>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</si>
  <si>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</si>
  <si>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</si>
  <si>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</si>
  <si>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</si>
  <si>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</si>
  <si>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</si>
  <si>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</si>
  <si>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</si>
  <si>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</si>
  <si>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</si>
  <si>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</si>
  <si>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</si>
  <si>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</si>
  <si>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</si>
  <si>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</si>
  <si>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</si>
  <si>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</si>
  <si>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</si>
  <si>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</si>
  <si>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</si>
  <si>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</si>
  <si>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</si>
  <si>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</si>
  <si>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</si>
  <si>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</si>
  <si>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</si>
  <si>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</si>
  <si>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</si>
  <si>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</si>
  <si>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</si>
  <si>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</si>
  <si>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</si>
  <si>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</si>
  <si>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</si>
  <si>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</si>
  <si>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</si>
  <si>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</si>
  <si>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</si>
  <si>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</si>
  <si>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</si>
  <si>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</si>
  <si>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</si>
  <si>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</si>
  <si>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</si>
  <si>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</si>
  <si>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</si>
  <si>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</si>
  <si>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</si>
  <si>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</si>
  <si>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</si>
  <si>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</si>
  <si>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</si>
  <si>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</si>
  <si>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</si>
  <si>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</si>
  <si>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</si>
  <si>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</si>
  <si>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</si>
  <si>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</si>
  <si>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</si>
  <si>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</si>
  <si>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</si>
  <si>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</si>
  <si>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</si>
  <si>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</si>
  <si>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</si>
  <si>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</si>
  <si>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</si>
  <si>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</si>
  <si>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</si>
  <si>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</si>
  <si>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</si>
  <si>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</si>
  <si>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</si>
  <si>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</si>
  <si>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</si>
  <si>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</si>
  <si>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</si>
  <si>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</si>
  <si>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</si>
  <si>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</si>
  <si>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</si>
  <si>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</si>
  <si>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</si>
  <si>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</si>
  <si>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</si>
  <si>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</si>
  <si>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</si>
  <si>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</si>
  <si>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</si>
  <si>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</si>
  <si>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</si>
  <si>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</si>
  <si>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</si>
  <si>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</si>
  <si>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</si>
  <si>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</si>
  <si>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</si>
  <si>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</si>
  <si>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</si>
  <si>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</si>
  <si>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</si>
  <si>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</si>
  <si>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</si>
  <si>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</si>
  <si>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</si>
  <si>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</si>
  <si>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</si>
  <si>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</si>
  <si>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</si>
  <si>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</si>
  <si>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</si>
  <si>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</si>
  <si>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</si>
  <si>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</si>
  <si>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</si>
  <si>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</si>
  <si>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</si>
  <si>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</si>
  <si>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</si>
  <si>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</si>
  <si>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</si>
  <si>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</si>
  <si>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</si>
  <si>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</si>
  <si>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</si>
  <si>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</si>
  <si>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</si>
  <si>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</si>
  <si>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</si>
  <si>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</si>
  <si>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</si>
  <si>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</si>
  <si>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</si>
  <si>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</si>
  <si>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</si>
  <si>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</si>
  <si>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</si>
  <si>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</si>
  <si>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</si>
  <si>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</si>
  <si>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</si>
  <si>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</si>
  <si>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</si>
  <si>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</si>
  <si>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</si>
  <si>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</si>
  <si>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</si>
  <si>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</si>
  <si>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</si>
  <si>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</si>
  <si>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</si>
  <si>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</si>
  <si>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</si>
  <si>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</si>
  <si>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</si>
  <si>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</si>
  <si>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</si>
  <si>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</si>
  <si>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</si>
  <si>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</si>
  <si>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</si>
  <si>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</si>
  <si>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</si>
  <si>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</si>
  <si>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</si>
  <si>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</si>
  <si>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</si>
  <si>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</si>
  <si>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</si>
  <si>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</si>
  <si>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</si>
  <si>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</si>
  <si>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</si>
  <si>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</si>
  <si>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</si>
  <si>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</si>
  <si>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</si>
  <si>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</si>
  <si>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</si>
  <si>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</si>
  <si>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</si>
  <si>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</si>
  <si>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</si>
  <si>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</si>
  <si>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</si>
  <si>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</si>
  <si>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</si>
  <si>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</si>
  <si>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</si>
  <si>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</si>
  <si>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</si>
  <si>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</si>
  <si>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</si>
  <si>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</si>
  <si>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</si>
  <si>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</si>
  <si>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</si>
  <si>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</si>
  <si>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</si>
  <si>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</si>
  <si>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</si>
  <si>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</si>
  <si>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</si>
  <si>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</si>
  <si>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</si>
  <si>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</si>
  <si>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</si>
  <si>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</si>
  <si>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</si>
  <si>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</si>
  <si>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</si>
  <si>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</si>
  <si>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</si>
  <si>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</si>
  <si>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</si>
  <si>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</si>
  <si>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</si>
  <si>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</si>
  <si>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</si>
  <si>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</si>
  <si>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</si>
  <si>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</si>
  <si>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</si>
  <si>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</si>
  <si>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</si>
  <si>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</si>
  <si>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</si>
  <si>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</si>
  <si>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</si>
  <si>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</si>
  <si>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</si>
  <si>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</si>
  <si>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</si>
  <si>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</si>
  <si>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</si>
  <si>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</si>
  <si>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</si>
  <si>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</si>
  <si>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</si>
  <si>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</si>
  <si>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</si>
  <si>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</si>
  <si>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</si>
  <si>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</si>
  <si>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</si>
  <si>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</si>
  <si>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</si>
  <si>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</si>
  <si>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</si>
  <si>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</si>
  <si>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</si>
  <si>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</si>
  <si>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</si>
  <si>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</si>
  <si>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</si>
  <si>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</si>
  <si>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</si>
  <si>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</si>
  <si>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</si>
  <si>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</si>
  <si>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</si>
  <si>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</si>
  <si>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</si>
  <si>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</si>
  <si>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</si>
  <si>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</si>
  <si>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</si>
  <si>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</si>
  <si>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</si>
  <si>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</si>
  <si>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</si>
  <si>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</si>
  <si>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</si>
  <si>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</si>
  <si>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</si>
  <si>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</si>
  <si>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</si>
  <si>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</si>
  <si>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</si>
  <si>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</si>
  <si>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</si>
  <si>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</si>
  <si>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</si>
  <si>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</si>
  <si>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</si>
  <si>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</si>
  <si>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</si>
  <si>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</si>
  <si>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</si>
  <si>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</si>
  <si>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</si>
  <si>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</si>
  <si>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</si>
  <si>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</si>
  <si>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</si>
  <si>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</si>
  <si>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</si>
  <si>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</si>
  <si>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</si>
  <si>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</si>
  <si>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</si>
  <si>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</si>
  <si>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</si>
  <si>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</si>
  <si>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</si>
  <si>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</si>
  <si>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</si>
  <si>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</si>
  <si>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</si>
  <si>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</si>
  <si>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</si>
  <si>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</si>
  <si>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</si>
  <si>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</si>
  <si>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</si>
  <si>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</si>
  <si>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</si>
  <si>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</si>
  <si>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</si>
  <si>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</si>
  <si>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</si>
  <si>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</si>
  <si>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</si>
  <si>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</si>
  <si>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</si>
  <si>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</si>
  <si>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</si>
  <si>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</si>
  <si>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</si>
  <si>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</si>
  <si>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</si>
  <si>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</si>
  <si>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</si>
  <si>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</si>
  <si>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</si>
  <si>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</si>
  <si>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</si>
  <si>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</si>
  <si>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</si>
  <si>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</si>
  <si>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</si>
  <si>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</si>
  <si>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</si>
  <si>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</si>
  <si>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</si>
  <si>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</si>
  <si>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</si>
  <si>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</si>
  <si>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</si>
  <si>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</si>
  <si>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</si>
  <si>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</si>
  <si>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</si>
  <si>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</si>
  <si>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</si>
  <si>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</si>
  <si>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</si>
  <si>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</si>
  <si>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</si>
  <si>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</si>
  <si>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</si>
  <si>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</si>
  <si>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</si>
  <si>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</si>
  <si>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</si>
  <si>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</si>
  <si>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</si>
  <si>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</si>
  <si>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</si>
  <si>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</si>
  <si>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</si>
  <si>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</si>
  <si>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</si>
  <si>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</si>
  <si>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</si>
  <si>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</si>
  <si>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</si>
  <si>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</si>
  <si>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</si>
  <si>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</si>
  <si>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</si>
  <si>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</si>
  <si>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</si>
  <si>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</si>
  <si>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</si>
  <si>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</si>
  <si>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</si>
  <si>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</si>
  <si>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</si>
  <si>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</si>
  <si>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</si>
  <si>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</si>
  <si>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</si>
  <si>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</si>
  <si>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</si>
  <si>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</si>
  <si>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</si>
  <si>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</si>
  <si>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</si>
  <si>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</si>
  <si>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</si>
  <si>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</si>
  <si>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</si>
  <si>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</si>
  <si>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</si>
  <si>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</si>
  <si>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</si>
  <si>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</si>
  <si>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</si>
  <si>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</si>
  <si>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</si>
  <si>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</si>
  <si>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</si>
  <si>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</si>
  <si>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</si>
  <si>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</si>
  <si>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</si>
  <si>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</si>
  <si>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</si>
  <si>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</si>
  <si>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</si>
  <si>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</si>
  <si>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</si>
  <si>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</si>
  <si>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</si>
  <si>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</si>
  <si>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</si>
  <si>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</si>
  <si>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</si>
  <si>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</si>
  <si>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</si>
  <si>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</si>
  <si>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</si>
  <si>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</si>
  <si>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</si>
  <si>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</si>
  <si>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</si>
  <si>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</si>
  <si>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</si>
  <si>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</si>
  <si>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</si>
  <si>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</si>
  <si>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</si>
  <si>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</si>
  <si>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</si>
  <si>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</si>
  <si>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</si>
  <si>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</si>
  <si>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</si>
  <si>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</si>
  <si>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</si>
  <si>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</si>
  <si>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</si>
  <si>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</si>
  <si>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</si>
  <si>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</si>
  <si>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</si>
  <si>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</si>
  <si>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</si>
  <si>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</si>
  <si>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</si>
  <si>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</si>
  <si>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</si>
  <si>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</si>
  <si>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</si>
  <si>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</si>
  <si>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</si>
  <si>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</si>
  <si>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</si>
  <si>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</si>
  <si>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</si>
  <si>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</si>
  <si>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</si>
  <si>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</si>
  <si>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</si>
  <si>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</si>
  <si>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</si>
  <si>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</si>
  <si>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</si>
  <si>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</si>
  <si>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</si>
  <si>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</si>
  <si>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</si>
  <si>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</si>
  <si>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</si>
  <si>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</si>
  <si>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</si>
  <si>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</si>
  <si>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</si>
  <si>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</si>
  <si>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</si>
  <si>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</si>
  <si>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</si>
  <si>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</si>
  <si>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</si>
  <si>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</si>
  <si>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</si>
  <si>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</si>
  <si>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</si>
  <si>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</si>
  <si>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</si>
  <si>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</si>
  <si>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</si>
  <si>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</si>
  <si>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</si>
  <si>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</si>
  <si>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</si>
  <si>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</si>
  <si>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</si>
  <si>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</si>
  <si>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</si>
  <si>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</si>
  <si>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</si>
  <si>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</si>
  <si>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</si>
  <si>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</si>
  <si>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</si>
  <si>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</si>
  <si>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</si>
  <si>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</si>
  <si>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</si>
  <si>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</si>
  <si>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</si>
  <si>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</si>
  <si>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</si>
  <si>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</si>
  <si>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</si>
  <si>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</si>
  <si>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</si>
  <si>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</si>
  <si>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</si>
  <si>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</si>
  <si>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</si>
  <si>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</si>
  <si>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</si>
  <si>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</si>
  <si>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</si>
  <si>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</si>
  <si>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</si>
  <si>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</si>
  <si>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</si>
  <si>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</si>
  <si>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</si>
  <si>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</si>
  <si>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</si>
  <si>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</si>
  <si>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</si>
  <si>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</si>
  <si>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</si>
  <si>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</si>
  <si>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</si>
  <si>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</si>
  <si>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</si>
  <si>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</si>
  <si>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</si>
  <si>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</si>
  <si>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</si>
  <si>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</si>
  <si>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</si>
  <si>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</si>
  <si>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</si>
  <si>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</si>
  <si>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</si>
  <si>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</si>
  <si>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</si>
  <si>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</si>
  <si>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</si>
  <si>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</si>
  <si>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</si>
  <si>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</si>
  <si>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</si>
  <si>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</si>
  <si>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</si>
  <si>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</si>
  <si>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</si>
  <si>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</si>
  <si>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</si>
  <si>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</si>
  <si>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</si>
  <si>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</si>
  <si>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</si>
  <si>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</si>
  <si>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</si>
  <si>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</si>
  <si>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</si>
  <si>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</si>
  <si>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</si>
  <si>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</si>
  <si>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</si>
  <si>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</si>
  <si>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</si>
  <si>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</si>
  <si>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</si>
  <si>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</si>
  <si>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</si>
  <si>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</si>
  <si>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</si>
  <si>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</si>
  <si>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</si>
  <si>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</si>
  <si>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</si>
  <si>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</si>
  <si>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</si>
  <si>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</si>
  <si>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</si>
  <si>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</si>
  <si>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</si>
  <si>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</si>
  <si>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</si>
  <si>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</si>
  <si>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</si>
  <si>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</si>
  <si>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</si>
  <si>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</si>
  <si>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</si>
  <si>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</si>
  <si>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</si>
  <si>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</si>
  <si>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</si>
  <si>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</si>
  <si>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</si>
  <si>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</si>
  <si>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</si>
  <si>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</si>
  <si>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</si>
  <si>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</si>
  <si>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</si>
  <si>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</si>
  <si>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</si>
  <si>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</si>
  <si>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</si>
  <si>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</si>
  <si>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</si>
  <si>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</si>
  <si>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</si>
  <si>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</si>
  <si>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</si>
  <si>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</si>
  <si>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</si>
  <si>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</si>
  <si>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</si>
  <si>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</si>
  <si>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</si>
  <si>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</si>
  <si>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</si>
  <si>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</si>
  <si>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</si>
  <si>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</si>
  <si>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</si>
  <si>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</si>
  <si>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</si>
  <si>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</si>
  <si>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</si>
  <si>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</si>
  <si>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</si>
  <si>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</si>
  <si>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</si>
  <si>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</si>
  <si>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</si>
  <si>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</si>
  <si>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</si>
  <si>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</si>
  <si>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</si>
  <si>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</si>
  <si>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</si>
  <si>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</si>
  <si>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</si>
  <si>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</si>
  <si>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</si>
  <si>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</si>
  <si>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</si>
  <si>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</si>
  <si>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</si>
  <si>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</si>
  <si>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</si>
  <si>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</si>
  <si>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</si>
  <si>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</si>
  <si>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</si>
  <si>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</si>
  <si>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</si>
  <si>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</si>
  <si>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</si>
  <si>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</si>
  <si>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</si>
  <si>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</si>
  <si>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</si>
  <si>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</si>
  <si>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</si>
  <si>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</si>
  <si>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</si>
  <si>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</si>
  <si>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</si>
  <si>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</si>
  <si>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</si>
  <si>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</si>
  <si>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</si>
  <si>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</si>
  <si>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</si>
  <si>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</si>
  <si>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</si>
  <si>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</si>
  <si>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</si>
  <si>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</si>
  <si>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</si>
  <si>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</si>
  <si>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</si>
  <si>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</si>
  <si>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</si>
  <si>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</si>
  <si>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</si>
  <si>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</si>
  <si>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</si>
  <si>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</si>
  <si>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</si>
  <si>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</si>
  <si>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</si>
  <si>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</si>
  <si>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</si>
  <si>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</si>
  <si>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</si>
  <si>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</si>
  <si>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</si>
  <si>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</si>
  <si>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</si>
  <si>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</si>
  <si>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</si>
  <si>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</si>
  <si>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</si>
  <si>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</si>
  <si>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</si>
  <si>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</si>
  <si>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</si>
  <si>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</si>
  <si>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</si>
  <si>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</si>
  <si>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</si>
  <si>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</si>
  <si>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</si>
  <si>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</si>
  <si>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</si>
  <si>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</si>
  <si>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</si>
  <si>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</si>
  <si>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</si>
  <si>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</si>
  <si>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</si>
  <si>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</si>
  <si>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</si>
  <si>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</si>
  <si>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</si>
  <si>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</si>
  <si>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</si>
  <si>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</si>
  <si>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</si>
  <si>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</si>
  <si>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</si>
  <si>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</si>
  <si>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</si>
  <si>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</si>
  <si>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</si>
  <si>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</si>
  <si>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</si>
  <si>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</si>
  <si>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</si>
  <si>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</si>
  <si>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</si>
  <si>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</si>
  <si>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</si>
  <si>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</si>
  <si>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</si>
  <si>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</si>
  <si>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</si>
  <si>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</si>
  <si>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</si>
  <si>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</si>
  <si>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</si>
  <si>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</si>
  <si>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</si>
  <si>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</si>
  <si>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</si>
  <si>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</si>
  <si>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</si>
  <si>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</si>
  <si>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</si>
  <si>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</si>
  <si>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</si>
  <si>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</si>
  <si>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</si>
  <si>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</si>
  <si>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</si>
  <si>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</si>
  <si>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</si>
  <si>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</si>
  <si>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</si>
  <si>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</si>
  <si>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</si>
  <si>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</si>
  <si>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</si>
  <si>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</si>
  <si>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</si>
  <si>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</si>
  <si>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</si>
  <si>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</si>
  <si>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</si>
  <si>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</si>
  <si>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</si>
  <si>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</si>
  <si>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</si>
  <si>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</si>
  <si>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</si>
  <si>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</si>
  <si>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</si>
  <si>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</si>
  <si>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</si>
  <si>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</si>
  <si>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</si>
  <si>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</si>
  <si>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</si>
  <si>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</si>
  <si>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</si>
  <si>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</si>
  <si>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</si>
  <si>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</si>
  <si>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</si>
  <si>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</si>
  <si>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</si>
  <si>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</si>
  <si>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</si>
  <si>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</si>
  <si>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</si>
  <si>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</si>
  <si>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</si>
  <si>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</si>
  <si>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</si>
  <si>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</si>
  <si>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</si>
  <si>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</si>
  <si>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</si>
  <si>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</si>
  <si>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</si>
  <si>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</si>
  <si>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</si>
  <si>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</si>
  <si>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</si>
  <si>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</si>
  <si>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</si>
  <si>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</si>
  <si>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</si>
  <si>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</si>
  <si>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</si>
  <si>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</si>
  <si>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</si>
  <si>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</si>
  <si>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</si>
  <si>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</si>
  <si>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</si>
  <si>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</si>
  <si>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</si>
  <si>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</si>
  <si>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</si>
  <si>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</si>
  <si>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</si>
  <si>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</si>
  <si>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</si>
  <si>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</si>
  <si>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</si>
  <si>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</si>
  <si>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</si>
  <si>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</si>
  <si>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</si>
  <si>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</si>
  <si>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</si>
  <si>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</si>
  <si>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</si>
  <si>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</si>
  <si>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</si>
  <si>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</si>
  <si>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</si>
  <si>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</si>
  <si>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</si>
  <si>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</si>
  <si>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</si>
  <si>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</si>
  <si>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</si>
  <si>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</si>
  <si>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</si>
  <si>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</si>
  <si>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</si>
  <si>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</si>
  <si>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</si>
  <si>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</si>
  <si>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</si>
  <si>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</si>
  <si>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</si>
  <si>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</si>
  <si>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</si>
  <si>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</si>
  <si>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</si>
  <si>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</si>
  <si>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</si>
  <si>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</si>
  <si>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</si>
  <si>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</si>
  <si>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</si>
  <si>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</si>
  <si>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</si>
  <si>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</si>
  <si>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</si>
  <si>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</si>
  <si>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</si>
  <si>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</si>
  <si>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</si>
  <si>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</si>
  <si>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</si>
  <si>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</si>
  <si>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</si>
  <si>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</si>
  <si>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</si>
  <si>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</si>
  <si>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</si>
  <si>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</si>
  <si>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</si>
  <si>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</si>
  <si>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</si>
  <si>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</si>
  <si>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</si>
  <si>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</si>
  <si>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</si>
  <si>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</si>
  <si>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</si>
  <si>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</si>
  <si>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</si>
  <si>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</si>
  <si>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</si>
  <si>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</si>
  <si>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</si>
  <si>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</si>
  <si>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</si>
  <si>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</si>
  <si>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</si>
  <si>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</si>
  <si>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</si>
  <si>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</si>
  <si>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</si>
  <si>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</si>
  <si>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</si>
  <si>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</si>
  <si>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</si>
  <si>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</si>
  <si>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</si>
  <si>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</si>
  <si>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</si>
  <si>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</si>
  <si>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</si>
  <si>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</si>
  <si>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</si>
  <si>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</si>
  <si>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</si>
  <si>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</si>
  <si>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</si>
  <si>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</si>
  <si>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</si>
  <si>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</si>
  <si>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</si>
  <si>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</si>
  <si>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</si>
  <si>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</si>
  <si>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</si>
  <si>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</si>
  <si>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</si>
  <si>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</si>
  <si>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</si>
  <si>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</si>
  <si>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</si>
  <si>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</si>
  <si>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</si>
  <si>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</si>
  <si>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</si>
  <si>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</si>
  <si>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</si>
  <si>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</si>
  <si>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</si>
  <si>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</si>
  <si>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</si>
  <si>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</si>
  <si>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</si>
  <si>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</si>
  <si>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</si>
  <si>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</si>
  <si>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</si>
  <si>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</si>
  <si>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</si>
  <si>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</si>
  <si>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</si>
  <si>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</si>
  <si>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</si>
  <si>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</si>
  <si>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</si>
  <si>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</si>
  <si>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</si>
  <si>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</si>
  <si>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</si>
  <si>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</si>
  <si>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</si>
  <si>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</si>
  <si>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</si>
  <si>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</si>
  <si>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</si>
  <si>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</si>
  <si>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</si>
  <si>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</si>
  <si>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</si>
  <si>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</si>
  <si>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</si>
  <si>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</si>
  <si>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</si>
  <si>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</si>
  <si>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</si>
  <si>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</si>
  <si>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</si>
  <si>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</si>
  <si>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</si>
  <si>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</si>
  <si>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</si>
  <si>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</si>
  <si>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</si>
  <si>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</si>
  <si>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</si>
  <si>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</si>
  <si>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</si>
  <si>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</si>
  <si>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</si>
  <si>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</si>
  <si>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</si>
  <si>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</si>
  <si>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</si>
  <si>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</si>
  <si>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</si>
  <si>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</si>
  <si>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</si>
  <si>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</si>
  <si>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</si>
  <si>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</si>
  <si>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</si>
  <si>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</si>
  <si>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</si>
  <si>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</si>
  <si>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</si>
  <si>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</si>
  <si>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</si>
  <si>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</si>
  <si>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住宅用地</t>
  </si>
  <si>
    <t>居住项目</t>
  </si>
  <si>
    <t>无</t>
  </si>
  <si>
    <t>否</t>
  </si>
  <si>
    <t>场地平整</t>
  </si>
  <si>
    <t>平整</t>
  </si>
  <si>
    <t>通路</t>
  </si>
  <si>
    <t>通电</t>
  </si>
  <si>
    <t>通上水</t>
  </si>
  <si>
    <t>正常</t>
  </si>
  <si>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</si>
  <si>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</si>
  <si>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</si>
  <si>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</si>
  <si>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</si>
  <si>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</si>
  <si>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</si>
  <si>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</si>
  <si>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</si>
  <si>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</si>
  <si>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</si>
  <si>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</si>
  <si>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</si>
  <si>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</si>
  <si>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</si>
  <si>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</si>
  <si>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</si>
  <si>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</si>
  <si>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</si>
  <si>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</si>
  <si>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</si>
  <si>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</si>
  <si>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</si>
  <si>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</si>
  <si>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</si>
  <si>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</si>
  <si>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</si>
  <si>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</si>
  <si>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</si>
  <si>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</si>
  <si>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</si>
  <si>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</si>
  <si>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</si>
  <si>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</si>
  <si>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</si>
  <si>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</si>
  <si>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</si>
  <si>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</si>
  <si>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</si>
  <si>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</si>
  <si>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</si>
  <si>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</si>
  <si>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</si>
  <si>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</si>
  <si>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</si>
  <si>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</si>
  <si>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</si>
  <si>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</si>
  <si>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</si>
  <si>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</si>
  <si>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</si>
  <si>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支路</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</si>
  <si>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</si>
  <si>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</si>
  <si>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</si>
  <si>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</si>
  <si>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</si>
  <si>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</si>
  <si>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</si>
  <si>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</si>
  <si>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</si>
  <si>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</si>
  <si>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重庆市</t>
  </si>
  <si>
    <t>拍卖</t>
  </si>
  <si>
    <t>不动产收益法商业</t>
    <phoneticPr fontId="14" type="noConversion"/>
  </si>
  <si>
    <t>40-50（含）</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</si>
  <si>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</si>
  <si>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</si>
  <si>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</si>
  <si>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</si>
  <si>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</si>
  <si>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</si>
  <si>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</si>
  <si>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</si>
  <si>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通讯</t>
  </si>
  <si>
    <t>燃气</t>
  </si>
  <si>
    <t>恒大悦府</t>
    <phoneticPr fontId="3" type="noConversion"/>
  </si>
  <si>
    <t>重庆市永川区</t>
    <phoneticPr fontId="3" type="noConversion"/>
  </si>
  <si>
    <t>融大格林通话</t>
    <phoneticPr fontId="3" type="noConversion"/>
  </si>
  <si>
    <t>永川区凤凰大道817号</t>
    <phoneticPr fontId="21" type="noConversion"/>
  </si>
  <si>
    <t>高档</t>
  </si>
  <si>
    <t>专业</t>
  </si>
  <si>
    <t>中骏·珑景台</t>
    <phoneticPr fontId="3" type="noConversion"/>
  </si>
  <si>
    <t>金科·集美天宸</t>
    <phoneticPr fontId="3" type="noConversion"/>
  </si>
  <si>
    <t>永川区</t>
    <phoneticPr fontId="21" type="noConversion"/>
  </si>
  <si>
    <t>已部分缴纳</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</si>
  <si>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</si>
  <si>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</si>
  <si>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</si>
  <si>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</si>
  <si>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</si>
  <si>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</si>
  <si>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</si>
  <si>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</si>
  <si>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</si>
  <si>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</si>
  <si>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</si>
  <si>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</si>
  <si>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</si>
  <si>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</si>
  <si>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</si>
  <si>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</si>
  <si>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</si>
  <si>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</si>
  <si>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</si>
  <si>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</si>
  <si>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</si>
  <si>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</si>
  <si>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</si>
  <si>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</si>
  <si>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</si>
  <si>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</si>
  <si>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</si>
  <si>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</si>
  <si>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</si>
  <si>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</si>
  <si>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</si>
  <si>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土地星级</t>
  </si>
  <si>
    <t>≤35%</t>
  </si>
  <si>
    <t>未开工</t>
  </si>
  <si>
    <t>已成交</t>
  </si>
  <si>
    <t>50年</t>
  </si>
  <si>
    <t>3星</t>
  </si>
  <si>
    <t>1星</t>
  </si>
  <si>
    <t>开工中</t>
  </si>
  <si>
    <t>2星</t>
  </si>
  <si>
    <t>≤30%</t>
  </si>
  <si>
    <t>洋房</t>
  </si>
  <si>
    <t>高层</t>
  </si>
  <si>
    <t>洋房</t>
    <phoneticPr fontId="21" type="noConversion"/>
  </si>
  <si>
    <t>＞1并且≤2</t>
  </si>
  <si>
    <t>＞1并且≤1.1</t>
  </si>
  <si>
    <t>＞1并且≤1.5</t>
  </si>
  <si>
    <t>＞1并且≤2.7</t>
  </si>
  <si>
    <t>2018-05-31</t>
  </si>
  <si>
    <t>2018-02-13</t>
  </si>
  <si>
    <t>2017-09-29</t>
  </si>
  <si>
    <t>＞1并且≤1.2</t>
  </si>
  <si>
    <t>＞1并且≤1.7</t>
  </si>
  <si>
    <t>洋房</t>
    <phoneticPr fontId="7" type="noConversion"/>
  </si>
  <si>
    <t>地上楼面</t>
    <phoneticPr fontId="9" type="noConversion"/>
  </si>
  <si>
    <t>重庆两江新区航悦项目E01-04-02</t>
    <phoneticPr fontId="6" type="noConversion"/>
  </si>
  <si>
    <t>底商</t>
  </si>
  <si>
    <t>商业</t>
    <phoneticPr fontId="7" type="noConversion"/>
  </si>
  <si>
    <t>不动产收益法-商业</t>
  </si>
  <si>
    <t>恒大云湖上郡</t>
    <phoneticPr fontId="3" type="noConversion"/>
  </si>
  <si>
    <t>重庆两江新区</t>
    <phoneticPr fontId="3" type="noConversion"/>
  </si>
  <si>
    <t>重庆市两江新区</t>
    <phoneticPr fontId="3" type="noConversion"/>
  </si>
  <si>
    <t>渝北区两路组团E标准分区E89-3/02、E90-1号宗地</t>
  </si>
  <si>
    <t>渝北区</t>
  </si>
  <si>
    <t>二类居住用地</t>
  </si>
  <si>
    <t>2019-03-02</t>
  </si>
  <si>
    <t>2019-04-10</t>
  </si>
  <si>
    <t>渝[2019]7号-1</t>
  </si>
  <si>
    <t>重庆融永房地产开发有限公司</t>
  </si>
  <si>
    <t>商业40年,住宅50年</t>
  </si>
  <si>
    <t>渝北区两路组团I标准分区I20/04号宗地</t>
  </si>
  <si>
    <t>2019-03-09</t>
  </si>
  <si>
    <t>2019-03-29</t>
  </si>
  <si>
    <t>渝[2019]11号-2</t>
  </si>
  <si>
    <t>重庆正惠置业有限公司</t>
  </si>
  <si>
    <t>住宅50年,商业40年</t>
  </si>
  <si>
    <t>渝北区两路组团I标准分区I21-1/04号宗地</t>
  </si>
  <si>
    <t>重庆灿瑞置业有限公司</t>
  </si>
  <si>
    <t>渝北区两路组团S分区S19-2、S19-3、S19-4号宗地</t>
  </si>
  <si>
    <t>2019-03-08</t>
  </si>
  <si>
    <t>2019-03-28</t>
  </si>
  <si>
    <t>渝[2019]10号-1</t>
  </si>
  <si>
    <t>重庆市金科宸居置业有限公司、美的西南房地产发展有限公司</t>
  </si>
  <si>
    <t>渝北区两路组团S分区S16-2、S16-3号宗地</t>
  </si>
  <si>
    <t>北京北辰实业股份有限公司</t>
  </si>
  <si>
    <t>渝北区两路组团F分区F47-1、F48-1号宗地</t>
  </si>
  <si>
    <t>2019-03-07</t>
  </si>
  <si>
    <t>2019-03-27</t>
  </si>
  <si>
    <t>渝[2019]9号-2</t>
  </si>
  <si>
    <t>重庆市綦江区煦江房地产开发有限公司、阳光城中光电(重庆)实业有限公司</t>
  </si>
  <si>
    <t>两江新区礼嘉组团F标准分区F05-11/04号宗地</t>
  </si>
  <si>
    <t>＞1并且≤1.49</t>
  </si>
  <si>
    <t>2018-12-09</t>
  </si>
  <si>
    <t>2018-12-29</t>
  </si>
  <si>
    <t>渝[2018]50号-1</t>
  </si>
  <si>
    <t>绿城房地产集团有限公司</t>
  </si>
  <si>
    <t>住宅50年</t>
  </si>
  <si>
    <t>两江新区礼嘉组团F标准分区F05-2/07号宗地</t>
  </si>
  <si>
    <t>卓越置业集团重庆两江有限公司、重庆瀚置北兴企业管理顾问有限公司</t>
  </si>
  <si>
    <t>两江新区悦来组团D分区D21-1/03、D21-2/03号宗地</t>
  </si>
  <si>
    <t>2018-12-08</t>
  </si>
  <si>
    <t>2018-12-28</t>
  </si>
  <si>
    <t>渝[2018]49号-1</t>
  </si>
  <si>
    <t>重庆瀚置新辰企业管理顾问有限公司、重庆怡置房地产开发有限公司</t>
  </si>
  <si>
    <t>两江新区悦来组团C分区C71-2/05、C74/05、C75-2/05、C81/05、C82/05、C83-3/05、C83-2/05、C84/05、C60-1/05、C61-2/05号宗地</t>
  </si>
  <si>
    <t>综合用地(含住宅)</t>
  </si>
  <si>
    <t>二类居住用地、服务设施用地、商业用地、商务用地</t>
  </si>
  <si>
    <t>＞1并且＜2.39</t>
  </si>
  <si>
    <t>限地价,竞配建</t>
  </si>
  <si>
    <t>限地价</t>
  </si>
  <si>
    <t>2018-06-08</t>
  </si>
  <si>
    <t>2018-06-28</t>
  </si>
  <si>
    <t>渝[2018]23号-2</t>
  </si>
  <si>
    <t>重庆华宇业和实业有限公司、重庆辉沛企业管理有限公司、重庆华侨城实业发展有限公司</t>
  </si>
  <si>
    <t>40年</t>
  </si>
  <si>
    <t>两江新区悦来组团C分区C89/05、C60-2/06、C79-2/05、C78-2/05、C73/05、C76/05、C75-1/05号宗地</t>
  </si>
  <si>
    <t>二类居住用地、商业用地、商务用地、娱乐康体用地、其他商务用地</t>
  </si>
  <si>
    <t>2018-06-07</t>
  </si>
  <si>
    <t>2018-06-27</t>
  </si>
  <si>
    <t>渝[2018]22号-1</t>
  </si>
  <si>
    <t>重庆辉沛企业管理有限公司、重庆华宇集团有限公司、重庆华宇业帆实业有限公司、重庆华侨城实业发展有限公司</t>
  </si>
  <si>
    <t>两江新区两路组团C分区C133-1/03、C121-3/03、C122-1/03、C130-1/03、C130-4/03、C133-3/03、C135-1/03、C137-1/03、C137-4/03、C131-1/03、C121-1/03号宗地</t>
  </si>
  <si>
    <t>＞1并且≤1.789</t>
  </si>
  <si>
    <t>2018-06-19</t>
  </si>
  <si>
    <t>渝[2018]18号-2</t>
  </si>
  <si>
    <t>四川新希望房地产开发有限公司、保利(重庆)投资实业有限公司、江西省正荣房地产开发有限公司、宁波宁兴房地产开发集团有限公司</t>
  </si>
  <si>
    <t>两江新区两路组团I分区I6-5/03、I7-10/03、I8-4/03、I9-1/03、I9-3/03、I10-1-2/03、I44/03号宗地</t>
  </si>
  <si>
    <t>＞1并且≤1.87</t>
  </si>
  <si>
    <t>2018-05-10</t>
  </si>
  <si>
    <t>2018-05-30</t>
  </si>
  <si>
    <t>渝[2018]14号-3</t>
  </si>
  <si>
    <t>北京首钢房地产开发有限公司</t>
  </si>
  <si>
    <t>两江新区两路组团I分区I45-4/03、I45-1/03、I45-5/03、I45-7/03、I46-1/03、I48-3/03、I49-8/03、I49-17/03号宗地</t>
  </si>
  <si>
    <t>二类居住用地、商业用地、商务用地</t>
  </si>
  <si>
    <t>＞1并且≤1.9</t>
  </si>
  <si>
    <t>美的西南房地产发展有限公司</t>
  </si>
  <si>
    <t>两江新区两路组团I分区I6-1/03、I7-4/03、I7-5/03、I7-8/03、I10-3/03、I11-1/03、I11-2/03、I12-2/03、I16-3/04号宗地</t>
  </si>
  <si>
    <t>29%</t>
  </si>
  <si>
    <t>重庆金科房地产开发有限公司</t>
  </si>
  <si>
    <t>两江新区龙兴组团H分区H70-4/01、H72-1/01、H73-2/01、H74-1/01、H76/01、H77/01号宗地</t>
  </si>
  <si>
    <t>商业用地、商务用地、二类居住用地、社会停车场用地</t>
  </si>
  <si>
    <t>限地价,竞自持,含租赁用地</t>
  </si>
  <si>
    <t>限地价,含租赁用地</t>
  </si>
  <si>
    <t>2018-04-14</t>
  </si>
  <si>
    <t>2018-05-04</t>
  </si>
  <si>
    <t>渝[2018]13号-2</t>
  </si>
  <si>
    <t>重庆两江新区龙湖新御置业发展有限公司</t>
  </si>
  <si>
    <t>两江新区悦来组团C分区C62-2/06、C62-3-3/05、C63/05、C64/05、C65-1/05、C66/05、C67/05、C68/05、C69-1/05、C69-2/05号宗地</t>
  </si>
  <si>
    <t>二类居住用地、娱乐康体用地、其他商务设施用地、文化设施用地、服务设施用地、商业用地</t>
  </si>
  <si>
    <t>＞1并且≤2.58</t>
  </si>
  <si>
    <t>限地价,竞自持,现房销售</t>
  </si>
  <si>
    <t>2018-03-14</t>
  </si>
  <si>
    <t>2018-04-03</t>
  </si>
  <si>
    <t>2018-04-04</t>
  </si>
  <si>
    <t>渝[2018]9号</t>
  </si>
  <si>
    <t>重庆华侨城实业发展有限公司</t>
  </si>
  <si>
    <t>两江新区龙兴组团H分区H13-1/01、H16-1/01、H17-1/01、H17-2/01、H19-1/01、H26-1/01号宗地</t>
  </si>
  <si>
    <t>其他服务设施用地(民办学校)、二类居住用地、商业用地、行政办公用地</t>
  </si>
  <si>
    <t>＞1并且≤1.04</t>
  </si>
  <si>
    <t>2018-03-10</t>
  </si>
  <si>
    <t>2018-03-30</t>
  </si>
  <si>
    <t>渝[2018]8号-3</t>
  </si>
  <si>
    <t>重庆两江新区开发投资集团有限公司、重庆两江新区置业发展有限公司</t>
  </si>
  <si>
    <t>两江新区龙兴组团H分区H23-1/01、H18-2/01、H20-1/01、H21-1/01、H26-2/01、H26-3/01、H26-4/01、H28-3/01、H29-1/01号宗地</t>
  </si>
  <si>
    <t>其他服务设施用地(民办学校)、二类居住用地、商业用地、社会停车场用地</t>
  </si>
  <si>
    <t>≤0.95</t>
  </si>
  <si>
    <t>限地价,竞自持,含租赁用地,现房销售</t>
  </si>
  <si>
    <t>两江新区两路组团C分区C126-1-1/04、C126-1-2/04、C127-1/03、C128-1/03、C129-1/03号宗地</t>
  </si>
  <si>
    <t>2018-03-07</t>
  </si>
  <si>
    <t>2018-03-27</t>
  </si>
  <si>
    <t>渝[2018]7号-1</t>
  </si>
  <si>
    <t>万科(重庆)房地产有限公司</t>
  </si>
  <si>
    <t>两江新区两路组团C分区C119-1/03、C123-1/04、C120-1/03号宗地</t>
  </si>
  <si>
    <t>两江新区两路组团J分区J01-2/04、J02/04、J03-1/04、J04/04号宗地</t>
  </si>
  <si>
    <t>2018-02-07</t>
  </si>
  <si>
    <t>2018-02-27</t>
  </si>
  <si>
    <t>渝[2018]5号-1</t>
  </si>
  <si>
    <t>重庆招商依城房地产开发有限公司</t>
  </si>
  <si>
    <t>两江新区龙兴组团K、H分区K28-1/01、H1-3/01、H2-3/01、H3-2/01、H4-2/01、H14-2/01、H24-3/01号宗地</t>
  </si>
  <si>
    <t>二类居住用地、商业用地、商务用地、其他服务设施用地(民办学校)</t>
  </si>
  <si>
    <t>＞1并且≤1.48</t>
  </si>
  <si>
    <t>2018-01-24</t>
  </si>
  <si>
    <t>渝[2018]4号-3</t>
  </si>
  <si>
    <t>重庆协信远涪房地产开发有限公司、哈羅國際*(中國)管理服務有限公司</t>
  </si>
  <si>
    <t>两江新区龙兴组团K、H分区K27-1/01、K29-1/01、*K30-3/01、K31-1/01、K31-8/01、K33-2/01、H25-2/01号宗地</t>
  </si>
  <si>
    <t>二类居住用地、商业用地、其他服务设施用地(民办学校)</t>
  </si>
  <si>
    <t>两江新区大竹林组团G分区G10-1/05号宗地</t>
  </si>
  <si>
    <t>2017-12-15</t>
  </si>
  <si>
    <t>2018-01-04</t>
  </si>
  <si>
    <t>渝[2017]51号-1</t>
  </si>
  <si>
    <t>深圳安创投资管理有限公司、重庆龙湖地产发展有限公司</t>
  </si>
  <si>
    <t>两江新区悦来组团C分区C53/05号宗地</t>
  </si>
  <si>
    <t>两江新区悦来组团C分区C53/06号宗地</t>
  </si>
  <si>
    <t>2017-11-21</t>
  </si>
  <si>
    <t>2017-12-11</t>
  </si>
  <si>
    <t>渝[2017]45号-3</t>
  </si>
  <si>
    <t>宁波投创荣安置业有限公司</t>
  </si>
  <si>
    <t>渝北区两路组团F分区F110-5、F111-4、F113-1、F113-2号宗地</t>
  </si>
  <si>
    <t>＞1并且≤3.9</t>
  </si>
  <si>
    <t>2017-09-30</t>
  </si>
  <si>
    <t>2017-10-20</t>
  </si>
  <si>
    <t>渝[2017]40号-3</t>
  </si>
  <si>
    <t>重庆中新航旅实业有限公司、万科(重庆)房地产有限公司、海航集团西南总部有限公司</t>
  </si>
  <si>
    <t>渝北区两路组团F分区F108-3、F109-1、F112-1、F125-1、F126-1、F127-1、F128-1、F24-1号宗地</t>
  </si>
  <si>
    <t>商业用地、商务用地、二类居住用地</t>
  </si>
  <si>
    <t>＞1并且≤3.4</t>
  </si>
  <si>
    <t>2017-09-22</t>
  </si>
  <si>
    <t>2017-10-12</t>
  </si>
  <si>
    <t>渝[2017]38号-3</t>
  </si>
  <si>
    <t>重庆龙湖企业拓展有限公司、深圳联新投资管理有限公司</t>
  </si>
  <si>
    <t>4星</t>
  </si>
  <si>
    <t>两江新区龙兴组团C分区C51-1/01、C51-3/01、C51-4/01、C51-6/01、C51-8/01号宗地</t>
  </si>
  <si>
    <t>二类居住用地、其它商务用地(生产性服务业用地)</t>
  </si>
  <si>
    <t>2017-09-09</t>
  </si>
  <si>
    <t>渝[2017]36号-1</t>
  </si>
  <si>
    <t>重庆作平置业有限公司、重庆金可镂实业有限公司</t>
  </si>
  <si>
    <t>渝北区两路组团F分区F110-1/02、F111-1/02、F114-1/02、F114-2/02、F115-1/02、F115-2/02号宗地</t>
  </si>
  <si>
    <t>＞1并且≤3.6</t>
  </si>
  <si>
    <t>2017-09-08</t>
  </si>
  <si>
    <t>2017-09-28</t>
  </si>
  <si>
    <t>渝[2017]35号-3</t>
  </si>
  <si>
    <t>成都市中天盈房地产开发有限公司</t>
  </si>
  <si>
    <t>E01-04-02</t>
    <phoneticPr fontId="233" type="noConversion"/>
  </si>
  <si>
    <r>
      <t>E01-0</t>
    </r>
    <r>
      <rPr>
        <sz val="11"/>
        <color theme="1"/>
        <rFont val="宋体"/>
        <family val="3"/>
        <charset val="134"/>
        <scheme val="minor"/>
      </rPr>
      <t>5</t>
    </r>
    <r>
      <rPr>
        <sz val="11"/>
        <color theme="1"/>
        <rFont val="宋体"/>
        <family val="3"/>
        <charset val="134"/>
        <scheme val="minor"/>
      </rPr>
      <t>-02</t>
    </r>
    <phoneticPr fontId="233" type="noConversion"/>
  </si>
  <si>
    <r>
      <t>E01-0</t>
    </r>
    <r>
      <rPr>
        <sz val="11"/>
        <color theme="1"/>
        <rFont val="宋体"/>
        <family val="3"/>
        <charset val="134"/>
        <scheme val="minor"/>
      </rPr>
      <t>6</t>
    </r>
    <r>
      <rPr>
        <sz val="11"/>
        <color theme="1"/>
        <rFont val="宋体"/>
        <family val="3"/>
        <charset val="134"/>
        <scheme val="minor"/>
      </rPr>
      <t>-02</t>
    </r>
    <phoneticPr fontId="233" type="noConversion"/>
  </si>
  <si>
    <t>E10-01-01</t>
    <phoneticPr fontId="233" type="noConversion"/>
  </si>
  <si>
    <t>E11-01-01</t>
    <phoneticPr fontId="233" type="noConversion"/>
  </si>
  <si>
    <t>容积率</t>
    <phoneticPr fontId="233" type="noConversion"/>
  </si>
  <si>
    <t>每亩</t>
    <phoneticPr fontId="233" type="noConversion"/>
  </si>
  <si>
    <t>E01-08-02地块</t>
    <phoneticPr fontId="233" type="noConversion"/>
  </si>
  <si>
    <t>E01-09-02地块</t>
    <phoneticPr fontId="233" type="noConversion"/>
  </si>
  <si>
    <t>E01-10-02地块</t>
    <phoneticPr fontId="233" type="noConversion"/>
  </si>
  <si>
    <t>E07-04-02地块</t>
    <phoneticPr fontId="233" type="noConversion"/>
  </si>
  <si>
    <t>E07-06-02地块</t>
    <phoneticPr fontId="233" type="noConversion"/>
  </si>
  <si>
    <t>E08-02-02地块</t>
    <phoneticPr fontId="233" type="noConversion"/>
  </si>
  <si>
    <t>E10-02-02地块</t>
    <phoneticPr fontId="233" type="noConversion"/>
  </si>
  <si>
    <t>E10-03-02地块</t>
    <phoneticPr fontId="233" type="noConversion"/>
  </si>
  <si>
    <t>E10-04-02地块</t>
    <phoneticPr fontId="233" type="noConversion"/>
  </si>
  <si>
    <t>E11-03-02地块</t>
    <phoneticPr fontId="233" type="noConversion"/>
  </si>
  <si>
    <t>E12-04-02地块</t>
    <phoneticPr fontId="233" type="noConversion"/>
  </si>
  <si>
    <t>E12-05-02地块</t>
    <phoneticPr fontId="233" type="noConversion"/>
  </si>
  <si>
    <t>地块号</t>
    <phoneticPr fontId="233" type="noConversion"/>
  </si>
  <si>
    <t>用途</t>
    <phoneticPr fontId="233" type="noConversion"/>
  </si>
  <si>
    <t>终止日期</t>
    <phoneticPr fontId="233" type="noConversion"/>
  </si>
  <si>
    <t>重庆市房地产权证</t>
    <phoneticPr fontId="233" type="noConversion"/>
  </si>
  <si>
    <t>108房地证2014字第14562号</t>
    <phoneticPr fontId="233" type="noConversion"/>
  </si>
  <si>
    <t>住宅50、商业40</t>
    <phoneticPr fontId="233" type="noConversion"/>
  </si>
  <si>
    <t>住宅2064-6-30、商业2054-6-30</t>
    <phoneticPr fontId="233" type="noConversion"/>
  </si>
  <si>
    <t>108房地证2014字第14511号</t>
    <phoneticPr fontId="233" type="noConversion"/>
  </si>
  <si>
    <t>108房地证2014字第14514号</t>
    <phoneticPr fontId="233" type="noConversion"/>
  </si>
  <si>
    <t>108房地证2014字第14559号</t>
    <phoneticPr fontId="233" type="noConversion"/>
  </si>
  <si>
    <t>108房地证2014字第14555号</t>
    <phoneticPr fontId="233" type="noConversion"/>
  </si>
  <si>
    <t>108房地证2014字第14525号</t>
    <phoneticPr fontId="233" type="noConversion"/>
  </si>
  <si>
    <t>108房地证2014字第14540号</t>
    <phoneticPr fontId="233" type="noConversion"/>
  </si>
  <si>
    <t>108房地证2014字第14535号</t>
    <phoneticPr fontId="233" type="noConversion"/>
  </si>
  <si>
    <t>108房地证2014字第14539号</t>
    <phoneticPr fontId="233" type="noConversion"/>
  </si>
  <si>
    <t>108房地证2014字第14557号</t>
    <phoneticPr fontId="233" type="noConversion"/>
  </si>
  <si>
    <t>108房地证2014字第14505号</t>
    <phoneticPr fontId="233" type="noConversion"/>
  </si>
  <si>
    <t>108房地证2014字第14543号</t>
    <phoneticPr fontId="233" type="noConversion"/>
  </si>
  <si>
    <t>合计</t>
    <phoneticPr fontId="233" type="noConversion"/>
  </si>
  <si>
    <t>序号</t>
    <phoneticPr fontId="233" type="noConversion"/>
  </si>
  <si>
    <t>出让合同</t>
    <phoneticPr fontId="233" type="noConversion"/>
  </si>
  <si>
    <t>电子监管号</t>
    <phoneticPr fontId="233" type="noConversion"/>
  </si>
  <si>
    <r>
      <t>5</t>
    </r>
    <r>
      <rPr>
        <sz val="11"/>
        <color theme="1"/>
        <rFont val="宋体"/>
        <family val="3"/>
        <charset val="134"/>
        <scheme val="minor"/>
      </rPr>
      <t>001122014B00978</t>
    </r>
    <phoneticPr fontId="233" type="noConversion"/>
  </si>
  <si>
    <t>标红地块</t>
    <phoneticPr fontId="233" type="noConversion"/>
  </si>
  <si>
    <t>现状交付</t>
    <phoneticPr fontId="233" type="noConversion"/>
  </si>
  <si>
    <t>地价款（万元）</t>
    <phoneticPr fontId="233" type="noConversion"/>
  </si>
  <si>
    <t>总建筑</t>
    <phoneticPr fontId="233" type="noConversion"/>
  </si>
  <si>
    <r>
      <t>3</t>
    </r>
    <r>
      <rPr>
        <sz val="11"/>
        <color theme="1"/>
        <rFont val="宋体"/>
        <family val="3"/>
        <charset val="134"/>
        <scheme val="minor"/>
      </rPr>
      <t>51168（商业125956.8、住宅225211.2）</t>
    </r>
    <phoneticPr fontId="233" type="noConversion"/>
  </si>
  <si>
    <r>
      <t>9</t>
    </r>
    <r>
      <rPr>
        <sz val="11"/>
        <color theme="1"/>
        <rFont val="宋体"/>
        <family val="3"/>
        <charset val="134"/>
        <scheme val="minor"/>
      </rPr>
      <t>466万元</t>
    </r>
    <phoneticPr fontId="233" type="noConversion"/>
  </si>
  <si>
    <t>宗地建安成本</t>
    <phoneticPr fontId="233" type="noConversion"/>
  </si>
  <si>
    <t>工程规证</t>
    <phoneticPr fontId="233" type="noConversion"/>
  </si>
  <si>
    <t>建字第500141201700188号</t>
    <phoneticPr fontId="233" type="noConversion"/>
  </si>
  <si>
    <t>建筑面积</t>
    <phoneticPr fontId="233" type="noConversion"/>
  </si>
  <si>
    <t>住宅</t>
    <phoneticPr fontId="233" type="noConversion"/>
  </si>
  <si>
    <t>公建</t>
    <phoneticPr fontId="233" type="noConversion"/>
  </si>
  <si>
    <t>配套</t>
    <phoneticPr fontId="233" type="noConversion"/>
  </si>
  <si>
    <t>车库</t>
    <phoneticPr fontId="233" type="noConversion"/>
  </si>
  <si>
    <t>设备</t>
    <phoneticPr fontId="233" type="noConversion"/>
  </si>
  <si>
    <t>总计容建筑面积</t>
    <phoneticPr fontId="233" type="noConversion"/>
  </si>
  <si>
    <t>5001122014B00965</t>
    <phoneticPr fontId="233" type="noConversion"/>
  </si>
  <si>
    <t>标黄地块</t>
    <phoneticPr fontId="233" type="noConversion"/>
  </si>
  <si>
    <t>——</t>
    <phoneticPr fontId="233" type="noConversion"/>
  </si>
  <si>
    <t>211710（商业42342、住宅169368）</t>
    <phoneticPr fontId="233" type="noConversion"/>
  </si>
  <si>
    <t>商业</t>
    <phoneticPr fontId="233" type="noConversion"/>
  </si>
  <si>
    <t>总值</t>
    <phoneticPr fontId="233" type="noConversion"/>
  </si>
  <si>
    <t>开发完成后价值</t>
    <phoneticPr fontId="233" type="noConversion"/>
  </si>
  <si>
    <t>地块号</t>
  </si>
  <si>
    <t>重庆市房地产权证</t>
  </si>
  <si>
    <t>土地面积</t>
  </si>
  <si>
    <t>E01-08-02地块</t>
  </si>
  <si>
    <t>108房地证2014字第14562号</t>
  </si>
  <si>
    <t>E01-09-02地块</t>
  </si>
  <si>
    <t>108房地证2014字第14511号</t>
  </si>
  <si>
    <t>E01-10-02地块</t>
  </si>
  <si>
    <t>108房地证2014字第14514号</t>
  </si>
  <si>
    <t>E07-04-02地块</t>
  </si>
  <si>
    <t>108房地证2014字第14559号</t>
  </si>
  <si>
    <t>E07-06-02地块</t>
  </si>
  <si>
    <t>108房地证2014字第14555号</t>
  </si>
  <si>
    <t>E08-02-02地块</t>
  </si>
  <si>
    <t>108房地证2014字第14525号</t>
  </si>
  <si>
    <t>E10-02-02地块</t>
  </si>
  <si>
    <t>108房地证2014字第14540号</t>
  </si>
  <si>
    <t>E10-03-02地块</t>
  </si>
  <si>
    <t>108房地证2014字第14535号</t>
  </si>
  <si>
    <t>E10-04-02地块</t>
  </si>
  <si>
    <t>108房地证2014字第14539号</t>
  </si>
  <si>
    <t>E11-03-02地块</t>
  </si>
  <si>
    <t>108房地证2014字第14557号</t>
  </si>
  <si>
    <t>E12-04-02地块</t>
  </si>
  <si>
    <t>108房地证2014字第14505号</t>
  </si>
  <si>
    <t>E12-05-02地块</t>
  </si>
  <si>
    <t>108房地证2014字第14543号</t>
  </si>
  <si>
    <t>总值（万元）</t>
    <phoneticPr fontId="233" type="noConversion"/>
  </si>
  <si>
    <t>因为有规证，建议不选该地块。</t>
    <phoneticPr fontId="233" type="noConversion"/>
  </si>
  <si>
    <t>楼面单价</t>
    <phoneticPr fontId="233" type="noConversion"/>
  </si>
  <si>
    <t>重庆航龙置业有限公司</t>
    <phoneticPr fontId="6" type="noConversion"/>
  </si>
  <si>
    <t>华澳信托</t>
    <phoneticPr fontId="6" type="noConversion"/>
  </si>
  <si>
    <t>龙兴 · 国际生态新城</t>
    <phoneticPr fontId="3" type="noConversion"/>
  </si>
  <si>
    <t>瀚学融府</t>
    <phoneticPr fontId="3" type="noConversion"/>
  </si>
  <si>
    <t>龙湖·長滩原麓</t>
    <phoneticPr fontId="3" type="noConversion"/>
  </si>
  <si>
    <r>
      <t>980</t>
    </r>
    <r>
      <rPr>
        <sz val="11"/>
        <rFont val="宋体"/>
        <family val="3"/>
        <charset val="134"/>
      </rPr>
      <t>、</t>
    </r>
    <r>
      <rPr>
        <sz val="11"/>
        <rFont val="Arial"/>
        <family val="2"/>
      </rPr>
      <t>984</t>
    </r>
    <r>
      <rPr>
        <sz val="11"/>
        <rFont val="宋体"/>
        <family val="3"/>
        <charset val="134"/>
      </rPr>
      <t>、</t>
    </r>
    <r>
      <rPr>
        <sz val="11"/>
        <rFont val="Arial"/>
        <family val="2"/>
      </rPr>
      <t>986</t>
    </r>
    <phoneticPr fontId="233" type="noConversion"/>
  </si>
  <si>
    <r>
      <t>981</t>
    </r>
    <r>
      <rPr>
        <sz val="11"/>
        <rFont val="宋体"/>
        <family val="3"/>
        <charset val="134"/>
      </rPr>
      <t>、</t>
    </r>
    <r>
      <rPr>
        <sz val="11"/>
        <rFont val="Arial"/>
        <family val="2"/>
      </rPr>
      <t>985</t>
    </r>
    <r>
      <rPr>
        <sz val="11"/>
        <rFont val="宋体"/>
        <family val="3"/>
        <charset val="134"/>
      </rPr>
      <t>、</t>
    </r>
    <r>
      <rPr>
        <sz val="11"/>
        <rFont val="Arial"/>
        <family val="2"/>
      </rPr>
      <t>982</t>
    </r>
    <phoneticPr fontId="233" type="noConversion"/>
  </si>
  <si>
    <r>
      <t>981</t>
    </r>
    <r>
      <rPr>
        <sz val="11"/>
        <rFont val="宋体"/>
        <family val="3"/>
        <charset val="134"/>
      </rPr>
      <t>、</t>
    </r>
    <r>
      <rPr>
        <sz val="11"/>
        <rFont val="Arial"/>
        <family val="2"/>
      </rPr>
      <t>983</t>
    </r>
    <r>
      <rPr>
        <sz val="11"/>
        <rFont val="宋体"/>
        <family val="3"/>
        <charset val="134"/>
      </rPr>
      <t>、</t>
    </r>
    <r>
      <rPr>
        <sz val="11"/>
        <rFont val="Arial"/>
        <family val="2"/>
      </rPr>
      <t>985</t>
    </r>
    <phoneticPr fontId="233" type="noConversion"/>
  </si>
  <si>
    <t>较差</t>
  </si>
  <si>
    <t>飞龙湖公园</t>
    <phoneticPr fontId="233" type="noConversion"/>
  </si>
  <si>
    <t>两江国际影视城、御临河</t>
    <phoneticPr fontId="233" type="noConversion"/>
  </si>
  <si>
    <t>御临河</t>
    <phoneticPr fontId="233" type="noConversion"/>
  </si>
  <si>
    <t>农业银行、重庆农村商业银行、王国栋中医骨科诊所、重庆理工大学、龙兴中心小学</t>
    <phoneticPr fontId="233" type="noConversion"/>
  </si>
  <si>
    <t>农业银行、重庆农村商业银行、龙兴和合家园社区卫生服务中心、重庆市育仁中学、重庆理工大学</t>
    <phoneticPr fontId="233" type="noConversion"/>
  </si>
  <si>
    <t>无银行、无医院、无学校</t>
    <phoneticPr fontId="233" type="noConversion"/>
  </si>
  <si>
    <t>绿城两江御园、海棠园</t>
    <phoneticPr fontId="233" type="noConversion"/>
  </si>
  <si>
    <t>和合家园、回龙社区</t>
    <phoneticPr fontId="233" type="noConversion"/>
  </si>
  <si>
    <t>无</t>
    <phoneticPr fontId="26" type="noConversion"/>
  </si>
  <si>
    <t>有</t>
    <phoneticPr fontId="26" type="noConversion"/>
  </si>
  <si>
    <t>两江新区龙兴组团H分区H13-1/01、H16-1/01、H17-1/01、H17-2/01、H19-1/01、H26-1/01号宗地</t>
    <phoneticPr fontId="233" type="noConversion"/>
  </si>
  <si>
    <t>两江新区龙兴组团H分区H23-1/01、H18-2/01、H20-1/01、H21-1/01、H26-2/01、H26-3/01、H26-4/01、H28-3/01、H29-1/01号宗地</t>
    <phoneticPr fontId="233" type="noConversion"/>
  </si>
  <si>
    <t>两江新区龙兴组团K、H分区K27-1/01、K29-1/01、*K30-3/01、K31-1/01、K31-8/01、K33-2/01、H25-2/01号宗地</t>
    <phoneticPr fontId="233" type="noConversion"/>
  </si>
  <si>
    <t>是否有自持</t>
    <phoneticPr fontId="26" type="noConversion"/>
  </si>
  <si>
    <t>住宅、商业</t>
    <phoneticPr fontId="26" type="noConversion"/>
  </si>
  <si>
    <t>差</t>
  </si>
  <si>
    <t>平整费用</t>
    <phoneticPr fontId="9" type="noConversion"/>
  </si>
  <si>
    <t>价值时点</t>
  </si>
  <si>
    <t>法定最高/出让年限</t>
  </si>
  <si>
    <t>不同年限间价值的换算</t>
  </si>
  <si>
    <t>年限</t>
  </si>
  <si>
    <t>N</t>
  </si>
  <si>
    <t>n</t>
  </si>
  <si>
    <t>已知V（N），求取V（n）</t>
    <phoneticPr fontId="3" type="noConversion"/>
  </si>
  <si>
    <t>已知V（n），求取V（N）</t>
    <phoneticPr fontId="3" type="noConversion"/>
  </si>
  <si>
    <t>终止日期</t>
  </si>
  <si>
    <t>剩余土地使用年限</t>
  </si>
  <si>
    <t>年期修正系数</t>
  </si>
  <si>
    <t>报酬率-土地</t>
  </si>
  <si>
    <t>K(N)</t>
  </si>
  <si>
    <t>K(n)</t>
  </si>
  <si>
    <t>Y（N）</t>
  </si>
  <si>
    <t>Y（n）</t>
  </si>
  <si>
    <t>V（N）</t>
  </si>
  <si>
    <t>V（n）</t>
  </si>
  <si>
    <t>V（N）</t>
    <phoneticPr fontId="3" type="noConversion"/>
  </si>
  <si>
    <t>V（n）</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</si>
</sst>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1"/>
      <color theme="9" tint="-0.249977111117893"/>
      <name val="宋体"/>
      <family val="3"/>
      <charset val="134"/>
    </font>
    <font>
      <b/>
      <sz val="10"/>
      <color rgb="FFFF0000"/>
      <name val="Arial"/>
      <family val="2"/>
    </font>
    <font>
      <sz val="9"/>
      <color theme="1"/>
      <name val="宋体"/>
      <family val="3"/>
      <charset val="134"/>
      <scheme val="minor"/>
    </font>
    <font>
      <sz val="9"/>
      <color rgb="FFFF0000"/>
      <name val="宋体"/>
      <family val="3"/>
      <charset val="134"/>
      <scheme val="minor"/>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6" fontId="71" fillId="0" borderId="9" xfId="0" applyNumberFormat="1" applyFont="1" applyFill="1" applyBorder="1" applyAlignment="1" applyProtection="1">
      <alignment horizontal="center" vertical="center" wrapText="1"/>
      <protection locked="0"/>
    </xf>
    <xf numFmtId="181" fontId="71" fillId="0" borderId="11"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2" fontId="71" fillId="0" borderId="2"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2" xfId="0" applyFont="1" applyBorder="1" applyAlignment="1"/>
    <xf numFmtId="0" fontId="229" fillId="0" borderId="0" xfId="0" applyFont="1" applyAlignment="1" applyProtection="1">
      <alignment horizontal="left" vertical="center"/>
      <protection locked="0"/>
    </xf>
    <xf numFmtId="0" fontId="279" fillId="0" borderId="0" xfId="0" applyFont="1" applyAlignment="1" applyProtection="1">
      <alignment horizontal="left" vertical="center"/>
      <protection locked="0"/>
    </xf>
    <xf numFmtId="0" fontId="169" fillId="0" borderId="2" xfId="0" applyFont="1" applyBorder="1" applyAlignment="1"/>
    <xf numFmtId="0" fontId="0" fillId="6" borderId="0" xfId="0" applyFill="1" applyAlignment="1"/>
    <xf numFmtId="0" fontId="147" fillId="6" borderId="0" xfId="0" applyFont="1" applyFill="1" applyAlignment="1"/>
    <xf numFmtId="0" fontId="145" fillId="0" borderId="0" xfId="0" applyFont="1">
      <alignment vertical="center"/>
    </xf>
    <xf numFmtId="0" fontId="145" fillId="0" borderId="0" xfId="0" applyFont="1" applyFill="1" applyBorder="1">
      <alignment vertical="center"/>
    </xf>
    <xf numFmtId="0" fontId="262" fillId="5" borderId="13" xfId="14" applyFont="1" applyFill="1" applyBorder="1" applyAlignment="1">
      <alignment horizontal="center" vertical="center" wrapText="1"/>
    </xf>
    <xf numFmtId="0" fontId="280" fillId="0" borderId="0" xfId="0" applyFont="1">
      <alignment vertical="center"/>
    </xf>
    <xf numFmtId="0" fontId="281" fillId="0" borderId="0" xfId="0" applyFont="1">
      <alignment vertical="center"/>
    </xf>
    <xf numFmtId="0" fontId="145" fillId="0" borderId="0" xfId="0" applyFont="1" applyAlignment="1">
      <alignment horizontal="left" vertical="center"/>
    </xf>
    <xf numFmtId="0" fontId="280" fillId="0" borderId="0" xfId="0" applyFont="1" applyAlignment="1">
      <alignment horizontal="left" vertical="center"/>
    </xf>
    <xf numFmtId="0" fontId="281" fillId="0" borderId="0" xfId="0" applyFont="1" applyAlignment="1">
      <alignment horizontal="left" vertical="center"/>
    </xf>
    <xf numFmtId="0" fontId="0" fillId="0" borderId="0" xfId="0" applyFont="1" applyAlignment="1">
      <alignment horizontal="left" vertical="center"/>
    </xf>
    <xf numFmtId="0" fontId="280" fillId="6" borderId="0" xfId="0" applyFont="1" applyFill="1">
      <alignment vertical="center"/>
    </xf>
    <xf numFmtId="0" fontId="0" fillId="6" borderId="0" xfId="0" applyFill="1">
      <alignment vertical="center"/>
    </xf>
    <xf numFmtId="0" fontId="145" fillId="0" borderId="2" xfId="0" applyFont="1" applyBorder="1" applyAlignment="1">
      <alignment horizontal="left" vertical="center"/>
    </xf>
    <xf numFmtId="0" fontId="0" fillId="0" borderId="2" xfId="0" applyBorder="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60" fillId="5" borderId="33" xfId="0" applyFont="1" applyFill="1" applyBorder="1" applyAlignment="1"/>
    <xf numFmtId="181" fontId="58" fillId="5" borderId="1" xfId="2" applyNumberFormat="1"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0" fontId="160" fillId="0" borderId="0" xfId="0" applyFont="1" applyAlignment="1"/>
    <xf numFmtId="0" fontId="282" fillId="5" borderId="26" xfId="0" applyFont="1" applyFill="1" applyBorder="1" applyAlignment="1">
      <alignment vertical="center"/>
    </xf>
    <xf numFmtId="0" fontId="84" fillId="5" borderId="1" xfId="0" applyFont="1" applyFill="1" applyBorder="1" applyAlignment="1">
      <alignment horizontal="center"/>
    </xf>
    <xf numFmtId="0" fontId="84" fillId="5" borderId="43" xfId="0" applyFont="1" applyFill="1" applyBorder="1" applyAlignment="1">
      <alignment horizontal="center"/>
    </xf>
    <xf numFmtId="0" fontId="144" fillId="5" borderId="0" xfId="0" applyFont="1" applyFill="1" applyBorder="1" applyAlignment="1">
      <alignment horizontal="left"/>
    </xf>
    <xf numFmtId="0" fontId="84" fillId="5" borderId="6" xfId="0" applyFont="1" applyFill="1" applyBorder="1" applyAlignment="1">
      <alignment horizontal="center"/>
    </xf>
    <xf numFmtId="0" fontId="84" fillId="5" borderId="44" xfId="0" applyFont="1" applyFill="1" applyBorder="1" applyAlignment="1">
      <alignment horizontal="center"/>
    </xf>
    <xf numFmtId="184" fontId="71" fillId="0" borderId="34"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160" fillId="5" borderId="39" xfId="0" applyFont="1" applyFill="1" applyBorder="1" applyAlignment="1">
      <alignment vertical="center"/>
    </xf>
    <xf numFmtId="0" fontId="149" fillId="0" borderId="6" xfId="0" applyFont="1" applyBorder="1" applyAlignment="1" applyProtection="1">
      <alignment horizontal="center"/>
      <protection locked="0"/>
    </xf>
    <xf numFmtId="0" fontId="149" fillId="0" borderId="44" xfId="0" applyFont="1" applyBorder="1" applyAlignment="1" applyProtection="1">
      <alignment horizontal="center"/>
      <protection locked="0"/>
    </xf>
    <xf numFmtId="0" fontId="84" fillId="5" borderId="0" xfId="0" applyFont="1" applyFill="1" applyBorder="1" applyAlignment="1">
      <alignment horizontal="center"/>
    </xf>
    <xf numFmtId="0" fontId="149" fillId="0" borderId="6" xfId="0" applyFont="1" applyFill="1" applyBorder="1" applyAlignment="1" applyProtection="1">
      <alignment horizontal="center"/>
      <protection locked="0"/>
    </xf>
    <xf numFmtId="0" fontId="149" fillId="5" borderId="44" xfId="0" applyFont="1" applyFill="1" applyBorder="1" applyAlignment="1">
      <alignment horizontal="center"/>
    </xf>
    <xf numFmtId="0" fontId="160" fillId="5" borderId="0" xfId="0" applyFont="1" applyFill="1" applyAlignment="1"/>
    <xf numFmtId="0" fontId="149" fillId="5" borderId="46" xfId="0" applyFont="1" applyFill="1" applyBorder="1" applyAlignment="1">
      <alignment horizontal="center"/>
    </xf>
    <xf numFmtId="180" fontId="52" fillId="5" borderId="6" xfId="0" applyNumberFormat="1" applyFont="1" applyFill="1" applyBorder="1" applyAlignment="1" applyProtection="1">
      <alignment horizontal="center" vertical="center" wrapText="1"/>
    </xf>
    <xf numFmtId="180" fontId="84" fillId="5" borderId="44" xfId="2" applyNumberFormat="1" applyFont="1" applyFill="1" applyBorder="1" applyAlignment="1" applyProtection="1">
      <alignment horizontal="center" vertical="center"/>
    </xf>
    <xf numFmtId="0" fontId="160" fillId="0" borderId="0" xfId="0" applyFont="1" applyAlignment="1">
      <alignment vertical="center"/>
    </xf>
    <xf numFmtId="0" fontId="160" fillId="5" borderId="36" xfId="0" applyFont="1" applyFill="1" applyBorder="1" applyAlignment="1"/>
    <xf numFmtId="0" fontId="149" fillId="5" borderId="0" xfId="0" applyFont="1" applyFill="1" applyAlignment="1"/>
    <xf numFmtId="0" fontId="149" fillId="0" borderId="0" xfId="0" applyFont="1" applyAlignment="1"/>
    <xf numFmtId="181" fontId="84" fillId="5" borderId="44" xfId="2" applyNumberFormat="1" applyFont="1" applyFill="1" applyBorder="1" applyAlignment="1" applyProtection="1">
      <alignment horizontal="center" vertical="center"/>
    </xf>
    <xf numFmtId="0" fontId="58" fillId="5" borderId="37" xfId="0" applyFont="1" applyFill="1" applyBorder="1" applyAlignment="1">
      <alignment horizontal="right" vertical="center"/>
    </xf>
    <xf numFmtId="0" fontId="52" fillId="5" borderId="7" xfId="0" applyFont="1" applyFill="1" applyBorder="1" applyAlignment="1" applyProtection="1">
      <alignment horizontal="center" vertical="center" wrapText="1"/>
    </xf>
    <xf numFmtId="182" fontId="149" fillId="0" borderId="12" xfId="0" applyNumberFormat="1" applyFont="1" applyFill="1" applyBorder="1" applyAlignment="1" applyProtection="1">
      <alignment horizontal="center" vertical="center"/>
      <protection locked="0"/>
    </xf>
    <xf numFmtId="182" fontId="149" fillId="0" borderId="46" xfId="0" applyNumberFormat="1" applyFont="1" applyFill="1" applyBorder="1" applyAlignment="1" applyProtection="1">
      <alignment horizontal="center" vertical="center"/>
      <protection locked="0"/>
    </xf>
    <xf numFmtId="0" fontId="58" fillId="5" borderId="38" xfId="0" applyFont="1" applyFill="1" applyBorder="1" applyAlignment="1">
      <alignment horizontal="right" vertical="center"/>
    </xf>
    <xf numFmtId="0" fontId="84" fillId="5" borderId="7" xfId="0" applyFont="1" applyFill="1" applyBorder="1" applyAlignment="1"/>
    <xf numFmtId="0" fontId="84" fillId="5" borderId="46" xfId="0" applyFont="1" applyFill="1" applyBorder="1" applyAlignment="1"/>
    <xf numFmtId="182" fontId="149" fillId="0" borderId="6" xfId="0" applyNumberFormat="1" applyFont="1" applyBorder="1" applyAlignment="1" applyProtection="1">
      <alignment horizontal="center"/>
      <protection locked="0"/>
    </xf>
    <xf numFmtId="182" fontId="149" fillId="0" borderId="44" xfId="0" applyNumberFormat="1" applyFont="1" applyBorder="1" applyAlignment="1" applyProtection="1">
      <alignment horizontal="center"/>
      <protection locked="0"/>
    </xf>
    <xf numFmtId="0" fontId="160" fillId="0" borderId="0" xfId="4" applyFont="1"/>
    <xf numFmtId="0" fontId="153" fillId="0" borderId="7" xfId="0" applyFont="1" applyFill="1" applyBorder="1" applyAlignment="1" applyProtection="1">
      <alignment horizont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0" xfId="0" applyFont="1" applyAlignment="1">
      <alignment horizontal="center" vertical="center"/>
    </xf>
    <xf numFmtId="0" fontId="0" fillId="0" borderId="2" xfId="0" applyBorder="1" applyAlignment="1">
      <alignment horizontal="left" vertical="center"/>
    </xf>
    <xf numFmtId="0" fontId="145" fillId="0" borderId="2" xfId="0" applyFont="1" applyBorder="1" applyAlignment="1">
      <alignment horizontal="left" vertical="center"/>
    </xf>
    <xf numFmtId="0" fontId="58" fillId="5" borderId="36" xfId="0" applyFont="1" applyFill="1" applyBorder="1" applyAlignment="1">
      <alignment horizontal="center"/>
    </xf>
    <xf numFmtId="0" fontId="58" fillId="5" borderId="37" xfId="0" applyFont="1" applyFill="1" applyBorder="1" applyAlignment="1">
      <alignment horizont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66" fillId="0" borderId="3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89647</xdr:rowOff>
    </xdr:from>
    <xdr:to>
      <xdr:col>10</xdr:col>
      <xdr:colOff>383069</xdr:colOff>
      <xdr:row>75</xdr:row>
      <xdr:rowOff>69761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647765"/>
          <a:ext cx="10342857" cy="6685714"/>
        </a:xfrm>
        <a:prstGeom prst="rect">
          <a:avLst/>
        </a:prstGeom>
      </xdr:spPr>
    </xdr:pic>
    <xdr:clientData/>
  </xdr:twoCellAnchor>
  <xdr:twoCellAnchor editAs="oneCell">
    <xdr:from>
      <xdr:col>10</xdr:col>
      <xdr:colOff>572110</xdr:colOff>
      <xdr:row>31</xdr:row>
      <xdr:rowOff>79051</xdr:rowOff>
    </xdr:from>
    <xdr:to>
      <xdr:col>29</xdr:col>
      <xdr:colOff>1658484</xdr:colOff>
      <xdr:row>72</xdr:row>
      <xdr:rowOff>125889</xdr:rowOff>
    </xdr:to>
    <xdr:pic>
      <xdr:nvPicPr>
        <xdr:cNvPr id="4" name="图片 3"/>
        <xdr:cNvPicPr>
          <a:picLocks noChangeAspect="1"/>
        </xdr:cNvPicPr>
      </xdr:nvPicPr>
      <xdr:blipFill>
        <a:blip xmlns:r="http://schemas.openxmlformats.org/officeDocument/2006/relationships" r:embed="rId2"/>
        <a:stretch>
          <a:fillRect/>
        </a:stretch>
      </xdr:blipFill>
      <xdr:spPr>
        <a:xfrm>
          <a:off x="10547383" y="5662433"/>
          <a:ext cx="8872628" cy="6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29579;&#26342;20190626-1606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325;&#24198;&#20004;&#27743;&#26032;&#21306;&#33322;&#24742;&#39033;&#30446;&#27979;&#31639;E01-10-02&#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61948.5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项目资料"/>
      <sheetName val="汇总表"/>
      <sheetName val="年期修正表"/>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洋房"/>
      <sheetName val="不动产比较法-高层"/>
      <sheetName val="不动产收益法-办公"/>
      <sheetName val="不动产收益法-商业"/>
      <sheetName val="酒店收入计算"/>
      <sheetName val="成本逼近法"/>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41299</v>
          </cell>
          <cell r="D14">
            <v>23451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5.6"/>
  <cols>
    <col min="1" max="1" width="36.44140625" style="2886" customWidth="1"/>
    <col min="2" max="2" width="78.21875" style="2887" customWidth="1"/>
    <col min="3" max="18" width="9" style="2881"/>
    <col min="19" max="19" width="17.88671875" style="2881" customWidth="1"/>
    <col min="20" max="51" width="9" style="2881"/>
    <col min="52" max="52" width="13.21875" style="2881" customWidth="1"/>
    <col min="53" max="53" width="13.44140625" style="2881" bestFit="1" customWidth="1"/>
    <col min="54" max="54" width="11.6640625" style="2881" bestFit="1" customWidth="1"/>
    <col min="55" max="55" width="13.44140625" style="2881" bestFit="1" customWidth="1"/>
    <col min="56" max="16384" width="9" style="2881"/>
  </cols>
  <sheetData>
    <row r="1" spans="1:55" s="2892" customFormat="1" ht="16.2" thickBot="1">
      <c r="A1" s="2890" t="s">
        <v>2653</v>
      </c>
      <c r="B1" s="2891" t="s">
        <v>2750</v>
      </c>
    </row>
    <row r="2" spans="1:55" s="2895" customFormat="1" ht="16.2" thickTop="1">
      <c r="A2" s="2893" t="s">
        <v>2657</v>
      </c>
      <c r="B2" s="2894" t="str">
        <f>'预评函-封皮'!B37</f>
        <v>重庆两江新区航悦项目E01-04-02出让国有建设用地使用权抵押价格预评估</v>
      </c>
      <c r="AX2" s="2896"/>
      <c r="AZ2" s="2896"/>
      <c r="BA2" s="2897"/>
      <c r="BC2" s="2897"/>
    </row>
    <row r="3" spans="1:55" s="2898" customFormat="1">
      <c r="A3" s="2877" t="s">
        <v>2658</v>
      </c>
      <c r="B3" s="2880" t="str">
        <f>'预评函-封皮'!B40</f>
        <v>重庆航龙置业有限公司</v>
      </c>
    </row>
    <row r="4" spans="1:55" s="2879" customFormat="1">
      <c r="A4" s="2877" t="s">
        <v>2659</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6.2" thickBot="1">
      <c r="A5" s="2899" t="s">
        <v>2660</v>
      </c>
      <c r="B5" s="2900" t="str">
        <f>'预评函-封皮'!B49</f>
        <v>康正预评字号</v>
      </c>
    </row>
    <row r="6" spans="1:55" s="2901" customFormat="1" ht="16.2" thickTop="1">
      <c r="A6" s="2893" t="s">
        <v>2702</v>
      </c>
      <c r="B6" s="2894" t="str">
        <f>'预评函-1'!A4</f>
        <v>受贵公司委托，我公司对重庆两江新区航悦项目E01-04-02出让国有建设用地使用权抵押价格进行了预评估。</v>
      </c>
      <c r="AM6" s="2902"/>
    </row>
    <row r="7" spans="1:55" s="2876" customFormat="1">
      <c r="A7" s="2877" t="s">
        <v>2654</v>
      </c>
      <c r="B7" s="2878" t="str">
        <f>'预评函-1'!A6</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8" spans="1:55" s="2876" customFormat="1">
      <c r="A8" s="2877" t="s">
        <v>2655</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2705</v>
      </c>
      <c r="B9" s="2878" t="str">
        <f>'预评函-1'!A9</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2656</v>
      </c>
      <c r="B10" s="2878" t="str">
        <f>'预评函-1'!A11</f>
        <v>2019年6月10日（评估专业人员勘察现场之日）</v>
      </c>
    </row>
    <row r="11" spans="1:55" s="2876" customFormat="1">
      <c r="A11" s="2877" t="s">
        <v>2662</v>
      </c>
      <c r="B11" s="2878" t="str">
        <f>'预评函-1'!A14</f>
        <v>根据《国有土地使用证》[]，本次评估估价对象证载（地类）用途为。</v>
      </c>
    </row>
    <row r="12" spans="1:55" s="2876" customFormat="1">
      <c r="A12" s="2877" t="s">
        <v>2663</v>
      </c>
      <c r="B12" s="2878" t="str">
        <f>'预评函-1'!A15</f>
        <v>本次评估设定用途即为证载用途。</v>
      </c>
    </row>
    <row r="13" spans="1:55" s="2876" customFormat="1">
      <c r="A13" s="2877" t="s">
        <v>2664</v>
      </c>
      <c r="B13" s="2878" t="str">
        <f>'预评函-1'!A17</f>
        <v>根据委托估价方介绍及评估专业人员现场勘查，本次评估估价对象实际土地开发程度为红线外市政基础设施达“七通”（即通路、通电、通上水、通上水、通讯、燃气、）、宗地红线内场地平整。</v>
      </c>
    </row>
    <row r="14" spans="1:55" s="2876" customFormat="1">
      <c r="A14" s="2877" t="s">
        <v>2665</v>
      </c>
      <c r="B14" s="2878" t="str">
        <f>'预评函-1'!A18</f>
        <v>本次评估设定土地开发程度为红线外市政基础设施达“七通”、宗地红线内场地平整。</v>
      </c>
    </row>
    <row r="15" spans="1:55" s="2876" customFormat="1">
      <c r="A15" s="2877" t="s">
        <v>2661</v>
      </c>
      <c r="B15" s="2878" t="str">
        <f>'预评函-1'!A20</f>
        <v>根据《国有土地使用证》[]，估价对象（分摊）出让国有建设用地使用权面积为68029平方米。根据《建设工程规划许可证》[]、《出让合同》[]，估价对象规划建筑面积为102043.5平方米。</v>
      </c>
    </row>
    <row r="16" spans="1:55" s="2876" customFormat="1">
      <c r="A16" s="2877" t="s">
        <v>2666</v>
      </c>
      <c r="B16" s="2878" t="str">
        <f>'预评函-1'!A22</f>
        <v>本次估价对象为出让国有建设用地使用权，《国有土地使用证》[]证载土地终止日期为住宅2064年6月30日、商业2054年6月30日。截至估价期日，出让国有建设用地使用权剩余土地使用年限为。</v>
      </c>
    </row>
    <row r="17" spans="1:48" s="2876" customFormat="1">
      <c r="A17" s="2877" t="s">
        <v>2667</v>
      </c>
      <c r="B17" s="2878" t="str">
        <f>'预评函-1'!A23</f>
        <v>本次评估设定估价对象剩余土地使用年限为。</v>
      </c>
    </row>
    <row r="18" spans="1:48" s="2876" customFormat="1">
      <c r="A18" s="2877" t="s">
        <v>2668</v>
      </c>
      <c r="B18" s="2878" t="str">
        <f>'预评函-1'!A25</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19" spans="1:48" s="2876" customFormat="1">
      <c r="A19" s="2877" t="s">
        <v>2669</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2670</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6.2" thickBot="1">
      <c r="A21" s="2899" t="s">
        <v>2671</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8" t="s">
        <v>2672</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2673</v>
      </c>
      <c r="B23" s="2878" t="str">
        <f>'预评函-2'!K2</f>
        <v>估价期日：2019年6月10日</v>
      </c>
    </row>
    <row r="24" spans="1:48">
      <c r="A24" s="2877" t="s">
        <v>2674</v>
      </c>
      <c r="B24" s="2878" t="str">
        <f>'预评函-2'!R2</f>
        <v>估价期日的国有建设用地使用权性质：出让</v>
      </c>
    </row>
    <row r="25" spans="1:48">
      <c r="A25" s="2877" t="s">
        <v>2730</v>
      </c>
      <c r="B25" s="2878" t="str">
        <f>'预评函-2'!A3</f>
        <v>估价期日土地使用者</v>
      </c>
    </row>
    <row r="26" spans="1:48">
      <c r="A26" s="2877" t="s">
        <v>2706</v>
      </c>
      <c r="B26" s="2878" t="str">
        <f>'预评函-2'!A5</f>
        <v>中信开发</v>
      </c>
    </row>
    <row r="27" spans="1:48">
      <c r="A27" s="2877" t="s">
        <v>2731</v>
      </c>
      <c r="B27" s="2878" t="str">
        <f>'预评函-2'!B3</f>
        <v>宗地编号/不动产单元号</v>
      </c>
    </row>
    <row r="28" spans="1:48">
      <c r="A28" s="2877" t="s">
        <v>2707</v>
      </c>
      <c r="B28" s="2878" t="str">
        <f>'预评函-2'!B5</f>
        <v>11111111111</v>
      </c>
    </row>
    <row r="29" spans="1:48">
      <c r="A29" s="2877" t="s">
        <v>2733</v>
      </c>
      <c r="B29" s="2878">
        <f>'预评函-2'!C5</f>
        <v>22</v>
      </c>
    </row>
    <row r="30" spans="1:48">
      <c r="A30" s="2877" t="s">
        <v>2734</v>
      </c>
      <c r="B30" s="2878" t="str">
        <f>'预评函-2'!D3</f>
        <v>土地使用证编号/不动产权证书编号</v>
      </c>
    </row>
    <row r="31" spans="1:48">
      <c r="A31" s="2877" t="s">
        <v>2708</v>
      </c>
      <c r="B31" s="2878" t="str">
        <f>'预评函-2'!D5</f>
        <v>京国土字第111号</v>
      </c>
    </row>
    <row r="32" spans="1:48">
      <c r="A32" s="2877" t="s">
        <v>2709</v>
      </c>
      <c r="B32" s="2878">
        <f>'预评函-2'!E5</f>
        <v>0</v>
      </c>
      <c r="AV32" s="2882"/>
    </row>
    <row r="33" spans="1:2">
      <c r="A33" s="2877" t="s">
        <v>2710</v>
      </c>
      <c r="B33" s="2878">
        <f>'预评函-2'!F5</f>
        <v>258</v>
      </c>
    </row>
    <row r="34" spans="1:2">
      <c r="A34" s="2877" t="s">
        <v>2711</v>
      </c>
      <c r="B34" s="2878">
        <f>'预评函-2'!G5</f>
        <v>0</v>
      </c>
    </row>
    <row r="35" spans="1:2">
      <c r="A35" s="2877" t="s">
        <v>2712</v>
      </c>
      <c r="B35" s="2878">
        <f>'预评函-2'!H5</f>
        <v>1.5</v>
      </c>
    </row>
    <row r="36" spans="1:2">
      <c r="A36" s="2877" t="s">
        <v>2713</v>
      </c>
      <c r="B36" s="2878">
        <f>'预评函-2'!I5</f>
        <v>1.5</v>
      </c>
    </row>
    <row r="37" spans="1:2">
      <c r="A37" s="2877" t="s">
        <v>2714</v>
      </c>
      <c r="B37" s="2878">
        <f>'预评函-2'!J5</f>
        <v>1.5</v>
      </c>
    </row>
    <row r="38" spans="1:2">
      <c r="A38" s="2877" t="s">
        <v>2715</v>
      </c>
      <c r="B38" s="2878" t="str">
        <f>'预评函-2'!K5</f>
        <v>红线外七通、宗地红线内场地平整</v>
      </c>
    </row>
    <row r="39" spans="1:2">
      <c r="A39" s="2877" t="s">
        <v>2716</v>
      </c>
      <c r="B39" s="2878" t="str">
        <f>'预评函-2'!L5</f>
        <v>红线外七通、宗地红线内场地平整</v>
      </c>
    </row>
    <row r="40" spans="1:2">
      <c r="A40" s="2877" t="s">
        <v>2735</v>
      </c>
      <c r="B40" s="2878" t="str">
        <f>'预评函-2'!M3</f>
        <v>（剩余）土地使用年限/年</v>
      </c>
    </row>
    <row r="41" spans="1:2">
      <c r="A41" s="2877" t="s">
        <v>2717</v>
      </c>
      <c r="B41" s="2878">
        <f>'预评函-2'!M5</f>
        <v>0</v>
      </c>
    </row>
    <row r="42" spans="1:2">
      <c r="A42" s="2877" t="s">
        <v>2736</v>
      </c>
      <c r="B42" s="2878" t="str">
        <f>'预评函-2'!N3</f>
        <v>（分摊）出让国有建设用地使用权面积/㎡</v>
      </c>
    </row>
    <row r="43" spans="1:2">
      <c r="A43" s="2877" t="s">
        <v>2718</v>
      </c>
      <c r="B43" s="2878">
        <f>'预评函-2'!N5</f>
        <v>68029</v>
      </c>
    </row>
    <row r="44" spans="1:2">
      <c r="A44" s="2877" t="s">
        <v>2737</v>
      </c>
      <c r="B44" s="2878" t="str">
        <f>'预评函-2'!O3</f>
        <v>规划建筑面积/㎡</v>
      </c>
    </row>
    <row r="45" spans="1:2">
      <c r="A45" s="2877" t="s">
        <v>2719</v>
      </c>
      <c r="B45" s="2878">
        <f>'预评函-2'!O5</f>
        <v>102043.5</v>
      </c>
    </row>
    <row r="46" spans="1:2">
      <c r="A46" s="2877" t="s">
        <v>2720</v>
      </c>
      <c r="B46" s="2878">
        <f ca="1">'预评函-2'!P5</f>
        <v>5677</v>
      </c>
    </row>
    <row r="47" spans="1:2">
      <c r="A47" s="2877" t="s">
        <v>2721</v>
      </c>
      <c r="B47" s="2878">
        <f ca="1">'预评函-2'!Q5</f>
        <v>3785</v>
      </c>
    </row>
    <row r="48" spans="1:2">
      <c r="A48" s="2877" t="s">
        <v>2722</v>
      </c>
      <c r="B48" s="2878">
        <f ca="1">'预评函-2'!R5</f>
        <v>38623</v>
      </c>
    </row>
    <row r="49" spans="1:2">
      <c r="A49" s="2877" t="s">
        <v>2738</v>
      </c>
      <c r="B49" s="2878" t="str">
        <f>'预评函-2'!A6</f>
        <v>抵押价格</v>
      </c>
    </row>
    <row r="50" spans="1:2">
      <c r="A50" s="2877" t="s">
        <v>2723</v>
      </c>
      <c r="B50" s="2878">
        <f ca="1">'预评函-2'!R6</f>
        <v>38623</v>
      </c>
    </row>
    <row r="51" spans="1:2">
      <c r="A51" s="2877" t="s">
        <v>2739</v>
      </c>
      <c r="B51" s="2878" t="str">
        <f>'预评函-2'!A7</f>
        <v>——</v>
      </c>
    </row>
    <row r="52" spans="1:2">
      <c r="A52" s="2877" t="s">
        <v>2724</v>
      </c>
      <c r="B52" s="2878" t="str">
        <f>'预评函-2'!R7</f>
        <v>——</v>
      </c>
    </row>
    <row r="53" spans="1:2">
      <c r="A53" s="2877" t="s">
        <v>2740</v>
      </c>
      <c r="B53" s="2878">
        <f>'预评函-2'!A8</f>
        <v>0</v>
      </c>
    </row>
    <row r="54" spans="1:2" s="2892" customFormat="1" ht="16.2" thickBot="1">
      <c r="A54" s="2899" t="s">
        <v>2725</v>
      </c>
      <c r="B54" s="2900" t="str">
        <f>'预评函-2'!R8</f>
        <v>——</v>
      </c>
    </row>
    <row r="55" spans="1:2" ht="16.2" thickTop="1">
      <c r="A55" s="2888" t="s">
        <v>2675</v>
      </c>
      <c r="B55" s="2889" t="str">
        <f>'预评函-3'!A2</f>
        <v>1.权利限制：根据估价对象《不动产权证书》原件、《国有土地使用权》复印件，截至估价期日，估价对象抵押权未见登记。未设定租赁等其他他项权利。</v>
      </c>
    </row>
    <row r="56" spans="1:2">
      <c r="A56" s="2877" t="s">
        <v>2676</v>
      </c>
      <c r="B56" s="2878" t="str">
        <f>'预评函-3'!A3</f>
        <v>2.基础设施条件：估价对象实际开发程度为红线外七通、宗地红线内场地平整；本次评估设定开发程度为红线外七通、宗地红线内场地平整。</v>
      </c>
    </row>
    <row r="57" spans="1:2">
      <c r="A57" s="2877" t="s">
        <v>2677</v>
      </c>
      <c r="B57" s="2878" t="str">
        <f>'预评函-3'!A4</f>
        <v>3.估价规划限制条件：详见《建设工程规划许可证》[]、《出让合同》[]。</v>
      </c>
    </row>
    <row r="58" spans="1:2" s="2892" customFormat="1" ht="16.2" thickBot="1">
      <c r="A58" s="2899" t="s">
        <v>2726</v>
      </c>
      <c r="B58" s="2900" t="str">
        <f>'预评函-3'!A5</f>
        <v>4.影响价格的其他限定条件：无。</v>
      </c>
    </row>
    <row r="59" spans="1:2" ht="16.2" thickTop="1">
      <c r="A59" s="2888" t="s">
        <v>2678</v>
      </c>
      <c r="B59" s="2889" t="str">
        <f>'预评函-3'!A8</f>
        <v>2.本《评估意见函》仅供金融机构进行内部审核使用，不做其他目的之用。</v>
      </c>
    </row>
    <row r="60" spans="1:2">
      <c r="A60" s="2877" t="s">
        <v>2679</v>
      </c>
      <c r="B60" s="2878" t="str">
        <f>'预评函-3'!A9</f>
        <v>3.抵押双方在办理抵押登记手续时，应使用本公司出具的正式《土地估价报告》，特提请报告使用者注意。</v>
      </c>
    </row>
    <row r="61" spans="1:2">
      <c r="A61" s="2877" t="s">
        <v>2681</v>
      </c>
      <c r="B61" s="2878" t="str">
        <f>'预评函-3'!A10</f>
        <v>4.估价师所知悉的法定优先受偿款情况为：</v>
      </c>
    </row>
    <row r="62" spans="1:2">
      <c r="A62" s="2877" t="s">
        <v>2680</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2682</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2683</v>
      </c>
      <c r="B64" s="2883" t="str">
        <f>'预评函-3'!A13</f>
        <v>（3）。</v>
      </c>
    </row>
    <row r="65" spans="1:2">
      <c r="A65" s="2877" t="s">
        <v>2684</v>
      </c>
      <c r="B65" s="2884" t="str">
        <f>'预评函-3'!A14</f>
        <v>综上，本次评估不存在估价师知悉的法定优先受偿款</v>
      </c>
    </row>
    <row r="66" spans="1:2">
      <c r="A66" s="2877" t="s">
        <v>2685</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2686</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6.2" thickBot="1">
      <c r="A68" s="2899" t="s">
        <v>2689</v>
      </c>
      <c r="B68" s="2903">
        <f>'预评函-3'!D30</f>
        <v>42558</v>
      </c>
    </row>
    <row r="69" spans="1:2" ht="16.2" thickTop="1">
      <c r="A69" s="2888" t="s">
        <v>2687</v>
      </c>
      <c r="B69" s="2889" t="str">
        <f>'预评函-3'!A20</f>
        <v>土地估价师</v>
      </c>
    </row>
    <row r="70" spans="1:2">
      <c r="A70" s="2877" t="s">
        <v>2687</v>
      </c>
      <c r="B70" s="2884">
        <f>'预评函-3'!B20</f>
        <v>0</v>
      </c>
    </row>
    <row r="71" spans="1:2">
      <c r="A71" s="2877" t="s">
        <v>2688</v>
      </c>
      <c r="B71" s="2878" t="str">
        <f>'预评函-3'!A21</f>
        <v>土地估价师</v>
      </c>
    </row>
    <row r="72" spans="1:2" s="2892" customFormat="1" ht="16.2" thickBot="1">
      <c r="A72" s="2899" t="s">
        <v>2688</v>
      </c>
      <c r="B72" s="2905">
        <f>'预评函-3'!B21</f>
        <v>0</v>
      </c>
    </row>
    <row r="73" spans="1:2" ht="16.2" thickTop="1">
      <c r="A73" s="2888" t="s">
        <v>2747</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2748</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6.2" thickBot="1">
      <c r="A75" s="2899" t="s">
        <v>2749</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6" t="s">
        <v>2784</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6" sqref="B6"/>
    </sheetView>
  </sheetViews>
  <sheetFormatPr defaultColWidth="10" defaultRowHeight="15.6"/>
  <cols>
    <col min="1" max="1" width="15.33203125" style="1689" customWidth="1"/>
    <col min="2" max="2" width="13.21875" style="1689" customWidth="1"/>
    <col min="3" max="3" width="12.6640625" style="1689" customWidth="1"/>
    <col min="4" max="4" width="12" style="1689" customWidth="1"/>
    <col min="5" max="5" width="12.44140625" style="1689" customWidth="1"/>
    <col min="6" max="6" width="11.33203125" style="1689" customWidth="1"/>
    <col min="7" max="7" width="12.33203125" style="1689" customWidth="1"/>
    <col min="8" max="8" width="10" style="1689" customWidth="1"/>
    <col min="9" max="9" width="12.441406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6.2" thickBot="1">
      <c r="A1" s="1657" t="s">
        <v>1938</v>
      </c>
      <c r="B1" s="3311" t="str">
        <f>IF(B10="北京市","北京市",C10)&amp;F10&amp;B16&amp;"国有建设用地使用权"&amp;B9&amp;"预评估"</f>
        <v>重庆两江新区航悦项目E01-04-02出让国有建设用地使用权抵押价格预评估</v>
      </c>
      <c r="C1" s="3312"/>
      <c r="D1" s="3312"/>
      <c r="E1" s="3312"/>
      <c r="F1" s="3312"/>
      <c r="G1" s="3312"/>
      <c r="H1" s="3312"/>
      <c r="I1" s="3313"/>
      <c r="J1" s="1692"/>
      <c r="K1" s="2454" t="str">
        <f>IF(B10="北京市","北京市",C10)&amp;F10&amp;B16&amp;"国有建设用地使用权"&amp;B9</f>
        <v>重庆两江新区航悦项目E01-04-02出让国有建设用地使用权抵押价格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重庆两江新区航悦项目E01-04-02出让国有建设用地使用权</v>
      </c>
      <c r="L2" s="1721"/>
      <c r="M2" s="1721"/>
      <c r="N2" s="1692"/>
      <c r="O2" s="1693"/>
      <c r="P2" s="1692"/>
      <c r="Q2" s="1692"/>
      <c r="R2" s="1692"/>
      <c r="S2" s="1692"/>
      <c r="T2" s="1692"/>
      <c r="U2" s="1692"/>
    </row>
    <row r="3" spans="1:21">
      <c r="A3" s="1659" t="s">
        <v>1940</v>
      </c>
      <c r="B3" s="1660">
        <v>43626</v>
      </c>
      <c r="C3" s="1661" t="s">
        <v>1996</v>
      </c>
      <c r="D3" s="1660">
        <f>B3</f>
        <v>43626</v>
      </c>
      <c r="E3" s="1692"/>
      <c r="F3" s="1692"/>
      <c r="G3" s="1692"/>
      <c r="H3" s="1658"/>
      <c r="I3" s="1693"/>
      <c r="J3" s="1692"/>
      <c r="K3" s="1772"/>
      <c r="L3" s="1721"/>
      <c r="M3" s="1721"/>
      <c r="N3" s="1692"/>
      <c r="O3" s="1693"/>
      <c r="P3" s="1692"/>
      <c r="Q3" s="1692"/>
      <c r="R3" s="1692"/>
      <c r="S3" s="1692"/>
      <c r="T3" s="1692"/>
      <c r="U3" s="1692"/>
    </row>
    <row r="4" spans="1:21" ht="16.2" thickBot="1">
      <c r="A4" s="1662" t="s">
        <v>1941</v>
      </c>
      <c r="B4" s="1841" t="s">
        <v>2885</v>
      </c>
      <c r="C4" s="1844">
        <f>SUMIF(土地估价师,B4,估价师及机构信息!E3:E24)</f>
        <v>0</v>
      </c>
      <c r="D4" s="1841" t="s">
        <v>2885</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6.2" thickTop="1">
      <c r="A5" s="1663" t="s">
        <v>1942</v>
      </c>
      <c r="B5" s="1787" t="s">
        <v>3412</v>
      </c>
      <c r="C5" s="1664"/>
      <c r="D5" s="1665"/>
      <c r="E5" s="1692"/>
      <c r="F5" s="1692"/>
      <c r="G5" s="1692"/>
      <c r="H5" s="1658"/>
      <c r="I5" s="1693"/>
      <c r="J5" s="1692"/>
      <c r="K5" s="1772"/>
      <c r="L5" s="1721"/>
      <c r="M5" s="1721"/>
      <c r="N5" s="1692"/>
      <c r="O5" s="1693"/>
      <c r="P5" s="1692"/>
      <c r="Q5" s="1692"/>
      <c r="R5" s="1692"/>
      <c r="S5" s="1692"/>
      <c r="T5" s="1692"/>
      <c r="U5" s="1692"/>
    </row>
    <row r="6" spans="1:21" ht="27.6">
      <c r="A6" s="1661" t="s">
        <v>2703</v>
      </c>
      <c r="B6" s="1787" t="s">
        <v>3413</v>
      </c>
      <c r="C6" s="1759"/>
      <c r="D6" s="1666"/>
      <c r="E6" s="1692"/>
      <c r="F6" s="1692"/>
      <c r="G6" s="1692"/>
      <c r="H6" s="1658"/>
      <c r="I6" s="1693"/>
      <c r="J6" s="1692"/>
      <c r="K6" s="3053" t="str">
        <f>IF(COUNTIF(B6,"*上海银行*"),"上海银行","")</f>
        <v/>
      </c>
      <c r="L6" s="1721"/>
      <c r="M6" s="1721"/>
      <c r="N6" s="1692"/>
      <c r="O6" s="1693"/>
      <c r="P6" s="1692"/>
      <c r="Q6" s="1692"/>
      <c r="R6" s="1692"/>
      <c r="S6" s="1692"/>
      <c r="T6" s="1692"/>
      <c r="U6" s="1692"/>
    </row>
    <row r="7" spans="1:21">
      <c r="A7" s="1667" t="s">
        <v>2704</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2979</v>
      </c>
      <c r="C8" s="1669"/>
      <c r="D8" s="3317" t="s">
        <v>1945</v>
      </c>
      <c r="E8" s="1842" t="s">
        <v>2980</v>
      </c>
      <c r="F8" s="1670"/>
      <c r="G8" s="1658"/>
      <c r="H8" s="1658"/>
      <c r="I8" s="1705"/>
      <c r="J8" s="1692"/>
      <c r="K8" s="1772"/>
      <c r="L8" s="1721"/>
      <c r="M8" s="1721"/>
      <c r="N8" s="1692"/>
      <c r="O8" s="1693"/>
      <c r="P8" s="1692"/>
      <c r="Q8" s="1692"/>
      <c r="R8" s="1692"/>
      <c r="S8" s="1692"/>
      <c r="T8" s="1692"/>
      <c r="U8" s="1692"/>
    </row>
    <row r="9" spans="1:21" ht="16.2" thickBot="1">
      <c r="A9" s="1671" t="s">
        <v>1944</v>
      </c>
      <c r="B9" s="1672" t="s">
        <v>2980</v>
      </c>
      <c r="C9" s="1673"/>
      <c r="D9" s="3318"/>
      <c r="E9" s="1672"/>
      <c r="F9" s="1745"/>
      <c r="G9" s="1740"/>
      <c r="H9" s="1740"/>
      <c r="I9" s="1741"/>
      <c r="J9" s="1692"/>
      <c r="K9" s="1772"/>
      <c r="L9" s="1721"/>
      <c r="M9" s="1721"/>
      <c r="N9" s="1692"/>
      <c r="O9" s="1693"/>
      <c r="P9" s="1692"/>
      <c r="Q9" s="1692"/>
      <c r="R9" s="1692"/>
      <c r="S9" s="1692"/>
      <c r="T9" s="1692"/>
      <c r="U9" s="1692"/>
    </row>
    <row r="10" spans="1:21" ht="16.2" thickTop="1">
      <c r="A10" s="1742" t="s">
        <v>2000</v>
      </c>
      <c r="B10" s="1717" t="s">
        <v>2981</v>
      </c>
      <c r="C10" s="1674"/>
      <c r="D10" s="1665"/>
      <c r="E10" s="1675" t="s">
        <v>1947</v>
      </c>
      <c r="F10" s="1676" t="s">
        <v>3150</v>
      </c>
      <c r="G10" s="1743"/>
      <c r="H10" s="1744"/>
      <c r="I10" s="1665"/>
      <c r="J10" s="1692"/>
      <c r="K10" s="1772"/>
      <c r="L10" s="1721"/>
      <c r="M10" s="1721"/>
      <c r="N10" s="1692"/>
      <c r="O10" s="1693"/>
      <c r="P10" s="1692"/>
      <c r="Q10" s="1692"/>
      <c r="R10" s="1692"/>
      <c r="S10" s="1692"/>
      <c r="T10" s="1692"/>
      <c r="U10" s="1692"/>
    </row>
    <row r="11" spans="1:21">
      <c r="A11" s="1695" t="s">
        <v>2001</v>
      </c>
      <c r="B11" s="1696" t="s">
        <v>2982</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314"/>
      <c r="C12" s="3315"/>
      <c r="D12" s="3316"/>
      <c r="E12" s="1697" t="s">
        <v>2062</v>
      </c>
      <c r="F12" s="3332" t="s">
        <v>2886</v>
      </c>
      <c r="G12" s="3333"/>
      <c r="H12" s="3333"/>
      <c r="I12" s="3334"/>
      <c r="J12" s="1692"/>
      <c r="K12" s="1772"/>
      <c r="L12" s="1721"/>
      <c r="M12" s="1721"/>
      <c r="N12" s="1692"/>
      <c r="O12" s="1693"/>
      <c r="P12" s="1692"/>
      <c r="Q12" s="1692"/>
      <c r="R12" s="1692"/>
      <c r="S12" s="1692"/>
      <c r="T12" s="1692"/>
      <c r="U12" s="1692"/>
    </row>
    <row r="13" spans="1:21">
      <c r="A13" s="1685" t="s">
        <v>2060</v>
      </c>
      <c r="B13" s="3314"/>
      <c r="C13" s="3315"/>
      <c r="D13" s="3316"/>
      <c r="E13" s="1697" t="s">
        <v>2062</v>
      </c>
      <c r="F13" s="3332" t="s">
        <v>2887</v>
      </c>
      <c r="G13" s="3333"/>
      <c r="H13" s="3333"/>
      <c r="I13" s="3334"/>
      <c r="J13" s="1692"/>
      <c r="K13" s="1772"/>
      <c r="L13" s="1721"/>
      <c r="M13" s="1721"/>
      <c r="N13" s="1692"/>
      <c r="O13" s="1693"/>
      <c r="P13" s="1692"/>
      <c r="Q13" s="1692"/>
      <c r="R13" s="1692"/>
      <c r="S13" s="1692"/>
      <c r="T13" s="1692"/>
      <c r="U13" s="1692"/>
    </row>
    <row r="14" spans="1:21">
      <c r="A14" s="1659" t="s">
        <v>2063</v>
      </c>
      <c r="B14" s="1697"/>
      <c r="C14" s="1843" t="s">
        <v>2983</v>
      </c>
      <c r="D14" s="1731" t="str">
        <f>IF(C14="不一致","是否符合证载地类范围","")</f>
        <v/>
      </c>
      <c r="E14" s="1697"/>
      <c r="F14" s="1788" t="s">
        <v>2985</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46.8">
      <c r="A16" s="1678" t="s">
        <v>1948</v>
      </c>
      <c r="B16" s="1679" t="s">
        <v>2984</v>
      </c>
      <c r="C16" s="1697" t="s">
        <v>1949</v>
      </c>
      <c r="D16" s="2645" t="s">
        <v>1950</v>
      </c>
      <c r="E16" s="1720" t="s">
        <v>3024</v>
      </c>
      <c r="F16" s="1720" t="s">
        <v>1677</v>
      </c>
      <c r="G16" s="1720" t="s">
        <v>35</v>
      </c>
      <c r="H16" s="1720"/>
      <c r="I16" s="1684" t="s">
        <v>1955</v>
      </c>
      <c r="J16" s="1692"/>
      <c r="K16" s="2455" t="str">
        <f>IF(D17="","",D16&amp;TEXT(D17,"yyyy年m月d日;;"))</f>
        <v>住宅2064年6月30日</v>
      </c>
      <c r="L16" s="1697" t="str">
        <f>IF(OR(K16="",M16=""),"","、")</f>
        <v>、</v>
      </c>
      <c r="M16" s="2455" t="str">
        <f>IF(E17="","",E16&amp;TEXT(E17,"yyyy年m月d日;;"))</f>
        <v>商业2054年6月30日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60083</v>
      </c>
      <c r="E17" s="1698">
        <v>56430</v>
      </c>
      <c r="F17" s="1698"/>
      <c r="G17" s="1698"/>
      <c r="H17" s="1698"/>
      <c r="I17" s="1698"/>
      <c r="J17" s="1692"/>
      <c r="K17" s="2454" t="str">
        <f>CONCATENATE(K16,L16,M16,N16,O16,P16,Q16,R16,S16,T16,,U16)</f>
        <v>住宅2064年6月30日、商业2054年6月30日</v>
      </c>
      <c r="L17" s="1721"/>
      <c r="M17" s="1721"/>
      <c r="N17" s="1692"/>
      <c r="O17" s="1693"/>
      <c r="P17" s="1692"/>
      <c r="Q17" s="1692"/>
      <c r="R17" s="1692"/>
      <c r="S17" s="1692"/>
      <c r="T17" s="1692"/>
      <c r="U17" s="1692"/>
    </row>
    <row r="18" spans="1:21">
      <c r="A18" s="1761"/>
      <c r="B18" s="1680"/>
      <c r="C18" s="1681" t="s">
        <v>1957</v>
      </c>
      <c r="D18" s="1682">
        <v>50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45.08</v>
      </c>
      <c r="E19" s="1683">
        <f>IF(B16="出让",IF(E17="","",ROUNDDOWN(MIN((E17-$D$3)/365,E18),2)),E18)</f>
        <v>35.07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329"/>
      <c r="E20" s="3330"/>
      <c r="F20" s="3330"/>
      <c r="G20" s="3330"/>
      <c r="H20" s="3330"/>
      <c r="I20" s="3331"/>
      <c r="J20" s="1692"/>
      <c r="K20" s="1772"/>
      <c r="L20" s="1721"/>
      <c r="M20" s="1721"/>
      <c r="N20" s="1692"/>
      <c r="O20" s="1693"/>
      <c r="P20" s="1692"/>
      <c r="Q20" s="1692"/>
      <c r="R20" s="1692"/>
      <c r="S20" s="1692"/>
      <c r="T20" s="1692"/>
      <c r="U20" s="1692"/>
    </row>
    <row r="21" spans="1:21">
      <c r="A21" s="1761" t="s">
        <v>1959</v>
      </c>
      <c r="B21" s="1762" t="s">
        <v>1960</v>
      </c>
      <c r="C21" s="1757">
        <f>'数据-汇总表'!E3</f>
        <v>102043.5</v>
      </c>
      <c r="D21" s="1758" t="s">
        <v>1961</v>
      </c>
      <c r="E21" s="3319" t="s">
        <v>1999</v>
      </c>
      <c r="F21" s="3320"/>
      <c r="G21" s="3320"/>
      <c r="H21" s="3320"/>
      <c r="I21" s="3321"/>
      <c r="J21" s="1692"/>
      <c r="K21" s="1772"/>
      <c r="L21" s="1721"/>
      <c r="M21" s="1721"/>
      <c r="N21" s="1692"/>
      <c r="O21" s="1693"/>
      <c r="P21" s="1692"/>
      <c r="Q21" s="1692"/>
      <c r="R21" s="1692"/>
      <c r="S21" s="1692"/>
      <c r="T21" s="1692"/>
      <c r="U21" s="1692"/>
    </row>
    <row r="22" spans="1:21">
      <c r="A22" s="3144" t="s">
        <v>951</v>
      </c>
      <c r="B22" s="1659" t="s">
        <v>1962</v>
      </c>
      <c r="C22" s="1684">
        <f>'数据-汇总表'!D3</f>
        <v>68029</v>
      </c>
      <c r="D22" s="1685" t="s">
        <v>1961</v>
      </c>
      <c r="E22" s="3319" t="s">
        <v>2888</v>
      </c>
      <c r="F22" s="3320"/>
      <c r="G22" s="3320"/>
      <c r="H22" s="3320"/>
      <c r="I22" s="3321"/>
      <c r="J22" s="1692"/>
      <c r="K22" s="1772"/>
      <c r="L22" s="1721"/>
      <c r="M22" s="1721"/>
      <c r="N22" s="1692"/>
      <c r="O22" s="1693"/>
      <c r="P22" s="1692"/>
      <c r="Q22" s="1692"/>
      <c r="R22" s="1692"/>
      <c r="S22" s="1692"/>
      <c r="T22" s="1692"/>
      <c r="U22" s="1692"/>
    </row>
    <row r="23" spans="1:21" ht="47.4"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322" t="s">
        <v>1967</v>
      </c>
      <c r="C24" s="3323"/>
      <c r="D24" s="3324" t="s">
        <v>1968</v>
      </c>
      <c r="E24" s="3325"/>
      <c r="F24" s="1706" t="s">
        <v>1969</v>
      </c>
      <c r="G24" s="1692"/>
      <c r="H24" s="1692"/>
      <c r="I24" s="1705"/>
      <c r="J24" s="1692"/>
      <c r="K24" s="3310"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31.2">
      <c r="A25" s="1749"/>
      <c r="B25" s="1746" t="s">
        <v>2325</v>
      </c>
      <c r="C25" s="1707" t="s">
        <v>1971</v>
      </c>
      <c r="D25" s="1708"/>
      <c r="E25" s="1709" t="s">
        <v>951</v>
      </c>
      <c r="F25" s="1710"/>
      <c r="G25" s="1692"/>
      <c r="H25" s="1692"/>
      <c r="I25" s="1705"/>
      <c r="J25" s="1692"/>
      <c r="K25" s="3310"/>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31.8" thickBot="1">
      <c r="A26" s="1750"/>
      <c r="B26" s="1747" t="s">
        <v>1972</v>
      </c>
      <c r="C26" s="1707" t="s">
        <v>2326</v>
      </c>
      <c r="D26" s="1658"/>
      <c r="E26" s="1658"/>
      <c r="F26" s="1686"/>
      <c r="G26" s="1692"/>
      <c r="H26" s="1692"/>
      <c r="I26" s="1705"/>
      <c r="J26" s="1692"/>
      <c r="K26" s="3310"/>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6.2"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6.2" thickTop="1">
      <c r="A31" s="3337" t="s">
        <v>2002</v>
      </c>
      <c r="B31" s="1762" t="s">
        <v>2003</v>
      </c>
      <c r="C31" s="3335" t="s">
        <v>3000</v>
      </c>
      <c r="D31" s="3336"/>
      <c r="E31" s="1692"/>
      <c r="F31" s="1692"/>
      <c r="G31" s="1692"/>
      <c r="H31" s="1692"/>
      <c r="I31" s="1705"/>
      <c r="J31" s="1692"/>
      <c r="K31" s="2457"/>
      <c r="L31" s="1692"/>
      <c r="M31" s="1692"/>
      <c r="N31" s="1692"/>
      <c r="O31" s="1692"/>
      <c r="P31" s="1692"/>
      <c r="Q31" s="1692"/>
      <c r="R31" s="1692"/>
      <c r="S31" s="1692"/>
      <c r="T31" s="1692"/>
      <c r="U31" s="1692"/>
    </row>
    <row r="32" spans="1:21">
      <c r="A32" s="3337"/>
      <c r="B32" s="1659" t="s">
        <v>2004</v>
      </c>
      <c r="C32" s="1717" t="s">
        <v>3001</v>
      </c>
      <c r="D32" s="1718"/>
      <c r="E32" s="1692"/>
      <c r="F32" s="1692"/>
      <c r="G32" s="1692"/>
      <c r="H32" s="1692"/>
      <c r="I32" s="1705"/>
      <c r="J32" s="1692"/>
      <c r="K32" s="2457"/>
      <c r="L32" s="1692"/>
      <c r="M32" s="1692"/>
      <c r="N32" s="1692"/>
      <c r="O32" s="1692"/>
      <c r="P32" s="1692"/>
      <c r="Q32" s="1692"/>
      <c r="R32" s="1692"/>
      <c r="S32" s="1692"/>
      <c r="T32" s="1692"/>
      <c r="U32" s="1692"/>
    </row>
    <row r="33" spans="1:21">
      <c r="A33" s="3337"/>
      <c r="B33" s="1659" t="s">
        <v>2005</v>
      </c>
      <c r="C33" s="1719" t="s">
        <v>3002</v>
      </c>
      <c r="D33" s="1836"/>
      <c r="E33" s="1692"/>
      <c r="F33" s="1692"/>
      <c r="G33" s="1692"/>
      <c r="H33" s="1692"/>
      <c r="I33" s="1705"/>
      <c r="J33" s="1692"/>
      <c r="K33" s="2457"/>
      <c r="L33" s="1692"/>
      <c r="M33" s="1692"/>
      <c r="N33" s="1692"/>
      <c r="O33" s="1692"/>
      <c r="P33" s="1692"/>
      <c r="Q33" s="1692"/>
      <c r="R33" s="1692"/>
      <c r="S33" s="1692"/>
      <c r="T33" s="1692"/>
      <c r="U33" s="1692"/>
    </row>
    <row r="34" spans="1:21">
      <c r="A34" s="3338"/>
      <c r="B34" s="1659" t="s">
        <v>2006</v>
      </c>
      <c r="C34" s="3339"/>
      <c r="D34" s="3340"/>
      <c r="E34" s="1692"/>
      <c r="F34" s="1692"/>
      <c r="G34" s="1692"/>
      <c r="H34" s="1692"/>
      <c r="I34" s="1705"/>
      <c r="J34" s="1692"/>
      <c r="K34" s="2457"/>
      <c r="L34" s="1692"/>
      <c r="M34" s="1692"/>
      <c r="N34" s="1692"/>
      <c r="O34" s="1692"/>
      <c r="P34" s="1692"/>
      <c r="Q34" s="1692"/>
      <c r="R34" s="1692"/>
      <c r="S34" s="1692"/>
      <c r="T34" s="1692"/>
      <c r="U34" s="1692"/>
    </row>
    <row r="35" spans="1:21">
      <c r="A35" s="3341" t="s">
        <v>846</v>
      </c>
      <c r="B35" s="1720" t="s">
        <v>3003</v>
      </c>
      <c r="C35" s="1774" t="str">
        <f>IF(B35="场地平整","——","具体情况：")</f>
        <v>——</v>
      </c>
      <c r="D35" s="3343"/>
      <c r="E35" s="3344"/>
      <c r="F35" s="3344"/>
      <c r="G35" s="3344"/>
      <c r="H35" s="3344"/>
      <c r="I35" s="3345"/>
      <c r="J35" s="1692"/>
      <c r="K35" s="1773"/>
      <c r="L35" s="1721"/>
      <c r="M35" s="1721"/>
      <c r="N35" s="1692"/>
      <c r="O35" s="1693"/>
      <c r="P35" s="1692"/>
      <c r="Q35" s="1692"/>
      <c r="R35" s="1692"/>
      <c r="S35" s="1692"/>
      <c r="T35" s="1692"/>
      <c r="U35" s="1692"/>
    </row>
    <row r="36" spans="1:21">
      <c r="A36" s="3337"/>
      <c r="B36" s="3346" t="s">
        <v>2055</v>
      </c>
      <c r="C36" s="3347"/>
      <c r="D36" s="1790" t="s">
        <v>3004</v>
      </c>
      <c r="E36" s="3348"/>
      <c r="F36" s="3348"/>
      <c r="G36" s="1685" t="str">
        <f>IF(B35="场地未平整","估价结果处理","")</f>
        <v/>
      </c>
      <c r="H36" s="3349"/>
      <c r="I36" s="3349"/>
      <c r="J36" s="1692"/>
      <c r="K36" s="1773"/>
      <c r="L36" s="1721"/>
      <c r="M36" s="1721"/>
      <c r="N36" s="1692"/>
      <c r="O36" s="1693"/>
      <c r="P36" s="1692"/>
      <c r="Q36" s="1692"/>
      <c r="R36" s="1692"/>
      <c r="S36" s="1692"/>
      <c r="T36" s="1692"/>
      <c r="U36" s="1692"/>
    </row>
    <row r="37" spans="1:21" ht="31.2">
      <c r="A37" s="3337"/>
      <c r="B37" s="3326"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337"/>
      <c r="B38" s="3327"/>
      <c r="C38" s="1667" t="s">
        <v>849</v>
      </c>
      <c r="D38" s="1789">
        <f>ROUNDDOWN(MIN(('数据-取费表'!$B$2-D37)/365,D34),1)</f>
        <v>119.5</v>
      </c>
      <c r="E38" s="1725" t="s">
        <v>850</v>
      </c>
      <c r="F38" s="1692"/>
      <c r="G38" s="1692"/>
      <c r="H38" s="1692"/>
      <c r="I38" s="1705"/>
      <c r="J38" s="1692"/>
      <c r="K38" s="1773"/>
      <c r="L38" s="1692"/>
      <c r="M38" s="1692"/>
      <c r="N38" s="1692"/>
      <c r="O38" s="1692"/>
      <c r="P38" s="1692"/>
      <c r="Q38" s="1692"/>
      <c r="R38" s="1692"/>
      <c r="S38" s="1692"/>
      <c r="T38" s="1692"/>
      <c r="U38" s="1692"/>
    </row>
    <row r="39" spans="1:21">
      <c r="A39" s="3338"/>
      <c r="B39" s="332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3005</v>
      </c>
      <c r="C40" s="1688" t="s">
        <v>3006</v>
      </c>
      <c r="D40" s="1688" t="s">
        <v>3007</v>
      </c>
      <c r="E40" s="1688" t="s">
        <v>3007</v>
      </c>
      <c r="F40" s="1688" t="s">
        <v>3083</v>
      </c>
      <c r="G40" s="1688" t="s">
        <v>3084</v>
      </c>
      <c r="H40" s="1688"/>
      <c r="I40" s="1705"/>
      <c r="J40" s="1692"/>
      <c r="K40" s="1728">
        <f>COUNTIF(B40:H40,"——")</f>
        <v>0</v>
      </c>
      <c r="L40" s="1697" t="s">
        <v>1979</v>
      </c>
      <c r="M40" s="1694" t="s">
        <v>1980</v>
      </c>
      <c r="N40" s="1694" t="s">
        <v>1981</v>
      </c>
      <c r="O40" s="1694" t="s">
        <v>1982</v>
      </c>
      <c r="P40" s="1694" t="s">
        <v>1983</v>
      </c>
      <c r="Q40" s="1694" t="s">
        <v>1984</v>
      </c>
      <c r="R40" s="1694" t="s">
        <v>1985</v>
      </c>
      <c r="S40" s="3309" t="s">
        <v>1986</v>
      </c>
      <c r="T40" s="1729" t="str">
        <f>NUMBERSTRING(7-K40,1)&amp;"通"</f>
        <v>七通</v>
      </c>
      <c r="U40" s="1692"/>
    </row>
    <row r="41" spans="1:21">
      <c r="A41" s="1661"/>
      <c r="B41" s="3342" t="s">
        <v>1720</v>
      </c>
      <c r="C41" s="3342"/>
      <c r="D41" s="3342"/>
      <c r="E41" s="3342"/>
      <c r="F41" s="1730">
        <f>C10</f>
        <v>0</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通路、通电、通上水、通上水</v>
      </c>
      <c r="P41" s="1732" t="str">
        <f>B40&amp;"、"&amp;C40&amp;"、"&amp;D40&amp;"、"&amp;E40&amp;"、"&amp;F40</f>
        <v>通路、通电、通上水、通上水、通讯</v>
      </c>
      <c r="Q41" s="1732" t="str">
        <f>B40&amp;"、"&amp;C40&amp;"、"&amp;D40&amp;"、"&amp;E40&amp;"、"&amp;F40&amp;"、"&amp;G40</f>
        <v>通路、通电、通上水、通上水、通讯、燃气</v>
      </c>
      <c r="R41" s="1732" t="str">
        <f>B40&amp;"、"&amp;C40&amp;"、"&amp;D40&amp;"、"&amp;E40&amp;"、"&amp;F40&amp;"、"&amp;G40&amp;"、"&amp;H40</f>
        <v>通路、通电、通上水、通上水、通讯、燃气、</v>
      </c>
      <c r="S41" s="3309"/>
      <c r="T41" s="1731" t="str">
        <f>IF(T40="一通",L41,IF(T40="二通",M41,IF(T40="三通",N41,IF(T40="四通",O41,IF(T40="五通",P41,IF(T40="六通",Q41,R41))))))</f>
        <v>通路、通电、通上水、通上水、通讯、燃气、</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0" customFormat="1" ht="21" thickBot="1">
      <c r="A45" s="3071" t="s">
        <v>2889</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46.8">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1.33203125" style="15" customWidth="1"/>
    <col min="9" max="9" width="11.44140625" style="15" customWidth="1"/>
    <col min="10" max="10" width="9.44140625" style="15" customWidth="1"/>
    <col min="11" max="11" width="11" style="15" customWidth="1"/>
    <col min="12" max="12" width="9.44140625" style="15" customWidth="1"/>
    <col min="13" max="13" width="11.109375" style="15" customWidth="1"/>
    <col min="14" max="14" width="9.44140625" style="15" customWidth="1"/>
    <col min="15" max="15" width="9.88671875" style="15"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hidden="1" customWidth="1"/>
    <col min="32" max="32" width="9.44140625" style="15" customWidth="1"/>
    <col min="33" max="33" width="9.44140625" style="15" hidden="1" customWidth="1"/>
    <col min="34" max="34" width="9.44140625" style="15" customWidth="1"/>
    <col min="35" max="35" width="9.44140625" style="15" hidden="1" customWidth="1"/>
    <col min="36" max="36" width="9.44140625" style="15" customWidth="1"/>
    <col min="37" max="37" width="9.44140625" style="15" hidden="1" customWidth="1"/>
    <col min="38" max="38" width="9.44140625" style="15" customWidth="1"/>
    <col min="39" max="39" width="9.44140625" style="15" hidden="1" customWidth="1"/>
    <col min="40" max="40" width="9.44140625" style="15" customWidth="1"/>
    <col min="41" max="45" width="9.44140625" style="15" hidden="1" customWidth="1"/>
    <col min="46" max="46" width="9.44140625" style="15" customWidth="1"/>
    <col min="47" max="47" width="18.109375" style="15" customWidth="1"/>
    <col min="48" max="50" width="9.77734375" style="15" customWidth="1"/>
    <col min="51" max="51" width="12.77734375" style="15" bestFit="1" customWidth="1"/>
    <col min="52"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项目资料!D4</f>
        <v>68029</v>
      </c>
      <c r="B3" s="22">
        <f>IF(C3="否",G5-AT5,G5)</f>
        <v>102043.5</v>
      </c>
      <c r="C3" s="23" t="s">
        <v>3002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167</v>
      </c>
      <c r="B5" s="989"/>
      <c r="C5" s="989"/>
      <c r="D5" s="996"/>
      <c r="E5" s="27" t="s">
        <v>1</v>
      </c>
      <c r="F5" s="27">
        <f>SUM(F13:F572)</f>
        <v>0</v>
      </c>
      <c r="G5" s="27">
        <f>SUM(G13:G572)</f>
        <v>102043.5</v>
      </c>
      <c r="H5" s="27">
        <f t="shared" ref="H5:AT5" si="0">SUM(H13:H641)</f>
        <v>102043.5</v>
      </c>
      <c r="I5" s="27">
        <f t="shared" si="0"/>
        <v>81634.8</v>
      </c>
      <c r="J5" s="27">
        <f t="shared" si="0"/>
        <v>0</v>
      </c>
      <c r="K5" s="27">
        <f t="shared" si="0"/>
        <v>20408.7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102043.5</v>
      </c>
      <c r="BA5" s="29">
        <f t="shared" si="1"/>
        <v>102043.5</v>
      </c>
      <c r="BB5" s="29">
        <f t="shared" si="1"/>
        <v>81634.8</v>
      </c>
      <c r="BC5" s="29">
        <f t="shared" si="1"/>
        <v>20408.7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168</v>
      </c>
      <c r="B6" s="31"/>
      <c r="C6" s="31"/>
      <c r="D6" s="32"/>
      <c r="E6" s="27">
        <f>H6+AC6+AT6</f>
        <v>68029</v>
      </c>
      <c r="F6" s="27" t="s">
        <v>1</v>
      </c>
      <c r="G6" s="27" t="s">
        <v>2</v>
      </c>
      <c r="H6" s="33">
        <f>SUMIF(I$12:AB$12,"总值",I6:AB6)</f>
        <v>68029</v>
      </c>
      <c r="I6" s="27">
        <f t="shared" ref="I6:AB6" si="2">ROUND($A$3*I5/$B$3,2)</f>
        <v>54423.199999999997</v>
      </c>
      <c r="J6" s="27">
        <f t="shared" si="2"/>
        <v>0</v>
      </c>
      <c r="K6" s="27">
        <f t="shared" si="2"/>
        <v>13605.8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68029</v>
      </c>
      <c r="AZ6" s="27" t="s">
        <v>3</v>
      </c>
      <c r="BA6" s="27">
        <f>ROUND($AY$6*BA5/$AZ$5,2)</f>
        <v>68029</v>
      </c>
      <c r="BB6" s="27">
        <f>ROUND($AY$6*BB5/$AZ$5,2)</f>
        <v>54423.199999999997</v>
      </c>
      <c r="BC6" s="27">
        <f t="shared" ref="BC6:BH6" si="4">ROUND($AY$6*BC5/$AZ$5,2)</f>
        <v>13605.8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6"/>
      <c r="AT8" s="2327"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187</v>
      </c>
      <c r="I9" s="3016" t="s">
        <v>3023</v>
      </c>
      <c r="J9" s="51"/>
      <c r="K9" s="3016" t="s">
        <v>3023</v>
      </c>
      <c r="L9" s="51"/>
      <c r="M9" s="3016"/>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8"/>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3.2">
      <c r="A10" s="45"/>
      <c r="B10" s="45"/>
      <c r="C10" s="45"/>
      <c r="D10" s="45"/>
      <c r="E10" s="45"/>
      <c r="F10" s="45"/>
      <c r="G10" s="55"/>
      <c r="H10" s="62"/>
      <c r="I10" s="3016" t="s">
        <v>922</v>
      </c>
      <c r="J10" s="51"/>
      <c r="K10" s="3018" t="s">
        <v>3024</v>
      </c>
      <c r="L10" s="51"/>
      <c r="M10" s="3018"/>
      <c r="N10" s="51"/>
      <c r="O10" s="66"/>
      <c r="P10" s="51"/>
      <c r="Q10" s="66"/>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17" t="s">
        <v>3136</v>
      </c>
      <c r="J11" s="71"/>
      <c r="K11" s="3017" t="s">
        <v>3151</v>
      </c>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洋房</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4.4">
      <c r="A13" s="3013"/>
      <c r="B13" s="1393"/>
      <c r="C13" s="3013"/>
      <c r="D13" s="3014" t="s">
        <v>1678</v>
      </c>
      <c r="E13" s="27">
        <f t="shared" ref="E13:E20" si="6">IF($C$3="是",ROUND($A$3*G13/$B$3,2),ROUND($A$3*(G13-AT13)/$B$3,2))</f>
        <v>68029</v>
      </c>
      <c r="F13" s="81"/>
      <c r="G13" s="82">
        <f t="shared" ref="G13:G20" si="7">H13+AC13+AT13</f>
        <v>102043.5</v>
      </c>
      <c r="H13" s="33">
        <f t="shared" ref="H13:H20" si="8">SUMIF(I$12:AB$12,"总值",I13:AB13)</f>
        <v>102043.5</v>
      </c>
      <c r="I13" s="3015">
        <f>项目资料!H4</f>
        <v>81634.8</v>
      </c>
      <c r="J13" s="3015"/>
      <c r="K13" s="3015">
        <f>项目资料!I4</f>
        <v>20408.7</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6">
        <f t="shared" ref="AY13:AY20" si="11">ROUND($AY$6*AZ13/$AZ$5,2)</f>
        <v>68029</v>
      </c>
      <c r="AZ13" s="27">
        <f t="shared" ref="AZ13:AZ20" si="12">BA13+BL13</f>
        <v>102043.5</v>
      </c>
      <c r="BA13" s="27">
        <f t="shared" ref="BA13:BA20" si="13">SUM(BB13:BK13)</f>
        <v>102043.5</v>
      </c>
      <c r="BB13" s="27">
        <f t="shared" ref="BB13:BB20" si="14">IF($D13="是",I13-J13,0)</f>
        <v>81634.8</v>
      </c>
      <c r="BC13" s="27">
        <f t="shared" ref="BC13:BC20" si="15">IF($D13="是",K13-L13,0)</f>
        <v>20408.7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4.4">
      <c r="A14" s="3013"/>
      <c r="B14" s="1393"/>
      <c r="C14" s="3013"/>
      <c r="D14" s="3014"/>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4.4">
      <c r="A15" s="3013"/>
      <c r="B15" s="1393"/>
      <c r="C15" s="3013"/>
      <c r="D15" s="3014"/>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4.4">
      <c r="A16" s="3013"/>
      <c r="B16" s="1393"/>
      <c r="C16" s="3013"/>
      <c r="D16" s="3014"/>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4.4">
      <c r="A17" s="3013"/>
      <c r="B17" s="1393"/>
      <c r="C17" s="3013"/>
      <c r="D17" s="3014"/>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1393"/>
      <c r="C18" s="3013"/>
      <c r="D18" s="3014"/>
      <c r="E18" s="87">
        <f t="shared" si="6"/>
        <v>0</v>
      </c>
      <c r="F18" s="88"/>
      <c r="G18" s="89">
        <f t="shared" si="7"/>
        <v>0</v>
      </c>
      <c r="H18" s="90">
        <f t="shared" si="8"/>
        <v>0</v>
      </c>
      <c r="I18" s="3015"/>
      <c r="J18" s="91"/>
      <c r="K18" s="3015"/>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3019"/>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013"/>
      <c r="D19" s="3014"/>
      <c r="E19" s="87">
        <f t="shared" si="6"/>
        <v>0</v>
      </c>
      <c r="F19" s="88"/>
      <c r="G19" s="89">
        <f t="shared" si="7"/>
        <v>0</v>
      </c>
      <c r="H19" s="90">
        <f t="shared" si="8"/>
        <v>0</v>
      </c>
      <c r="I19" s="3015"/>
      <c r="J19" s="91"/>
      <c r="K19" s="3015"/>
      <c r="L19" s="91"/>
      <c r="M19" s="3015"/>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94"/>
      <c r="D20" s="3014"/>
      <c r="E20" s="87">
        <f t="shared" si="6"/>
        <v>0</v>
      </c>
      <c r="F20" s="88"/>
      <c r="G20" s="89">
        <f t="shared" si="7"/>
        <v>0</v>
      </c>
      <c r="H20" s="90">
        <f t="shared" si="8"/>
        <v>0</v>
      </c>
      <c r="I20" s="3015"/>
      <c r="J20" s="91"/>
      <c r="K20" s="3015"/>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3"/>
      <c r="C21" s="1394"/>
      <c r="D21" s="3014"/>
      <c r="E21" s="87">
        <f t="shared" ref="E21:E112" si="33">IF($C$3="是",ROUND($A$3*G21/$B$3,2),ROUND($A$3*(G21-AT21)/$B$3,2))</f>
        <v>0</v>
      </c>
      <c r="F21" s="88"/>
      <c r="G21" s="89">
        <f t="shared" ref="G21:G109" si="34">H21+AC21+AT21</f>
        <v>0</v>
      </c>
      <c r="H21" s="90">
        <f t="shared" ref="H21:H109" si="35">SUMIF(I$12:AB$12,"总值",I21:AB21)</f>
        <v>0</v>
      </c>
      <c r="I21" s="3015"/>
      <c r="J21" s="91"/>
      <c r="K21" s="301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3"/>
      <c r="C22" s="1394"/>
      <c r="D22" s="3014"/>
      <c r="E22" s="87">
        <f t="shared" si="33"/>
        <v>0</v>
      </c>
      <c r="F22" s="88"/>
      <c r="G22" s="89">
        <f t="shared" si="34"/>
        <v>0</v>
      </c>
      <c r="H22" s="90">
        <f t="shared" si="35"/>
        <v>0</v>
      </c>
      <c r="I22" s="3015"/>
      <c r="J22" s="91"/>
      <c r="K22" s="3015"/>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3"/>
      <c r="C23" s="1394"/>
      <c r="D23" s="3014"/>
      <c r="E23" s="87">
        <f t="shared" si="33"/>
        <v>0</v>
      </c>
      <c r="F23" s="88"/>
      <c r="G23" s="89">
        <f t="shared" si="34"/>
        <v>0</v>
      </c>
      <c r="H23" s="90">
        <f t="shared" si="35"/>
        <v>0</v>
      </c>
      <c r="I23" s="3015"/>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3"/>
      <c r="C24" s="1394"/>
      <c r="D24" s="3014"/>
      <c r="E24" s="87">
        <f t="shared" si="33"/>
        <v>0</v>
      </c>
      <c r="F24" s="88"/>
      <c r="G24" s="89">
        <f t="shared" si="34"/>
        <v>0</v>
      </c>
      <c r="H24" s="90">
        <f t="shared" si="35"/>
        <v>0</v>
      </c>
      <c r="I24" s="3015"/>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3"/>
      <c r="C25" s="1394"/>
      <c r="D25" s="3014"/>
      <c r="E25" s="87">
        <f t="shared" si="33"/>
        <v>0</v>
      </c>
      <c r="F25" s="88"/>
      <c r="G25" s="89">
        <f t="shared" si="34"/>
        <v>0</v>
      </c>
      <c r="H25" s="90">
        <f t="shared" si="35"/>
        <v>0</v>
      </c>
      <c r="I25" s="3015"/>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3"/>
      <c r="C26" s="1394"/>
      <c r="D26" s="3014"/>
      <c r="E26" s="87">
        <f t="shared" si="33"/>
        <v>0</v>
      </c>
      <c r="F26" s="88"/>
      <c r="G26" s="89">
        <f t="shared" si="34"/>
        <v>0</v>
      </c>
      <c r="H26" s="90">
        <f t="shared" si="35"/>
        <v>0</v>
      </c>
      <c r="I26" s="3015"/>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3"/>
      <c r="C27" s="1394"/>
      <c r="D27" s="3014"/>
      <c r="E27" s="87">
        <f t="shared" si="33"/>
        <v>0</v>
      </c>
      <c r="F27" s="88"/>
      <c r="G27" s="89">
        <f t="shared" si="34"/>
        <v>0</v>
      </c>
      <c r="H27" s="90">
        <f t="shared" si="35"/>
        <v>0</v>
      </c>
      <c r="I27" s="3015"/>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50" t="s">
        <v>0</v>
      </c>
      <c r="B1" s="3350" t="s">
        <v>4</v>
      </c>
      <c r="C1" s="3350" t="s">
        <v>5</v>
      </c>
      <c r="D1" s="3351" t="s">
        <v>40</v>
      </c>
      <c r="E1" s="3351" t="s">
        <v>41</v>
      </c>
      <c r="F1" s="3351"/>
      <c r="G1" s="3351"/>
      <c r="H1" s="3351"/>
      <c r="I1" s="3351"/>
      <c r="J1" s="3351"/>
      <c r="K1" s="3351"/>
      <c r="L1" s="3351"/>
      <c r="M1" s="3351"/>
    </row>
    <row r="2" spans="1:13" ht="27" customHeight="1">
      <c r="A2" s="3350"/>
      <c r="B2" s="3350"/>
      <c r="C2" s="3350"/>
      <c r="D2" s="3351"/>
      <c r="E2" s="3351" t="s">
        <v>24</v>
      </c>
      <c r="F2" s="3351" t="s">
        <v>25</v>
      </c>
      <c r="G2" s="3351"/>
      <c r="H2" s="3351"/>
      <c r="I2" s="3351"/>
      <c r="J2" s="3351" t="s">
        <v>26</v>
      </c>
      <c r="K2" s="3351"/>
      <c r="L2" s="3351"/>
      <c r="M2" s="3351"/>
    </row>
    <row r="3" spans="1:13" ht="46.8">
      <c r="A3" s="3350"/>
      <c r="B3" s="3350"/>
      <c r="C3" s="3350"/>
      <c r="D3" s="3351"/>
      <c r="E3" s="335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1" t="s">
        <v>42</v>
      </c>
      <c r="B9" s="3351"/>
      <c r="C9" s="33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3" sqref="H33"/>
    </sheetView>
  </sheetViews>
  <sheetFormatPr defaultColWidth="9.21875" defaultRowHeight="13.8"/>
  <cols>
    <col min="1" max="1" width="8.21875" style="1984" customWidth="1"/>
    <col min="2" max="2" width="10.21875" style="1984" customWidth="1"/>
    <col min="3" max="3" width="18.44140625" style="1984" customWidth="1"/>
    <col min="4" max="4" width="11.109375" style="1984" customWidth="1"/>
    <col min="5" max="5" width="13.33203125" style="1984" customWidth="1"/>
    <col min="6" max="8" width="11.44140625" style="1984" customWidth="1"/>
    <col min="9" max="9" width="10.33203125" style="1984" customWidth="1"/>
    <col min="10" max="10" width="3.109375" style="1984" customWidth="1"/>
    <col min="11" max="16" width="11.6640625" style="1984" customWidth="1"/>
    <col min="17" max="17" width="3.33203125" style="1984" customWidth="1"/>
    <col min="18" max="16384" width="9.21875" style="1984"/>
  </cols>
  <sheetData>
    <row r="1" spans="1:16" ht="17.399999999999999">
      <c r="A1" s="104" t="s">
        <v>201</v>
      </c>
      <c r="B1" s="1983"/>
      <c r="C1" s="1983"/>
      <c r="D1" s="1983"/>
      <c r="E1" s="1983"/>
      <c r="F1" s="1983"/>
      <c r="G1" s="1983"/>
      <c r="H1" s="1983"/>
      <c r="I1" s="1983"/>
      <c r="J1" s="1983"/>
      <c r="K1" s="1983"/>
      <c r="L1" s="1983"/>
    </row>
    <row r="2" spans="1:16" ht="14.4">
      <c r="A2" s="3361" t="s">
        <v>202</v>
      </c>
      <c r="B2" s="3361"/>
      <c r="C2" s="3361"/>
      <c r="D2" s="1974" t="s">
        <v>203</v>
      </c>
      <c r="E2" s="106" t="s">
        <v>204</v>
      </c>
      <c r="F2" s="1983"/>
      <c r="G2" s="1198"/>
      <c r="H2" s="1199"/>
      <c r="I2" s="1200" t="s">
        <v>856</v>
      </c>
      <c r="J2" s="1983"/>
      <c r="K2" s="1983"/>
      <c r="L2" s="1983"/>
    </row>
    <row r="3" spans="1:16" ht="15" thickBot="1">
      <c r="A3" s="3362" t="s">
        <v>205</v>
      </c>
      <c r="B3" s="3362"/>
      <c r="C3" s="3362"/>
      <c r="D3" s="107">
        <f>'数据-基础表'!AY6</f>
        <v>68029</v>
      </c>
      <c r="E3" s="107">
        <f>'数据-基础表'!AZ5</f>
        <v>102043.5</v>
      </c>
      <c r="F3" s="1983"/>
      <c r="G3" s="280" t="s">
        <v>857</v>
      </c>
      <c r="H3" s="275" t="s">
        <v>858</v>
      </c>
      <c r="I3" s="1975">
        <f>ROUND('数据-基础表'!B3/'数据-基础表'!A3,2)</f>
        <v>1.5</v>
      </c>
      <c r="J3" s="1983"/>
      <c r="K3" s="1983"/>
      <c r="L3" s="1983"/>
    </row>
    <row r="4" spans="1:16" ht="14.4">
      <c r="A4" s="3363"/>
      <c r="B4" s="3364"/>
      <c r="C4" s="3365"/>
      <c r="D4" s="108" t="s">
        <v>203</v>
      </c>
      <c r="E4" s="109" t="s">
        <v>204</v>
      </c>
      <c r="F4" s="1983"/>
      <c r="G4" s="1201"/>
      <c r="H4" s="275" t="s">
        <v>859</v>
      </c>
      <c r="I4" s="1975">
        <f>ROUND(SUMIF('数据-基础表'!I9:AS9,"地上",'数据-基础表'!I5:AS5)/'数据-基础表'!A3,2)</f>
        <v>1.5</v>
      </c>
      <c r="J4" s="1983"/>
      <c r="K4" s="1983"/>
      <c r="L4" s="1983"/>
    </row>
    <row r="5" spans="1:16" ht="14.4">
      <c r="A5" s="110" t="s">
        <v>206</v>
      </c>
      <c r="B5" s="3366" t="s">
        <v>229</v>
      </c>
      <c r="C5" s="3366"/>
      <c r="D5" s="111">
        <f>ROUND($D$3*E5/$E$3,2)</f>
        <v>54423.199999999997</v>
      </c>
      <c r="E5" s="112">
        <f>SUMIF('数据-基础表'!$11:$11,"住宅",'数据-基础表'!$5:$5)</f>
        <v>81634.8</v>
      </c>
      <c r="F5" s="1983"/>
      <c r="G5" s="280" t="s">
        <v>860</v>
      </c>
      <c r="H5" s="275" t="s">
        <v>858</v>
      </c>
      <c r="I5" s="1975">
        <f>ROUND(E31/D31,2)</f>
        <v>1.5</v>
      </c>
      <c r="J5" s="1983"/>
      <c r="K5" s="1983"/>
      <c r="L5" s="1983"/>
    </row>
    <row r="6" spans="1:16" ht="15" thickBot="1">
      <c r="A6" s="113"/>
      <c r="B6" s="3366" t="s">
        <v>207</v>
      </c>
      <c r="C6" s="3366"/>
      <c r="D6" s="111">
        <f>ROUND($D$3*E6/$E$3,2)</f>
        <v>13605.8</v>
      </c>
      <c r="E6" s="112">
        <f>E3-E5</f>
        <v>20408.699999999997</v>
      </c>
      <c r="F6" s="1983"/>
      <c r="G6" s="1201"/>
      <c r="H6" s="275" t="s">
        <v>859</v>
      </c>
      <c r="I6" s="1975">
        <f>ROUND(F31/D31,2)</f>
        <v>1.5</v>
      </c>
      <c r="J6" s="1983"/>
      <c r="K6" s="1983"/>
      <c r="L6" s="1983"/>
    </row>
    <row r="7" spans="1:16" ht="14.4">
      <c r="A7" s="3358"/>
      <c r="B7" s="3359"/>
      <c r="C7" s="3360"/>
      <c r="D7" s="108" t="s">
        <v>203</v>
      </c>
      <c r="E7" s="114" t="s">
        <v>230</v>
      </c>
      <c r="F7" s="1983"/>
      <c r="G7" s="1156" t="s">
        <v>1645</v>
      </c>
      <c r="H7" s="1157"/>
      <c r="I7" s="1845"/>
      <c r="J7" s="1983"/>
      <c r="K7" s="1983"/>
      <c r="L7" s="1983"/>
    </row>
    <row r="8" spans="1:16" ht="14.4">
      <c r="A8" s="110" t="s">
        <v>208</v>
      </c>
      <c r="B8" s="115" t="s">
        <v>209</v>
      </c>
      <c r="C8" s="111" t="s">
        <v>210</v>
      </c>
      <c r="D8" s="111">
        <f t="shared" ref="D8:D15" si="0">ROUND($D$3*E8/$E$3,2)</f>
        <v>68029</v>
      </c>
      <c r="E8" s="116">
        <f>SUMIF('数据-基础表'!BB10:BK10,"地上",'数据-基础表'!BB5:BK5)</f>
        <v>102043.5</v>
      </c>
      <c r="F8" s="1983"/>
      <c r="G8" s="1985"/>
      <c r="H8" s="1985"/>
      <c r="I8" s="1983"/>
      <c r="J8" s="1983"/>
      <c r="K8" s="1983"/>
      <c r="L8" s="1983"/>
    </row>
    <row r="9" spans="1:16" ht="14.4">
      <c r="A9" s="117"/>
      <c r="B9" s="118"/>
      <c r="C9" s="111" t="s">
        <v>211</v>
      </c>
      <c r="D9" s="111">
        <f t="shared" si="0"/>
        <v>0</v>
      </c>
      <c r="E9" s="119"/>
      <c r="F9" s="1983"/>
      <c r="G9" s="1985"/>
      <c r="H9" s="1985"/>
      <c r="I9" s="1983"/>
      <c r="J9" s="1983"/>
      <c r="K9" s="1983"/>
      <c r="L9" s="1983"/>
    </row>
    <row r="10" spans="1:16" ht="14.4">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ht="14.4">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ht="14.4">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ht="14.4">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ht="14.4">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 thickBot="1">
      <c r="A16" s="113"/>
      <c r="B16" s="118"/>
      <c r="C16" s="115" t="s">
        <v>214</v>
      </c>
      <c r="D16" s="115">
        <f>SUM(D8:D15)</f>
        <v>68029</v>
      </c>
      <c r="E16" s="120">
        <f>SUM(E8:E15)</f>
        <v>102043.5</v>
      </c>
      <c r="F16" s="1983"/>
      <c r="G16" s="1985"/>
      <c r="H16" s="968" t="s">
        <v>218</v>
      </c>
      <c r="I16" s="969"/>
      <c r="J16" s="1983"/>
      <c r="K16" s="3352" t="s">
        <v>2564</v>
      </c>
      <c r="L16" s="3353"/>
      <c r="M16" s="3353"/>
      <c r="N16" s="3353"/>
      <c r="O16" s="3353"/>
      <c r="P16" s="3354"/>
    </row>
    <row r="17" spans="1:19" ht="14.4">
      <c r="A17" s="121" t="s">
        <v>215</v>
      </c>
      <c r="B17" s="122" t="s">
        <v>216</v>
      </c>
      <c r="C17" s="2297" t="s">
        <v>2313</v>
      </c>
      <c r="D17" s="108" t="s">
        <v>203</v>
      </c>
      <c r="E17" s="124" t="s">
        <v>204</v>
      </c>
      <c r="F17" s="125"/>
      <c r="G17" s="1365"/>
      <c r="H17" s="970" t="s">
        <v>217</v>
      </c>
      <c r="I17" s="971" t="s">
        <v>2312</v>
      </c>
      <c r="J17" s="1983"/>
      <c r="K17" s="3355" t="s">
        <v>2565</v>
      </c>
      <c r="L17" s="3356"/>
      <c r="M17" s="3357"/>
      <c r="N17" s="3355" t="s">
        <v>2566</v>
      </c>
      <c r="O17" s="3356"/>
      <c r="P17" s="3357"/>
      <c r="R17" s="2298" t="s">
        <v>2311</v>
      </c>
      <c r="S17" s="144"/>
    </row>
    <row r="18" spans="1:19" ht="14.4">
      <c r="A18" s="117"/>
      <c r="B18" s="128"/>
      <c r="C18" s="129"/>
      <c r="D18" s="2641"/>
      <c r="E18" s="130" t="s">
        <v>219</v>
      </c>
      <c r="F18" s="131" t="s">
        <v>220</v>
      </c>
      <c r="G18" s="1366" t="s">
        <v>221</v>
      </c>
      <c r="H18" s="972" t="s">
        <v>222</v>
      </c>
      <c r="I18" s="973" t="s">
        <v>223</v>
      </c>
      <c r="J18" s="1983"/>
      <c r="K18" s="2604" t="s">
        <v>2567</v>
      </c>
      <c r="L18" s="2605" t="s">
        <v>2568</v>
      </c>
      <c r="M18" s="2606" t="s">
        <v>2569</v>
      </c>
      <c r="N18" s="2604" t="s">
        <v>2567</v>
      </c>
      <c r="O18" s="2605" t="s">
        <v>2568</v>
      </c>
      <c r="P18" s="2606" t="s">
        <v>2569</v>
      </c>
      <c r="R18" s="2299" t="s">
        <v>2309</v>
      </c>
      <c r="S18" s="2299" t="s">
        <v>2310</v>
      </c>
    </row>
    <row r="19" spans="1:19" ht="14.4">
      <c r="A19" s="133"/>
      <c r="B19" s="115" t="s">
        <v>224</v>
      </c>
      <c r="C19" s="3022" t="s">
        <v>3148</v>
      </c>
      <c r="D19" s="111">
        <f t="shared" ref="D19:D26" si="1">ROUND($D$3*E19/$E$3,2)</f>
        <v>54423.199999999997</v>
      </c>
      <c r="E19" s="134">
        <f t="shared" ref="E19:E26" si="2">SUM(F19:G19)</f>
        <v>81634.8</v>
      </c>
      <c r="F19" s="135">
        <f>'数据-基础表'!I13</f>
        <v>81634.8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54423.199999999997</v>
      </c>
      <c r="S19" s="2300">
        <f t="shared" si="5"/>
        <v>81634.8</v>
      </c>
    </row>
    <row r="20" spans="1:19" ht="14.4">
      <c r="A20" s="138"/>
      <c r="B20" s="115" t="s">
        <v>225</v>
      </c>
      <c r="C20" s="3022" t="s">
        <v>3152</v>
      </c>
      <c r="D20" s="111">
        <f t="shared" si="1"/>
        <v>13605.8</v>
      </c>
      <c r="E20" s="134">
        <f t="shared" si="2"/>
        <v>20408.7</v>
      </c>
      <c r="F20" s="135">
        <f>'数据-基础表'!K13</f>
        <v>20408.7</v>
      </c>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13605.8</v>
      </c>
      <c r="S20" s="2300">
        <f t="shared" si="5"/>
        <v>20408.7</v>
      </c>
    </row>
    <row r="21" spans="1:19" ht="14.4">
      <c r="A21" s="138"/>
      <c r="B21" s="115" t="s">
        <v>225</v>
      </c>
      <c r="C21" s="3022"/>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ht="14.4">
      <c r="A22" s="138"/>
      <c r="B22" s="115" t="s">
        <v>225</v>
      </c>
      <c r="C22" s="3213"/>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ht="14.4">
      <c r="A23" s="138"/>
      <c r="B23" s="115" t="s">
        <v>225</v>
      </c>
      <c r="C23" s="3213"/>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ht="14.4">
      <c r="A24" s="138"/>
      <c r="B24" s="115" t="s">
        <v>225</v>
      </c>
      <c r="C24" s="3213"/>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ht="14.4">
      <c r="A25" s="138"/>
      <c r="B25" s="115" t="s">
        <v>225</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ht="14.4">
      <c r="A26" s="138"/>
      <c r="B26" s="115" t="s">
        <v>225</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 thickBot="1">
      <c r="A27" s="138"/>
      <c r="B27" s="111"/>
      <c r="C27" s="127" t="s">
        <v>214</v>
      </c>
      <c r="D27" s="134">
        <f>SUM(D19:D26)</f>
        <v>68029</v>
      </c>
      <c r="E27" s="143">
        <f>IF(SUM(E19:E26)='数据-基础表'!BA5,SUM(E19:E26),IF(F27="地上面积有误","面积有误","地下面积有误"))</f>
        <v>102043.5</v>
      </c>
      <c r="F27" s="134">
        <f>IF(SUM(F19:F26)=E8,SUM(F19:F26),"地上面积有误")</f>
        <v>102043.5</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68029</v>
      </c>
      <c r="S27" s="275">
        <f>IF(SUM(S19:S26)=$E$3,SUM(S19:S26),SUM(S19:S26)&amp;"误差"&amp;ROUND(SUM(S19:S26)-E3,2))</f>
        <v>102043.5</v>
      </c>
    </row>
    <row r="28" spans="1:19" ht="14.4">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ht="14.4">
      <c r="A29" s="138"/>
      <c r="B29" s="115" t="s">
        <v>226</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ht="14.4">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9"/>
      <c r="B31" s="1370" t="s">
        <v>228</v>
      </c>
      <c r="C31" s="2329" t="s">
        <v>2322</v>
      </c>
      <c r="D31" s="1371">
        <f>D27+D30</f>
        <v>68029</v>
      </c>
      <c r="E31" s="1371">
        <f>E27+E30</f>
        <v>102043.5</v>
      </c>
      <c r="F31" s="1372">
        <f>F27+F30</f>
        <v>102043.5</v>
      </c>
      <c r="G31" s="1373">
        <f>G27+G30</f>
        <v>0</v>
      </c>
      <c r="H31" s="1983"/>
      <c r="I31" s="1983"/>
      <c r="J31" s="1983"/>
      <c r="K31" s="1983"/>
      <c r="L31" s="1983"/>
    </row>
    <row r="32" spans="1:19" ht="14.4">
      <c r="A32" s="1983"/>
      <c r="B32" s="2362" t="s">
        <v>2321</v>
      </c>
      <c r="C32" s="2646"/>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1" sqref="G21"/>
    </sheetView>
  </sheetViews>
  <sheetFormatPr defaultColWidth="13.77734375" defaultRowHeight="13.2"/>
  <cols>
    <col min="1" max="1" width="20.88671875" style="1216" customWidth="1"/>
    <col min="2" max="3" width="12" style="1203" customWidth="1"/>
    <col min="4" max="4" width="9.109375" style="1217" customWidth="1"/>
    <col min="5" max="5" width="16" style="1203"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7.109375" style="1203" customWidth="1"/>
    <col min="32" max="34" width="7.21875" style="1203" customWidth="1"/>
    <col min="35" max="39" width="8" style="1203" customWidth="1"/>
    <col min="40" max="41" width="13.77734375" style="1997"/>
    <col min="42" max="42" width="0" style="1997" hidden="1" customWidth="1"/>
    <col min="43" max="83" width="13.77734375" style="1997"/>
    <col min="84" max="16384" width="13.77734375" style="1203"/>
  </cols>
  <sheetData>
    <row r="1" spans="1:83" ht="18" thickBot="1">
      <c r="A1" s="148" t="s">
        <v>233</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 thickBot="1">
      <c r="A2" s="149" t="s">
        <v>234</v>
      </c>
      <c r="B2" s="2337">
        <f>项目基本情况!D3</f>
        <v>43626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4.4"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7.6">
      <c r="A5" s="2303"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2825</v>
      </c>
      <c r="O5" s="163" t="s">
        <v>245</v>
      </c>
      <c r="P5" s="165" t="s">
        <v>246</v>
      </c>
      <c r="Q5" s="166" t="s">
        <v>247</v>
      </c>
      <c r="R5" s="167" t="s">
        <v>248</v>
      </c>
      <c r="S5" s="2620" t="s">
        <v>2570</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2323</v>
      </c>
      <c r="AI5" s="171" t="s">
        <v>2292</v>
      </c>
      <c r="AJ5" s="171" t="s">
        <v>257</v>
      </c>
      <c r="AK5" s="159" t="s">
        <v>258</v>
      </c>
      <c r="AL5" s="159" t="s">
        <v>259</v>
      </c>
      <c r="AM5" s="172" t="s">
        <v>260</v>
      </c>
      <c r="AN5" s="2390"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4">
      <c r="A6" s="2301" t="str">
        <f>'数据-汇总表'!C19</f>
        <v>洋房</v>
      </c>
      <c r="B6" s="2336" t="str">
        <f>IF(A6=0,"","经营性")</f>
        <v>经营性</v>
      </c>
      <c r="C6" s="173" t="s">
        <v>922</v>
      </c>
      <c r="D6" s="2307">
        <f>SUMIF(项目基本情况!D$15:I$15,C6,项目基本情况!D$18:I$18)</f>
        <v>50</v>
      </c>
      <c r="E6" s="2308">
        <f>IF(B6="","",SUMIF(项目基本情况!D$15:I$15,C6,项目基本情况!D$17:I$17))</f>
        <v>60083</v>
      </c>
      <c r="F6" s="174">
        <f>SUMIF(项目基本情况!D$15:I$15,C6,项目基本情况!D$19:I$19)</f>
        <v>45.08</v>
      </c>
      <c r="G6" s="175">
        <f>IF(ISERROR(ROUND(POWER(1+H6,D6-F6)*(POWER(1+H6,F6)-1)/(POWER(1+H6,D6)-1),3)),0,ROUND(POWER(1+H6,D6-F6)*(POWER(1+H6,F6)-1)/(POWER(1+H6,D6)-1),3))</f>
        <v>0.97</v>
      </c>
      <c r="H6" s="3023">
        <v>4.4999999999999998E-2</v>
      </c>
      <c r="I6" s="3023">
        <v>0.05</v>
      </c>
      <c r="J6" s="176">
        <v>8.5000000000000006E-2</v>
      </c>
      <c r="K6" s="179">
        <f>SUMIF('数据-汇总表'!C$19:C$33,'数据-取费表'!A6,'数据-汇总表'!E$19:E$33)</f>
        <v>81634.8</v>
      </c>
      <c r="L6" s="3024">
        <v>2800</v>
      </c>
      <c r="M6" s="177">
        <f t="shared" ref="M6:M14" si="0">ROUND(K6*L6/10000,0)</f>
        <v>22858</v>
      </c>
      <c r="N6" s="3025">
        <v>0</v>
      </c>
      <c r="O6" s="177">
        <f>IF($N$5="成新度","——",ROUND(M6*N6,0))</f>
        <v>0</v>
      </c>
      <c r="P6" s="178">
        <f>IF($N$5="成新度","——",M6-O6)</f>
        <v>22858</v>
      </c>
      <c r="Q6" s="3026">
        <v>0.15</v>
      </c>
      <c r="R6" s="179">
        <f>SUMIF('数据-汇总表'!C$19:C$33,A6,'数据-汇总表'!R$19:R$33)</f>
        <v>54423.199999999997</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v>1</v>
      </c>
      <c r="Z6" s="183"/>
      <c r="AA6" s="176"/>
      <c r="AB6" s="176"/>
      <c r="AC6" s="2323"/>
      <c r="AD6" s="184"/>
      <c r="AE6" s="972">
        <f ca="1">IF(AN6="",0,SUMIF(INDIRECT("'"&amp;AN6&amp;"'"&amp;"!E:E"),$AE$5,INDIRECT("'"&amp;AN6&amp;"'"&amp;"!F:F")))</f>
        <v>0</v>
      </c>
      <c r="AF6" s="141"/>
      <c r="AG6" s="1213">
        <f>IF(AF6="",0,AE6-AF6)</f>
        <v>0</v>
      </c>
      <c r="AH6" s="141"/>
      <c r="AI6" s="187">
        <v>365</v>
      </c>
      <c r="AJ6" s="188"/>
      <c r="AK6" s="189">
        <v>1.4999999999999999E-2</v>
      </c>
      <c r="AL6" s="190">
        <v>1.5E-3</v>
      </c>
      <c r="AM6" s="3037">
        <v>0.01</v>
      </c>
      <c r="AN6" s="2391"/>
      <c r="AO6" s="1999"/>
      <c r="AP6" s="1204">
        <f>ROUND(1-1/(1+H6)^F6,3)</f>
        <v>0.86299999999999999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4">
      <c r="A7" s="2301" t="str">
        <f>'数据-汇总表'!C20</f>
        <v>商业</v>
      </c>
      <c r="B7" s="2336" t="str">
        <f t="shared" ref="B7:B13" si="1">IF(A7=0,"","经营性")</f>
        <v>经营性</v>
      </c>
      <c r="C7" s="173" t="s">
        <v>3024</v>
      </c>
      <c r="D7" s="2307">
        <f>SUMIF(项目基本情况!D$15:I$15,C7,项目基本情况!D$18:I$18)</f>
        <v>40</v>
      </c>
      <c r="E7" s="2308">
        <f>IF(B7="","",SUMIF(项目基本情况!D$15:I$15,C7,项目基本情况!D$17:I$17))</f>
        <v>56430</v>
      </c>
      <c r="F7" s="174">
        <f>SUMIF(项目基本情况!D$15:I$15,C7,项目基本情况!D$19:I$19)</f>
        <v>35.07</v>
      </c>
      <c r="G7" s="175">
        <f t="shared" ref="G7:G11" si="2">IF(ISERROR(ROUND(POWER(1+H7,D7-F7)*(POWER(1+H7,F7)-1)/(POWER(1+H7,D7)-1),3)),0,ROUND(POWER(1+H7,D7-F7)*(POWER(1+H7,F7)-1)/(POWER(1+H7,D7)-1),3))</f>
        <v>0.96</v>
      </c>
      <c r="H7" s="3023">
        <v>5.5E-2</v>
      </c>
      <c r="I7" s="3023">
        <v>0.06</v>
      </c>
      <c r="J7" s="176">
        <v>8.5000000000000006E-2</v>
      </c>
      <c r="K7" s="179">
        <f>SUMIF('数据-汇总表'!C$19:C$33,'数据-取费表'!A7,'数据-汇总表'!E$19:E$33)</f>
        <v>20408.7</v>
      </c>
      <c r="L7" s="3024">
        <f>L6</f>
        <v>2800</v>
      </c>
      <c r="M7" s="177">
        <f t="shared" si="0"/>
        <v>5714</v>
      </c>
      <c r="N7" s="3025">
        <v>0</v>
      </c>
      <c r="O7" s="177">
        <f t="shared" ref="O7:O14" si="3">IF($N$5="成新度","——",ROUND(M7*N7,0))</f>
        <v>0</v>
      </c>
      <c r="P7" s="178">
        <f t="shared" ref="P7:P14" si="4">IF($N$5="成新度","——",M7-O7)</f>
        <v>5714</v>
      </c>
      <c r="Q7" s="3026">
        <v>0.2</v>
      </c>
      <c r="R7" s="179">
        <f>SUMIF('数据-汇总表'!C$19:C$33,A7,'数据-汇总表'!R$19:R$33)</f>
        <v>13605.8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2.5</v>
      </c>
      <c r="V7" s="181">
        <v>0.03</v>
      </c>
      <c r="W7" s="181">
        <v>0.1</v>
      </c>
      <c r="X7" s="2320"/>
      <c r="Y7" s="182">
        <v>1</v>
      </c>
      <c r="Z7" s="183"/>
      <c r="AA7" s="176"/>
      <c r="AB7" s="176"/>
      <c r="AC7" s="2323"/>
      <c r="AD7" s="184"/>
      <c r="AE7" s="972">
        <f t="shared" ref="AE7:AE13" ca="1" si="6">IF(AN7="",0,SUMIF(INDIRECT("'"&amp;AN7&amp;"'"&amp;"!E:E"),$AE$5,INDIRECT("'"&amp;AN7&amp;"'"&amp;"!F:F")))</f>
        <v>32.07</v>
      </c>
      <c r="AF7" s="141"/>
      <c r="AG7" s="1213">
        <f t="shared" ref="AG7:AG13" si="7">IF(AF7="",0,AE7-AF7)</f>
        <v>0</v>
      </c>
      <c r="AH7" s="141"/>
      <c r="AI7" s="187">
        <v>365</v>
      </c>
      <c r="AJ7" s="188"/>
      <c r="AK7" s="189">
        <v>1.4999999999999999E-2</v>
      </c>
      <c r="AL7" s="190">
        <v>1.5E-3</v>
      </c>
      <c r="AM7" s="3037">
        <v>0.01</v>
      </c>
      <c r="AN7" s="2391" t="s">
        <v>3153</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4">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3037"/>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4">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IF(ISERROR(ROUND(POWER(1+H9,D9-F9)*(POWER(1+H9,F9)-1)/(POWER(1+H9,D9)-1),3)),0,ROUND(POWER(1+H9,D9-F9)*(POWER(1+H9,F9)-1)/(POWER(1+H9,D9)-1),3))</f>
        <v>0</v>
      </c>
      <c r="H9" s="3023"/>
      <c r="I9" s="302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3212"/>
      <c r="X9" s="2320"/>
      <c r="Y9" s="182"/>
      <c r="Z9" s="183"/>
      <c r="AA9" s="176"/>
      <c r="AB9" s="176"/>
      <c r="AC9" s="2323"/>
      <c r="AD9" s="184"/>
      <c r="AE9" s="972">
        <f t="shared" ca="1" si="6"/>
        <v>0</v>
      </c>
      <c r="AF9" s="141"/>
      <c r="AG9" s="1213">
        <f t="shared" si="7"/>
        <v>0</v>
      </c>
      <c r="AH9" s="141"/>
      <c r="AI9" s="187"/>
      <c r="AJ9" s="188"/>
      <c r="AK9" s="189"/>
      <c r="AL9" s="190"/>
      <c r="AM9" s="3037"/>
      <c r="AN9" s="2391"/>
      <c r="AO9" s="1999"/>
      <c r="AP9" s="1204">
        <f>ROUND(1-1/(1+H9)^F9,3)</f>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4">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IF(ISERROR(ROUND(POWER(1+H10,D10-F10)*(POWER(1+H10,F10)-1)/(POWER(1+H10,D10)-1),3)),0,ROUND(POWER(1+H10,D10-F10)*(POWER(1+H10,F10)-1)/(POWER(1+H10,D10)-1),3))</f>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3212"/>
      <c r="X10" s="2320"/>
      <c r="Y10" s="182"/>
      <c r="Z10" s="183"/>
      <c r="AA10" s="176"/>
      <c r="AB10" s="176"/>
      <c r="AC10" s="2323"/>
      <c r="AD10" s="184"/>
      <c r="AE10" s="972">
        <f t="shared" ca="1" si="6"/>
        <v>0</v>
      </c>
      <c r="AF10" s="141"/>
      <c r="AG10" s="1213">
        <f t="shared" si="7"/>
        <v>0</v>
      </c>
      <c r="AH10" s="141"/>
      <c r="AI10" s="187"/>
      <c r="AJ10" s="188"/>
      <c r="AK10" s="189"/>
      <c r="AL10" s="190"/>
      <c r="AM10" s="3037"/>
      <c r="AN10" s="2391"/>
      <c r="AO10" s="1999"/>
      <c r="AP10" s="1204">
        <f>ROUND(1-1/(1+H10)^F10,3)</f>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4">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3023"/>
      <c r="I11" s="3023"/>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0"/>
      <c r="V11" s="181"/>
      <c r="W11" s="181"/>
      <c r="X11" s="2323"/>
      <c r="Y11" s="182"/>
      <c r="Z11" s="195"/>
      <c r="AA11" s="176"/>
      <c r="AB11" s="176"/>
      <c r="AC11" s="2323"/>
      <c r="AD11" s="184"/>
      <c r="AE11" s="972">
        <f t="shared" ca="1" si="6"/>
        <v>0</v>
      </c>
      <c r="AF11" s="141"/>
      <c r="AG11" s="1213">
        <f t="shared" si="7"/>
        <v>0</v>
      </c>
      <c r="AH11" s="141"/>
      <c r="AI11" s="187"/>
      <c r="AJ11" s="188"/>
      <c r="AK11" s="189"/>
      <c r="AL11" s="190"/>
      <c r="AM11" s="3037"/>
      <c r="AN11" s="2391"/>
      <c r="AO11" s="1999"/>
      <c r="AP11" s="1204">
        <f t="shared" si="8"/>
        <v>0</v>
      </c>
      <c r="AQ11" s="1999">
        <f>K9/35</f>
        <v>0</v>
      </c>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4">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4">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3.8">
      <c r="A14" s="2302" t="s">
        <v>2314</v>
      </c>
      <c r="B14" s="2305" t="s">
        <v>1679</v>
      </c>
      <c r="C14" s="2306" t="s">
        <v>2314</v>
      </c>
      <c r="D14" s="2307"/>
      <c r="E14" s="2308"/>
      <c r="F14" s="174"/>
      <c r="G14" s="175"/>
      <c r="H14" s="2309"/>
      <c r="I14" s="2309"/>
      <c r="J14" s="2309"/>
      <c r="K14" s="179">
        <f>SUMIF('数据-汇总表'!C$19:C$33,'数据-取费表'!A14,'数据-汇总表'!E$19:E$33)</f>
        <v>0</v>
      </c>
      <c r="L14" s="193">
        <f>L6</f>
        <v>2800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8.8">
      <c r="A15" s="2311" t="s">
        <v>2316</v>
      </c>
      <c r="B15" s="2305" t="s">
        <v>1679</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 thickBot="1">
      <c r="A16" s="198" t="s">
        <v>261</v>
      </c>
      <c r="B16" s="199"/>
      <c r="C16" s="200"/>
      <c r="D16" s="201"/>
      <c r="E16" s="199"/>
      <c r="F16" s="199"/>
      <c r="G16" s="202">
        <f>ROUND(SUMPRODUCT(G6:G13,K6:K13)/SUMPRODUCT((G6:G13&gt;0)*(K6:K13)),3)</f>
        <v>0.96799999999999997</v>
      </c>
      <c r="H16" s="203">
        <f>ROUND(SUMPRODUCT(H6:H13,K6:K13)/SUMPRODUCT((H6:H13&gt;0)*(K6:K13)),3)</f>
        <v>4.7E-2</v>
      </c>
      <c r="I16" s="204"/>
      <c r="J16" s="204"/>
      <c r="K16" s="205">
        <f>SUM(K6:K15)</f>
        <v>102043.5</v>
      </c>
      <c r="L16" s="206">
        <f>ROUND(M16*10000/SUM(K6:K14),0)</f>
        <v>2800</v>
      </c>
      <c r="M16" s="206">
        <f>SUM(M6:M14)</f>
        <v>28572</v>
      </c>
      <c r="N16" s="207">
        <f>ROUND(SUMPRODUCT(M6:M14,N6:N14)/M16,3)</f>
        <v>0</v>
      </c>
      <c r="O16" s="206">
        <f>SUM(O6:O14)</f>
        <v>0</v>
      </c>
      <c r="P16" s="206">
        <f>SUM(P6:P14)</f>
        <v>28572</v>
      </c>
      <c r="Q16" s="208">
        <f>ROUND(SUMPRODUCT(Q6:Q13,K6:K13)/SUMPRODUCT((Q6:Q13&gt;0)*(K6:K13)),2)</f>
        <v>0.16</v>
      </c>
      <c r="R16" s="2310">
        <f>SUM(R6:R13)</f>
        <v>68029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8"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4">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4">
      <c r="A20" s="219" t="s">
        <v>264</v>
      </c>
      <c r="B20" s="220">
        <v>3</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4">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4">
      <c r="A22" s="219" t="s">
        <v>266</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4">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4.4"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8">
      <c r="A27" s="226" t="s">
        <v>2338</v>
      </c>
      <c r="B27" s="227">
        <v>290</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3184" t="s">
        <v>3022</v>
      </c>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8.8">
      <c r="A28" s="228" t="s">
        <v>2339</v>
      </c>
      <c r="B28" s="229">
        <v>290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9.4" thickBot="1">
      <c r="A29" s="231" t="s">
        <v>2337</v>
      </c>
      <c r="B29" s="232">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8.8">
      <c r="A30" s="235" t="s">
        <v>272</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8.8">
      <c r="A31" s="228" t="s">
        <v>273</v>
      </c>
      <c r="B31" s="230">
        <f>B30-B32</f>
        <v>100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9.4" thickBot="1">
      <c r="A32" s="237" t="s">
        <v>274</v>
      </c>
      <c r="B32" s="1377">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4">
      <c r="A33" s="226" t="s">
        <v>277</v>
      </c>
      <c r="B33" s="1378">
        <v>0.05</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4">
      <c r="A34" s="228" t="s">
        <v>278</v>
      </c>
      <c r="B34" s="233">
        <v>0.08</v>
      </c>
      <c r="C34" s="2364" t="s">
        <v>2891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4">
      <c r="A35" s="228" t="s">
        <v>275</v>
      </c>
      <c r="B35" s="229">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2893</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4">
      <c r="A37" s="235" t="s">
        <v>279</v>
      </c>
      <c r="B37" s="236">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4">
      <c r="A38" s="228" t="s">
        <v>280</v>
      </c>
      <c r="B38" s="233">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4">
      <c r="A39" s="2488" t="s">
        <v>2454</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2455</v>
      </c>
      <c r="B40" s="2480">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4">
      <c r="A41" s="226" t="s">
        <v>281</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4">
      <c r="A42" s="979" t="s">
        <v>282</v>
      </c>
      <c r="B42" s="240">
        <v>0.05</v>
      </c>
      <c r="C42" s="3096">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4">
      <c r="A43" s="979" t="s">
        <v>283</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4">
      <c r="A44" s="239" t="s">
        <v>284</v>
      </c>
      <c r="B44" s="242">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4">
      <c r="A45" s="239" t="s">
        <v>285</v>
      </c>
      <c r="B45" s="240">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4">
      <c r="A46" s="239" t="s">
        <v>286</v>
      </c>
      <c r="B46" s="240">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287</v>
      </c>
      <c r="B47" s="244"/>
      <c r="C47" s="3072"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4">
      <c r="A48" s="245" t="s">
        <v>288</v>
      </c>
      <c r="B48" s="246">
        <v>0.03</v>
      </c>
      <c r="C48" s="3073"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3"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4">
      <c r="A50" s="247" t="s">
        <v>290</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4">
      <c r="A52" s="247" t="s">
        <v>292</v>
      </c>
      <c r="B52" s="250">
        <f>SUMIF(A54:A63,B53,B54:B63)</f>
        <v>20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8.8">
      <c r="A53" s="228" t="s">
        <v>293</v>
      </c>
      <c r="B53" s="251" t="s">
        <v>1096</v>
      </c>
      <c r="C53" s="3074" t="s">
        <v>2901</v>
      </c>
      <c r="D53" s="3075"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4">
      <c r="A54" s="3077" t="s">
        <v>2903</v>
      </c>
      <c r="B54" s="186">
        <v>20</v>
      </c>
      <c r="C54" s="1993">
        <v>30</v>
      </c>
      <c r="D54" s="307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4">
      <c r="A55" s="3077" t="s">
        <v>2904</v>
      </c>
      <c r="B55" s="186"/>
      <c r="C55" s="1993">
        <v>24</v>
      </c>
      <c r="D55" s="307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4">
      <c r="A56" s="3077" t="s">
        <v>2905</v>
      </c>
      <c r="B56" s="186"/>
      <c r="C56" s="1993">
        <v>18</v>
      </c>
      <c r="D56" s="307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4">
      <c r="A57" s="3077" t="s">
        <v>2906</v>
      </c>
      <c r="B57" s="186"/>
      <c r="C57" s="1993">
        <v>12</v>
      </c>
      <c r="D57" s="307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4">
      <c r="A58" s="3077" t="s">
        <v>2907</v>
      </c>
      <c r="B58" s="186"/>
      <c r="C58" s="1993">
        <v>3</v>
      </c>
      <c r="D58" s="307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4">
      <c r="A59" s="3077" t="s">
        <v>2908</v>
      </c>
      <c r="B59" s="186"/>
      <c r="C59" s="1993">
        <v>1.5</v>
      </c>
      <c r="D59" s="307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4">
      <c r="A60" s="3077" t="s">
        <v>2909</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4">
      <c r="A61" s="3077" t="s">
        <v>2910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4">
      <c r="A62" s="3077" t="s">
        <v>2911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8" t="s">
        <v>2912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4.4"/>
  <cols>
    <col min="1" max="1" width="9.44140625" style="2007" customWidth="1"/>
    <col min="2" max="2" width="24.44140625" style="2022" customWidth="1"/>
    <col min="3" max="3" width="24.44140625" style="2024" customWidth="1"/>
    <col min="4" max="4" width="2.6640625" style="2024" customWidth="1"/>
    <col min="5" max="5" width="5.88671875" style="2024" customWidth="1"/>
    <col min="6" max="6" width="27" style="2022" customWidth="1"/>
    <col min="7" max="7" width="27" style="2023" customWidth="1"/>
    <col min="8" max="8" width="11.88671875" style="2022" customWidth="1"/>
    <col min="9" max="9" width="16.77734375" style="2023" customWidth="1"/>
    <col min="10" max="10" width="2.6640625" style="2024" customWidth="1"/>
    <col min="11" max="11" width="11.88671875" style="2022" customWidth="1"/>
    <col min="12" max="12" width="16.77734375" style="2023" customWidth="1"/>
    <col min="13" max="13" width="2.6640625" style="2024" customWidth="1"/>
    <col min="14" max="14" width="11.88671875" style="2022" customWidth="1"/>
    <col min="15" max="15" width="16.77734375" style="2023" customWidth="1"/>
    <col min="16" max="16" width="2.6640625" style="2024" customWidth="1"/>
    <col min="17" max="17" width="11.88671875" style="2022" customWidth="1"/>
    <col min="18" max="18" width="16.77734375" style="2025" customWidth="1"/>
    <col min="19" max="16384" width="9" style="2007"/>
  </cols>
  <sheetData>
    <row r="1" spans="1:18" s="2006" customFormat="1" ht="18" thickBot="1">
      <c r="A1" s="3367" t="s">
        <v>1663</v>
      </c>
      <c r="B1" s="3368"/>
      <c r="C1" s="3368"/>
      <c r="D1" s="3368"/>
      <c r="E1" s="3368"/>
      <c r="F1" s="3368"/>
      <c r="G1" s="3368"/>
      <c r="H1" s="2001"/>
      <c r="I1" s="2002"/>
      <c r="J1" s="2003"/>
      <c r="K1" s="2001"/>
      <c r="L1" s="2002"/>
      <c r="M1" s="2003"/>
      <c r="N1" s="2001"/>
      <c r="O1" s="2002"/>
      <c r="P1" s="2003"/>
      <c r="Q1" s="2004"/>
      <c r="R1" s="2005"/>
    </row>
    <row r="2" spans="1:18" ht="15" thickBot="1">
      <c r="A2" s="1221"/>
      <c r="B2" s="1222"/>
      <c r="C2" s="1223" t="s">
        <v>1664</v>
      </c>
      <c r="D2" s="1224"/>
      <c r="E2" s="1225"/>
      <c r="F2" s="1226"/>
      <c r="G2" s="1223" t="s">
        <v>1665</v>
      </c>
      <c r="H2" s="2007"/>
      <c r="I2" s="2007"/>
      <c r="J2" s="2007"/>
      <c r="K2" s="2007"/>
      <c r="L2" s="2007"/>
      <c r="M2" s="2007"/>
      <c r="N2" s="2007"/>
      <c r="O2" s="2007"/>
      <c r="P2" s="2007"/>
      <c r="Q2" s="2007"/>
      <c r="R2" s="2007"/>
    </row>
    <row r="3" spans="1:18" ht="86.4">
      <c r="A3" s="1227" t="s">
        <v>1666</v>
      </c>
      <c r="B3" s="1228" t="s">
        <v>1653</v>
      </c>
      <c r="C3" s="3188" t="s">
        <v>3076</v>
      </c>
      <c r="D3" s="2008"/>
      <c r="E3" s="1229" t="s">
        <v>1666</v>
      </c>
      <c r="F3" s="1230" t="s">
        <v>1654</v>
      </c>
      <c r="G3" s="3081" t="s">
        <v>2917</v>
      </c>
      <c r="H3" s="2007"/>
      <c r="I3" s="2007"/>
      <c r="J3" s="2007"/>
      <c r="K3" s="2007"/>
      <c r="L3" s="2007"/>
      <c r="M3" s="2007"/>
      <c r="N3" s="2007"/>
      <c r="O3" s="2007"/>
      <c r="P3" s="2007"/>
      <c r="Q3" s="2007"/>
      <c r="R3" s="2007"/>
    </row>
    <row r="4" spans="1:18" ht="43.2">
      <c r="A4" s="1229"/>
      <c r="B4" s="1231" t="s">
        <v>1667</v>
      </c>
      <c r="C4" s="3189" t="s">
        <v>3075</v>
      </c>
      <c r="D4" s="2008"/>
      <c r="E4" s="1232"/>
      <c r="F4" s="1233" t="s">
        <v>1668</v>
      </c>
      <c r="G4" s="3080" t="s">
        <v>2914</v>
      </c>
      <c r="H4" s="2007"/>
      <c r="I4" s="2007"/>
      <c r="J4" s="2007"/>
      <c r="K4" s="2007"/>
      <c r="L4" s="2007"/>
      <c r="M4" s="2007"/>
      <c r="N4" s="2007"/>
      <c r="O4" s="2007"/>
      <c r="P4" s="2007"/>
      <c r="Q4" s="2007"/>
      <c r="R4" s="2007"/>
    </row>
    <row r="5" spans="1:18" ht="43.2">
      <c r="A5" s="1229"/>
      <c r="B5" s="1231" t="s">
        <v>1669</v>
      </c>
      <c r="C5" s="3079" t="s">
        <v>2918</v>
      </c>
      <c r="D5" s="2008"/>
      <c r="E5" s="1232"/>
      <c r="F5" s="1231" t="s">
        <v>2544</v>
      </c>
      <c r="G5" s="3080" t="s">
        <v>2915</v>
      </c>
      <c r="H5" s="2007"/>
      <c r="I5" s="2007"/>
      <c r="J5" s="2007"/>
      <c r="K5" s="2007"/>
      <c r="L5" s="2007"/>
      <c r="M5" s="2007"/>
      <c r="N5" s="2007"/>
      <c r="O5" s="2007"/>
      <c r="P5" s="2007"/>
      <c r="Q5" s="2007"/>
      <c r="R5" s="2007"/>
    </row>
    <row r="6" spans="1:18" ht="57.6">
      <c r="A6" s="1229"/>
      <c r="B6" s="1231" t="s">
        <v>1655</v>
      </c>
      <c r="C6" s="3190" t="s">
        <v>3077</v>
      </c>
      <c r="D6" s="2008"/>
      <c r="E6" s="1232"/>
      <c r="F6" s="1231" t="s">
        <v>2545</v>
      </c>
      <c r="G6" s="3080" t="s">
        <v>2913</v>
      </c>
      <c r="H6" s="2007"/>
      <c r="I6" s="2007"/>
      <c r="J6" s="2007"/>
      <c r="K6" s="2007"/>
      <c r="L6" s="2007"/>
      <c r="M6" s="2007"/>
      <c r="N6" s="2007"/>
      <c r="O6" s="2007"/>
      <c r="P6" s="2007"/>
      <c r="Q6" s="2007"/>
      <c r="R6" s="2007"/>
    </row>
    <row r="7" spans="1:18" ht="43.8" thickBot="1">
      <c r="A7" s="1229"/>
      <c r="B7" s="1231" t="s">
        <v>2544</v>
      </c>
      <c r="C7" s="3190" t="s">
        <v>3078</v>
      </c>
      <c r="D7" s="2009"/>
      <c r="E7" s="1234"/>
      <c r="F7" s="1235" t="s">
        <v>1670</v>
      </c>
      <c r="G7" s="3082" t="s">
        <v>2916</v>
      </c>
      <c r="H7" s="2007"/>
      <c r="I7" s="2007"/>
      <c r="J7" s="2007"/>
      <c r="K7" s="2007"/>
      <c r="L7" s="2007"/>
      <c r="M7" s="2007"/>
      <c r="N7" s="2007"/>
      <c r="O7" s="2007"/>
      <c r="P7" s="2007"/>
      <c r="Q7" s="2007"/>
      <c r="R7" s="2007"/>
    </row>
    <row r="8" spans="1:18" ht="28.8">
      <c r="A8" s="1229"/>
      <c r="B8" s="1231" t="s">
        <v>2545</v>
      </c>
      <c r="C8" s="3190" t="s">
        <v>3059</v>
      </c>
      <c r="D8" s="2009"/>
      <c r="E8" s="2009"/>
      <c r="F8" s="1552"/>
      <c r="G8" s="1552"/>
      <c r="H8" s="2007"/>
      <c r="I8" s="2007"/>
      <c r="J8" s="2007"/>
      <c r="K8" s="2007"/>
      <c r="L8" s="2007"/>
      <c r="M8" s="2007"/>
      <c r="N8" s="2007"/>
      <c r="O8" s="2007"/>
      <c r="P8" s="2007"/>
      <c r="Q8" s="2007"/>
      <c r="R8" s="2007"/>
    </row>
    <row r="9" spans="1:18" ht="43.2">
      <c r="A9" s="1229"/>
      <c r="B9" s="1231" t="s">
        <v>1656</v>
      </c>
      <c r="C9" s="3189" t="s">
        <v>3079</v>
      </c>
      <c r="D9" s="2008"/>
      <c r="E9" s="2009"/>
      <c r="F9" s="1552"/>
      <c r="G9" s="1552"/>
      <c r="H9" s="2007"/>
      <c r="I9" s="2007"/>
      <c r="J9" s="2007"/>
      <c r="K9" s="2007"/>
      <c r="L9" s="2007"/>
      <c r="M9" s="2007"/>
      <c r="N9" s="2007"/>
      <c r="O9" s="2007"/>
      <c r="P9" s="2007"/>
      <c r="Q9" s="2007"/>
      <c r="R9" s="2007"/>
    </row>
    <row r="10" spans="1:18" s="2015" customFormat="1" ht="15" thickBot="1">
      <c r="A10" s="1236"/>
      <c r="B10" s="1237" t="s">
        <v>1671</v>
      </c>
      <c r="C10" s="3191" t="s">
        <v>3080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7.399999999999999">
      <c r="A12" s="2010"/>
      <c r="B12" s="2009"/>
      <c r="C12" s="2008"/>
      <c r="D12" s="2577"/>
      <c r="E12" s="2008"/>
      <c r="F12" s="2009"/>
      <c r="G12" s="2011"/>
      <c r="H12" s="2016"/>
      <c r="I12" s="2017"/>
      <c r="J12" s="2016"/>
      <c r="K12" s="2016"/>
      <c r="L12" s="2018"/>
      <c r="M12" s="2016"/>
      <c r="N12" s="2019"/>
      <c r="O12" s="2020"/>
      <c r="P12" s="2021"/>
      <c r="Q12" s="2019"/>
      <c r="R12" s="2005"/>
    </row>
    <row r="13" spans="1:18" ht="18" thickBot="1">
      <c r="A13" s="2576" t="s">
        <v>1672</v>
      </c>
      <c r="B13" s="2577"/>
      <c r="C13" s="2577"/>
      <c r="D13" s="1224"/>
      <c r="E13" s="2577"/>
      <c r="F13" s="2577"/>
      <c r="G13" s="2577"/>
    </row>
    <row r="14" spans="1:18" ht="15" thickBot="1">
      <c r="A14" s="1238"/>
      <c r="B14" s="1239"/>
      <c r="C14" s="1240" t="s">
        <v>1664</v>
      </c>
      <c r="D14" s="2008"/>
      <c r="E14" s="1241"/>
      <c r="F14" s="1241"/>
      <c r="G14" s="1223" t="s">
        <v>1665</v>
      </c>
    </row>
    <row r="15" spans="1:18" ht="86.4">
      <c r="A15" s="2587" t="s">
        <v>1657</v>
      </c>
      <c r="B15" s="1242" t="s">
        <v>1653</v>
      </c>
      <c r="C15" s="1243" t="str">
        <f>C3</f>
        <v>估价对象周边居住用地比例较小、钱佳花园海愉半岛花园、钰海帝景等居住小区，社区发展较完善，综合评价居住社区成熟度一般</v>
      </c>
      <c r="D15" s="2008"/>
      <c r="E15" s="2584" t="s">
        <v>1658</v>
      </c>
      <c r="F15" s="1242" t="s">
        <v>1673</v>
      </c>
      <c r="G15" s="1244" t="str">
        <f>G3</f>
        <v>估价对象位于XX开发区，园区建设成熟度XX，产业集聚程度XX</v>
      </c>
    </row>
    <row r="16" spans="1:18" ht="43.2">
      <c r="A16" s="2588"/>
      <c r="B16" s="1245" t="s">
        <v>1667</v>
      </c>
      <c r="C16" s="1246" t="str">
        <f>C4</f>
        <v>估价对象周边商业氛围较差，人流量较小，商业繁华度一般</v>
      </c>
      <c r="D16" s="2008"/>
      <c r="E16" s="2585"/>
      <c r="F16" s="1247" t="s">
        <v>1668</v>
      </c>
      <c r="G16" s="1005" t="str">
        <f>G4</f>
        <v>估价对象周边道路状况、公共交通通达情况、停车便捷程度，综合评价交通便捷度较好</v>
      </c>
    </row>
    <row r="17" spans="1:7" ht="43.2">
      <c r="A17" s="2588"/>
      <c r="B17" s="1245" t="s">
        <v>1669</v>
      </c>
      <c r="C17" s="1246" t="str">
        <f>C5</f>
        <v>估价对象位于XX商圈，周边办公楼项目较多，入驻率高，办公集聚程度较好</v>
      </c>
      <c r="D17" s="2009"/>
      <c r="E17" s="2585"/>
      <c r="F17" s="1247" t="s">
        <v>1674</v>
      </c>
      <c r="G17" s="2793"/>
    </row>
    <row r="18" spans="1:7" ht="57.6">
      <c r="A18" s="2588"/>
      <c r="B18" s="1247" t="s">
        <v>1655</v>
      </c>
      <c r="C18" s="1005" t="str">
        <f>C6</f>
        <v>估价对象周边道路通达状况较好、公共交通通达情况一般、停车较便捷，综合评价交通便捷度一般</v>
      </c>
      <c r="D18" s="2009"/>
      <c r="E18" s="2585"/>
      <c r="F18" s="1247" t="s">
        <v>1670</v>
      </c>
      <c r="G18" s="1005" t="str">
        <f>G7</f>
        <v>该园区内是否有污染型企业，绿化情况，卫生条件，整体环境状况判断</v>
      </c>
    </row>
    <row r="19" spans="1:7" ht="28.8">
      <c r="A19" s="2588"/>
      <c r="B19" s="1247" t="s">
        <v>1659</v>
      </c>
      <c r="C19" s="3199" t="s">
        <v>3082</v>
      </c>
      <c r="D19" s="2008"/>
      <c r="E19" s="2585"/>
      <c r="F19" s="1231" t="s">
        <v>2544</v>
      </c>
      <c r="G19" s="1005" t="str">
        <f>G5</f>
        <v>估价对象所在区域公共配套设施齐备情况</v>
      </c>
    </row>
    <row r="20" spans="1:7" ht="43.2">
      <c r="A20" s="2588"/>
      <c r="B20" s="1247" t="s">
        <v>1660</v>
      </c>
      <c r="C20" s="1246" t="str">
        <f>C9</f>
        <v>区域自然环境较好；人文环境一般；综合评价环境状况一般</v>
      </c>
      <c r="D20" s="2009"/>
      <c r="E20" s="2585"/>
      <c r="F20" s="1231" t="s">
        <v>2545</v>
      </c>
      <c r="G20" s="1005" t="str">
        <f>G6</f>
        <v>估价对象所在区域基础设施水平</v>
      </c>
    </row>
    <row r="21" spans="1:7" ht="28.8">
      <c r="A21" s="2588"/>
      <c r="B21" s="1231" t="s">
        <v>2544</v>
      </c>
      <c r="C21" s="1005" t="str">
        <f>C7</f>
        <v>估价对象所在区域公共配套设施齐备情况一般</v>
      </c>
      <c r="D21" s="2008"/>
      <c r="E21" s="2585"/>
      <c r="F21" s="1247" t="s">
        <v>1661</v>
      </c>
      <c r="G21" s="3083"/>
    </row>
    <row r="22" spans="1:7" ht="28.8">
      <c r="A22" s="2588"/>
      <c r="B22" s="1231" t="s">
        <v>2545</v>
      </c>
      <c r="C22" s="1005" t="str">
        <f>C8</f>
        <v>估价对象所在区域基础设施水平达六通</v>
      </c>
      <c r="D22" s="2008"/>
      <c r="E22" s="2585"/>
      <c r="F22" s="1247" t="s">
        <v>1671</v>
      </c>
      <c r="G22" s="2793"/>
    </row>
    <row r="23" spans="1:7" ht="15" thickBot="1">
      <c r="A23" s="2588"/>
      <c r="B23" s="1247" t="s">
        <v>1661</v>
      </c>
      <c r="C23" s="3083" t="s">
        <v>3081</v>
      </c>
      <c r="E23" s="2586"/>
      <c r="F23" s="1248" t="s">
        <v>1675</v>
      </c>
      <c r="G23" s="3084"/>
    </row>
    <row r="24" spans="1:7" ht="15" thickBot="1">
      <c r="A24" s="2589"/>
      <c r="B24" s="1248" t="s">
        <v>1662</v>
      </c>
      <c r="C24" s="1249" t="str">
        <f>C10</f>
        <v>次干道——麻柳大道</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C21" sqref="C21"/>
    </sheetView>
  </sheetViews>
  <sheetFormatPr defaultColWidth="14.6640625" defaultRowHeight="14.4"/>
  <cols>
    <col min="1" max="1" width="24.33203125" customWidth="1"/>
    <col min="10" max="10" width="10.33203125" customWidth="1"/>
    <col min="11" max="11" width="10" customWidth="1"/>
    <col min="12" max="12" width="9.21875" customWidth="1"/>
  </cols>
  <sheetData>
    <row r="1" spans="1:12" ht="15.6">
      <c r="A1" s="3043" t="s">
        <v>2841</v>
      </c>
      <c r="B1" s="3043">
        <f>SUM(B14:B23)</f>
        <v>163992</v>
      </c>
      <c r="C1" s="3044"/>
      <c r="D1" s="3044"/>
      <c r="E1" s="3044"/>
      <c r="F1" s="3044"/>
    </row>
    <row r="2" spans="1:12" ht="15.6">
      <c r="A2" s="3043" t="s">
        <v>2842</v>
      </c>
      <c r="B2" s="3043">
        <f>SUM(C14:C23)</f>
        <v>109328</v>
      </c>
      <c r="C2" s="3044"/>
      <c r="D2" s="3044"/>
      <c r="E2" s="3044"/>
      <c r="F2" s="3044"/>
    </row>
    <row r="3" spans="1:12" ht="15.6">
      <c r="A3" s="3043" t="s">
        <v>2843</v>
      </c>
      <c r="B3" s="3045">
        <f>项目基本情况!D3</f>
        <v>43626</v>
      </c>
      <c r="C3" s="3044"/>
      <c r="D3" s="3044"/>
      <c r="E3" s="3044"/>
      <c r="F3" s="3044"/>
    </row>
    <row r="4" spans="1:12" ht="31.2">
      <c r="A4" s="3043" t="s">
        <v>2844</v>
      </c>
      <c r="B4" s="3043" t="s">
        <v>2845</v>
      </c>
      <c r="C4" s="3043" t="s">
        <v>2846</v>
      </c>
      <c r="D4" s="3043" t="s">
        <v>2847</v>
      </c>
      <c r="E4" s="3044"/>
      <c r="F4" s="3044"/>
    </row>
    <row r="5" spans="1:12" ht="15.6">
      <c r="A5" s="3043" t="s">
        <v>2848</v>
      </c>
      <c r="B5" s="3043">
        <f ca="1">SUM(D14:D23)</f>
        <v>62074</v>
      </c>
      <c r="C5" s="3043">
        <f ca="1">ROUND(B5*10000/$B$1,0)</f>
        <v>3785</v>
      </c>
      <c r="D5" s="3043">
        <f ca="1">ROUND(B5*10000/$B$2,0)</f>
        <v>5678</v>
      </c>
      <c r="E5" s="3044"/>
      <c r="F5" s="3044"/>
    </row>
    <row r="6" spans="1:12" ht="15.6">
      <c r="A6" s="3043" t="s">
        <v>2849</v>
      </c>
      <c r="B6" s="3043">
        <f ca="1">SUM(G14:G23)</f>
        <v>62074</v>
      </c>
      <c r="C6" s="3043">
        <f t="shared" ref="C6:C8" ca="1" si="0">ROUND(B6*10000/$B$1,0)</f>
        <v>3785</v>
      </c>
      <c r="D6" s="3043">
        <f t="shared" ref="D6:D8" ca="1" si="1">ROUND(B6*10000/$B$2,0)</f>
        <v>5678</v>
      </c>
      <c r="E6" s="3044"/>
      <c r="F6" s="3044"/>
    </row>
    <row r="7" spans="1:12" ht="15.6">
      <c r="A7" s="3043" t="s">
        <v>2850</v>
      </c>
      <c r="B7" s="3043">
        <f>SUM(H14:H23)</f>
        <v>0</v>
      </c>
      <c r="C7" s="3043">
        <f t="shared" si="0"/>
        <v>0</v>
      </c>
      <c r="D7" s="3043">
        <f t="shared" si="1"/>
        <v>0</v>
      </c>
      <c r="E7" s="3044"/>
      <c r="F7" s="3044"/>
    </row>
    <row r="8" spans="1:12" ht="15.6">
      <c r="A8" s="3043" t="s">
        <v>2851</v>
      </c>
      <c r="B8" s="3043">
        <f>SUM(I14:I23)</f>
        <v>0</v>
      </c>
      <c r="C8" s="3043">
        <f t="shared" si="0"/>
        <v>0</v>
      </c>
      <c r="D8" s="3043">
        <f t="shared" si="1"/>
        <v>0</v>
      </c>
      <c r="E8" s="3044"/>
      <c r="F8" s="3044"/>
    </row>
    <row r="9" spans="1:12" ht="15.6">
      <c r="A9" s="3043" t="s">
        <v>2852</v>
      </c>
      <c r="B9" s="3046"/>
      <c r="C9" s="3044"/>
      <c r="D9" s="3044"/>
      <c r="E9" s="3044"/>
      <c r="F9" s="3044"/>
    </row>
    <row r="10" spans="1:12" ht="15.6">
      <c r="A10" s="3043" t="s">
        <v>2853</v>
      </c>
      <c r="B10" s="3046"/>
      <c r="C10" s="3044"/>
      <c r="D10" s="3044"/>
      <c r="E10" s="3044"/>
      <c r="F10" s="3044"/>
    </row>
    <row r="11" spans="1:12" ht="15.6">
      <c r="A11" s="3043" t="s">
        <v>2870</v>
      </c>
      <c r="B11" s="3046"/>
      <c r="C11" s="3044"/>
      <c r="D11" s="3044"/>
      <c r="E11" s="3044"/>
      <c r="F11" s="3044"/>
    </row>
    <row r="12" spans="1:12" ht="15.6">
      <c r="A12" s="3044"/>
      <c r="B12" s="3044"/>
      <c r="C12" s="3044"/>
      <c r="D12" s="3044"/>
      <c r="E12" s="3044"/>
      <c r="F12" s="3044"/>
    </row>
    <row r="13" spans="1:12" ht="31.2">
      <c r="A13" s="3049" t="s">
        <v>2869</v>
      </c>
      <c r="B13" s="3047" t="s">
        <v>2841</v>
      </c>
      <c r="C13" s="3047" t="s">
        <v>2842</v>
      </c>
      <c r="D13" s="3047" t="s">
        <v>2854</v>
      </c>
      <c r="E13" s="3043" t="s">
        <v>2868</v>
      </c>
      <c r="F13" s="3043" t="s">
        <v>2847</v>
      </c>
      <c r="G13" s="3047" t="s">
        <v>2855</v>
      </c>
      <c r="H13" s="3047" t="s">
        <v>2856</v>
      </c>
      <c r="I13" s="3047" t="s">
        <v>2857</v>
      </c>
      <c r="K13" s="3222" t="s">
        <v>3322</v>
      </c>
      <c r="L13" s="3222" t="s">
        <v>3323</v>
      </c>
    </row>
    <row r="14" spans="1:12" ht="15.6">
      <c r="A14" s="3050" t="s">
        <v>2867</v>
      </c>
      <c r="B14" s="3047">
        <f>结果表!L38</f>
        <v>102043.5</v>
      </c>
      <c r="C14" s="3047">
        <f>结果表!K38</f>
        <v>68029</v>
      </c>
      <c r="D14" s="3047">
        <f ca="1">结果表!C42</f>
        <v>38623</v>
      </c>
      <c r="E14" s="3047">
        <f ca="1">ROUND(D14*10000/B14,0)</f>
        <v>3785</v>
      </c>
      <c r="F14" s="3047">
        <f ca="1">ROUND(D14*10000/C14,0)</f>
        <v>5677</v>
      </c>
      <c r="G14" s="3047">
        <f ca="1">结果表!C44</f>
        <v>38623</v>
      </c>
      <c r="H14" s="3047" t="str">
        <f>结果表!C45</f>
        <v>——</v>
      </c>
      <c r="I14" s="3047" t="str">
        <f>结果表!C46</f>
        <v>——</v>
      </c>
      <c r="J14" s="3220" t="s">
        <v>3317</v>
      </c>
      <c r="K14">
        <f>ROUND(B14/C14,2)</f>
        <v>1.5</v>
      </c>
      <c r="L14">
        <f ca="1">ROUND(D14/C14*666.67,0)</f>
        <v>378</v>
      </c>
    </row>
    <row r="15" spans="1:12" ht="15.6">
      <c r="A15" s="3050" t="s">
        <v>2858</v>
      </c>
      <c r="B15" s="3051">
        <f>[1]系统读取表!$B$14</f>
        <v>61948.5</v>
      </c>
      <c r="C15" s="3051">
        <f>[2]系统读取表!$C$14</f>
        <v>41299</v>
      </c>
      <c r="D15" s="3051">
        <f ca="1">[2]系统读取表!$D$14</f>
        <v>23451</v>
      </c>
      <c r="E15" s="3047">
        <f t="shared" ref="E15:E23" ca="1" si="2">ROUND(D15*10000/B15,0)</f>
        <v>3786</v>
      </c>
      <c r="F15" s="3047">
        <f t="shared" ref="F15:F23" ca="1" si="3">ROUND(D15*10000/C15,0)</f>
        <v>5678</v>
      </c>
      <c r="G15" s="3048">
        <f ca="1">D15</f>
        <v>23451</v>
      </c>
      <c r="H15" s="3048"/>
      <c r="I15" s="3051"/>
      <c r="J15" s="3220" t="s">
        <v>3318</v>
      </c>
      <c r="K15">
        <f t="shared" ref="K15:K18" si="4">ROUND(B15/C15,2)</f>
        <v>1.5</v>
      </c>
      <c r="L15">
        <f t="shared" ref="L15:L18" ca="1" si="5">ROUND(D15/C15*666.67,0)</f>
        <v>379</v>
      </c>
    </row>
    <row r="16" spans="1:12" ht="15.6">
      <c r="A16" s="3050" t="s">
        <v>2859</v>
      </c>
      <c r="B16" s="3051"/>
      <c r="C16" s="3051"/>
      <c r="D16" s="3051"/>
      <c r="E16" s="3047" t="e">
        <f t="shared" si="2"/>
        <v>#DIV/0!</v>
      </c>
      <c r="F16" s="3047" t="e">
        <f t="shared" si="3"/>
        <v>#DIV/0!</v>
      </c>
      <c r="G16" s="3048"/>
      <c r="H16" s="3048"/>
      <c r="I16" s="3051"/>
      <c r="J16" s="3220" t="s">
        <v>3319</v>
      </c>
      <c r="K16" t="e">
        <f t="shared" si="4"/>
        <v>#DIV/0!</v>
      </c>
      <c r="L16" t="e">
        <f t="shared" si="5"/>
        <v>#DIV/0!</v>
      </c>
    </row>
    <row r="17" spans="1:12" ht="15.6">
      <c r="A17" s="3050" t="s">
        <v>2860</v>
      </c>
      <c r="B17" s="3051"/>
      <c r="C17" s="3051"/>
      <c r="D17" s="3051"/>
      <c r="E17" s="3047" t="e">
        <f t="shared" si="2"/>
        <v>#DIV/0!</v>
      </c>
      <c r="F17" s="3047" t="e">
        <f t="shared" si="3"/>
        <v>#DIV/0!</v>
      </c>
      <c r="G17" s="3048"/>
      <c r="H17" s="3048"/>
      <c r="I17" s="3051"/>
      <c r="J17" s="3221" t="s">
        <v>3320</v>
      </c>
      <c r="K17" t="e">
        <f t="shared" si="4"/>
        <v>#DIV/0!</v>
      </c>
      <c r="L17" t="e">
        <f t="shared" si="5"/>
        <v>#DIV/0!</v>
      </c>
    </row>
    <row r="18" spans="1:12" ht="15.6">
      <c r="A18" s="3050" t="s">
        <v>2861</v>
      </c>
      <c r="B18" s="3051"/>
      <c r="C18" s="3051"/>
      <c r="D18" s="3051"/>
      <c r="E18" s="3047" t="e">
        <f t="shared" si="2"/>
        <v>#DIV/0!</v>
      </c>
      <c r="F18" s="3047" t="e">
        <f t="shared" si="3"/>
        <v>#DIV/0!</v>
      </c>
      <c r="G18" s="3048"/>
      <c r="H18" s="3051"/>
      <c r="I18" s="3051"/>
      <c r="J18" s="3221" t="s">
        <v>3321</v>
      </c>
      <c r="K18" t="e">
        <f t="shared" si="4"/>
        <v>#DIV/0!</v>
      </c>
      <c r="L18" t="e">
        <f t="shared" si="5"/>
        <v>#DIV/0!</v>
      </c>
    </row>
    <row r="19" spans="1:12" ht="15.6">
      <c r="A19" s="3050" t="s">
        <v>2862</v>
      </c>
      <c r="B19" s="3051"/>
      <c r="C19" s="3051"/>
      <c r="D19" s="3051"/>
      <c r="E19" s="3047" t="e">
        <f t="shared" si="2"/>
        <v>#DIV/0!</v>
      </c>
      <c r="F19" s="3047" t="e">
        <f t="shared" si="3"/>
        <v>#DIV/0!</v>
      </c>
      <c r="G19" s="3051"/>
      <c r="H19" s="3051"/>
      <c r="I19" s="3051"/>
    </row>
    <row r="20" spans="1:12" ht="15.6">
      <c r="A20" s="3050" t="s">
        <v>2863</v>
      </c>
      <c r="B20" s="3051"/>
      <c r="C20" s="3051"/>
      <c r="D20" s="3051"/>
      <c r="E20" s="3047" t="e">
        <f t="shared" si="2"/>
        <v>#DIV/0!</v>
      </c>
      <c r="F20" s="3047" t="e">
        <f t="shared" si="3"/>
        <v>#DIV/0!</v>
      </c>
      <c r="G20" s="3051"/>
      <c r="H20" s="3051"/>
      <c r="I20" s="3051"/>
    </row>
    <row r="21" spans="1:12" ht="15.6">
      <c r="A21" s="3050" t="s">
        <v>2864</v>
      </c>
      <c r="B21" s="3051"/>
      <c r="C21" s="3051"/>
      <c r="D21" s="3051"/>
      <c r="E21" s="3047" t="e">
        <f t="shared" si="2"/>
        <v>#DIV/0!</v>
      </c>
      <c r="F21" s="3047" t="e">
        <f t="shared" si="3"/>
        <v>#DIV/0!</v>
      </c>
      <c r="G21" s="3051"/>
      <c r="H21" s="3051"/>
      <c r="I21" s="3051"/>
    </row>
    <row r="22" spans="1:12" ht="15.6">
      <c r="A22" s="3050" t="s">
        <v>2865</v>
      </c>
      <c r="B22" s="3051"/>
      <c r="C22" s="3051"/>
      <c r="D22" s="3051"/>
      <c r="E22" s="3047" t="e">
        <f t="shared" si="2"/>
        <v>#DIV/0!</v>
      </c>
      <c r="F22" s="3047" t="e">
        <f t="shared" si="3"/>
        <v>#DIV/0!</v>
      </c>
      <c r="G22" s="3051"/>
      <c r="H22" s="3051"/>
      <c r="I22" s="3051"/>
    </row>
    <row r="23" spans="1:12" ht="15.6">
      <c r="A23" s="3050" t="s">
        <v>2866</v>
      </c>
      <c r="B23" s="3051"/>
      <c r="C23" s="3051"/>
      <c r="D23" s="3051"/>
      <c r="E23" s="3043" t="e">
        <f t="shared" si="2"/>
        <v>#DIV/0!</v>
      </c>
      <c r="F23" s="3043" t="e">
        <f t="shared" si="3"/>
        <v>#DIV/0!</v>
      </c>
      <c r="G23" s="3051"/>
      <c r="H23" s="3051"/>
      <c r="I23" s="3051"/>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 zoomScale="80" zoomScaleSheetLayoutView="80" zoomScalePageLayoutView="80" workbookViewId="0">
      <selection activeCell="G29" sqref="G29"/>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5" t="s">
        <v>2056</v>
      </c>
      <c r="B1" s="1776"/>
      <c r="C1" s="1804" t="s">
        <v>2057</v>
      </c>
      <c r="D1" s="1805" t="s">
        <v>3035</v>
      </c>
      <c r="E1" s="1804" t="s">
        <v>2058</v>
      </c>
      <c r="F1" s="1806" t="s">
        <v>3036</v>
      </c>
      <c r="G1" s="311"/>
      <c r="H1" s="311"/>
      <c r="I1" s="311"/>
      <c r="J1" s="2028"/>
      <c r="K1" s="2028"/>
      <c r="L1" s="2028"/>
      <c r="M1" s="2028"/>
      <c r="N1" s="2028"/>
      <c r="O1" s="2028"/>
      <c r="P1" s="2028"/>
      <c r="Q1" s="2028"/>
      <c r="R1" s="2028"/>
      <c r="S1" s="2028"/>
      <c r="T1" s="2028"/>
      <c r="U1" s="2028"/>
      <c r="V1" s="2028"/>
    </row>
    <row r="2" spans="1:22" ht="21.75" customHeight="1" thickBot="1">
      <c r="A2" s="3414" t="str">
        <f>项目基本情况!K2</f>
        <v>重庆两江新区航悦项目E01-04-02出让国有建设用地使用权</v>
      </c>
      <c r="B2" s="3415"/>
      <c r="C2" s="3416"/>
      <c r="D2" s="3416"/>
      <c r="E2" s="3416"/>
      <c r="F2" s="3416"/>
      <c r="G2" s="3415"/>
      <c r="H2" s="3415"/>
      <c r="I2" s="3417"/>
      <c r="J2" s="2029"/>
      <c r="K2" s="2028"/>
      <c r="L2" s="2028"/>
      <c r="M2" s="2028"/>
      <c r="N2" s="2028"/>
      <c r="O2" s="2028"/>
      <c r="P2" s="2028"/>
      <c r="Q2" s="2028"/>
      <c r="R2" s="2028"/>
      <c r="S2" s="2028"/>
      <c r="T2" s="2028"/>
      <c r="U2" s="2028"/>
      <c r="V2" s="2028"/>
    </row>
    <row r="3" spans="1:22" ht="13.8">
      <c r="A3" s="3425" t="s">
        <v>297</v>
      </c>
      <c r="B3" s="3426"/>
      <c r="C3" s="3426"/>
      <c r="D3" s="3426"/>
      <c r="E3" s="3426"/>
      <c r="F3" s="3426"/>
      <c r="G3" s="3426"/>
      <c r="H3" s="3426"/>
      <c r="I3" s="3426"/>
      <c r="J3" s="2029"/>
      <c r="K3" s="2028"/>
      <c r="L3" s="2028"/>
      <c r="M3" s="2028"/>
      <c r="N3" s="2028"/>
      <c r="O3" s="2028"/>
      <c r="P3" s="2028"/>
      <c r="Q3" s="2028"/>
      <c r="R3" s="2028"/>
      <c r="S3" s="2028"/>
      <c r="T3" s="2028"/>
      <c r="U3" s="2028"/>
      <c r="V3" s="2028"/>
    </row>
    <row r="4" spans="1:22" ht="14.4">
      <c r="A4" s="258" t="s">
        <v>298</v>
      </c>
      <c r="B4" s="259" t="s">
        <v>299</v>
      </c>
      <c r="C4" s="260" t="s">
        <v>3037</v>
      </c>
      <c r="D4" s="260" t="s">
        <v>3038</v>
      </c>
      <c r="E4" s="3389" t="s">
        <v>300</v>
      </c>
      <c r="F4" s="3431"/>
      <c r="G4" s="3431"/>
      <c r="H4" s="3431"/>
      <c r="I4" s="339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3.8">
      <c r="A5" s="3418" t="s">
        <v>301</v>
      </c>
      <c r="B5" s="3419">
        <v>25</v>
      </c>
      <c r="C5" s="3427"/>
      <c r="D5" s="3430"/>
      <c r="E5" s="261" t="s">
        <v>302</v>
      </c>
      <c r="F5" s="262"/>
      <c r="G5" s="262"/>
      <c r="H5" s="262"/>
      <c r="I5" s="263"/>
      <c r="J5" s="2029"/>
      <c r="K5" s="2028"/>
      <c r="L5" s="2028"/>
      <c r="M5" s="2028"/>
      <c r="N5" s="2028"/>
      <c r="O5" s="2028"/>
      <c r="P5" s="2028"/>
      <c r="Q5" s="2028"/>
      <c r="R5" s="2028"/>
      <c r="S5" s="2028"/>
      <c r="T5" s="2028"/>
      <c r="U5" s="2028"/>
      <c r="V5" s="2028"/>
    </row>
    <row r="6" spans="1:22" ht="13.8">
      <c r="A6" s="3418"/>
      <c r="B6" s="3419"/>
      <c r="C6" s="3428"/>
      <c r="D6" s="3430"/>
      <c r="E6" s="261" t="s">
        <v>303</v>
      </c>
      <c r="F6" s="262"/>
      <c r="G6" s="262"/>
      <c r="H6" s="262"/>
      <c r="I6" s="263"/>
      <c r="J6" s="2029"/>
      <c r="K6" s="2028"/>
      <c r="L6" s="2028"/>
      <c r="M6" s="2028"/>
      <c r="N6" s="2028"/>
      <c r="O6" s="2028"/>
      <c r="P6" s="2028"/>
      <c r="Q6" s="2028"/>
      <c r="R6" s="2028"/>
      <c r="S6" s="2028"/>
      <c r="T6" s="2028"/>
      <c r="U6" s="2028"/>
      <c r="V6" s="2028"/>
    </row>
    <row r="7" spans="1:22" ht="13.8">
      <c r="A7" s="3418"/>
      <c r="B7" s="3419"/>
      <c r="C7" s="3429"/>
      <c r="D7" s="3430"/>
      <c r="E7" s="261" t="s">
        <v>304</v>
      </c>
      <c r="F7" s="262"/>
      <c r="G7" s="262"/>
      <c r="H7" s="262"/>
      <c r="I7" s="263"/>
      <c r="J7" s="2029"/>
      <c r="K7" s="2028"/>
      <c r="L7" s="2028"/>
      <c r="M7" s="2028"/>
      <c r="N7" s="2028"/>
      <c r="O7" s="2028"/>
      <c r="P7" s="2028"/>
      <c r="Q7" s="2028"/>
      <c r="R7" s="2028"/>
      <c r="S7" s="2028"/>
      <c r="T7" s="2028"/>
      <c r="U7" s="2028"/>
      <c r="V7" s="2028"/>
    </row>
    <row r="8" spans="1:22" ht="13.8">
      <c r="A8" s="3418" t="s">
        <v>305</v>
      </c>
      <c r="B8" s="3419">
        <v>15</v>
      </c>
      <c r="C8" s="3427"/>
      <c r="D8" s="3430"/>
      <c r="E8" s="261" t="s">
        <v>306</v>
      </c>
      <c r="F8" s="262"/>
      <c r="G8" s="262"/>
      <c r="H8" s="262"/>
      <c r="I8" s="263"/>
      <c r="J8" s="2029"/>
      <c r="K8" s="2028"/>
      <c r="L8" s="2028"/>
      <c r="M8" s="2028"/>
      <c r="N8" s="2028"/>
      <c r="O8" s="2028"/>
      <c r="P8" s="2028"/>
      <c r="Q8" s="2028"/>
      <c r="R8" s="2028"/>
      <c r="S8" s="2028"/>
      <c r="T8" s="2028"/>
      <c r="U8" s="2028"/>
      <c r="V8" s="2028"/>
    </row>
    <row r="9" spans="1:22" ht="13.8">
      <c r="A9" s="3418"/>
      <c r="B9" s="3419"/>
      <c r="C9" s="3429"/>
      <c r="D9" s="3430"/>
      <c r="E9" s="261" t="s">
        <v>307</v>
      </c>
      <c r="F9" s="262"/>
      <c r="G9" s="262"/>
      <c r="H9" s="262"/>
      <c r="I9" s="263"/>
      <c r="J9" s="2029"/>
      <c r="K9" s="2028"/>
      <c r="L9" s="2028"/>
      <c r="M9" s="2028"/>
      <c r="N9" s="2028"/>
      <c r="O9" s="2028"/>
      <c r="P9" s="2028"/>
      <c r="Q9" s="2028"/>
      <c r="R9" s="2028"/>
      <c r="S9" s="2028"/>
      <c r="T9" s="2028"/>
      <c r="U9" s="2028"/>
      <c r="V9" s="2028"/>
    </row>
    <row r="10" spans="1:22" ht="13.8">
      <c r="A10" s="3418" t="s">
        <v>308</v>
      </c>
      <c r="B10" s="3419">
        <v>15</v>
      </c>
      <c r="C10" s="3427"/>
      <c r="D10" s="3430"/>
      <c r="E10" s="261" t="s">
        <v>309</v>
      </c>
      <c r="F10" s="262"/>
      <c r="G10" s="262"/>
      <c r="H10" s="262"/>
      <c r="I10" s="263"/>
      <c r="J10" s="2029"/>
      <c r="K10" s="2028"/>
      <c r="L10" s="2028"/>
      <c r="M10" s="2028"/>
      <c r="N10" s="2028"/>
      <c r="O10" s="2028"/>
      <c r="P10" s="2028"/>
      <c r="Q10" s="2028"/>
      <c r="R10" s="2028"/>
      <c r="S10" s="2028"/>
      <c r="T10" s="2028"/>
      <c r="U10" s="2028"/>
      <c r="V10" s="2028"/>
    </row>
    <row r="11" spans="1:22" ht="13.8">
      <c r="A11" s="3418"/>
      <c r="B11" s="3419"/>
      <c r="C11" s="3429"/>
      <c r="D11" s="3430"/>
      <c r="E11" s="261" t="s">
        <v>310</v>
      </c>
      <c r="F11" s="262"/>
      <c r="G11" s="262"/>
      <c r="H11" s="262"/>
      <c r="I11" s="263"/>
      <c r="J11" s="2029"/>
      <c r="K11" s="2028"/>
      <c r="L11" s="2028"/>
      <c r="M11" s="2028"/>
      <c r="N11" s="2028"/>
      <c r="O11" s="2028"/>
      <c r="P11" s="2028"/>
      <c r="Q11" s="2028"/>
      <c r="R11" s="2028"/>
      <c r="S11" s="2028"/>
      <c r="T11" s="2028"/>
      <c r="U11" s="2028"/>
      <c r="V11" s="2028"/>
    </row>
    <row r="12" spans="1:22" ht="13.8">
      <c r="A12" s="3418" t="s">
        <v>311</v>
      </c>
      <c r="B12" s="3419">
        <v>15</v>
      </c>
      <c r="C12" s="3427"/>
      <c r="D12" s="3430"/>
      <c r="E12" s="261" t="s">
        <v>312</v>
      </c>
      <c r="F12" s="262"/>
      <c r="G12" s="262"/>
      <c r="H12" s="262"/>
      <c r="I12" s="263"/>
      <c r="J12" s="2029"/>
      <c r="K12" s="2028"/>
      <c r="L12" s="2028"/>
      <c r="M12" s="2028"/>
      <c r="N12" s="2028"/>
      <c r="O12" s="2028"/>
      <c r="P12" s="2028"/>
      <c r="Q12" s="2028"/>
      <c r="R12" s="2028"/>
      <c r="S12" s="2028"/>
      <c r="T12" s="2028"/>
      <c r="U12" s="2028"/>
      <c r="V12" s="2028"/>
    </row>
    <row r="13" spans="1:22" ht="13.8">
      <c r="A13" s="3418"/>
      <c r="B13" s="3419"/>
      <c r="C13" s="3429"/>
      <c r="D13" s="3430"/>
      <c r="E13" s="261" t="s">
        <v>313</v>
      </c>
      <c r="F13" s="262"/>
      <c r="G13" s="262"/>
      <c r="H13" s="262"/>
      <c r="I13" s="263"/>
      <c r="J13" s="2029"/>
      <c r="K13" s="2028"/>
      <c r="L13" s="2028"/>
      <c r="M13" s="2028"/>
      <c r="N13" s="2028"/>
      <c r="O13" s="2028"/>
      <c r="P13" s="2028"/>
      <c r="Q13" s="2028"/>
      <c r="R13" s="2028"/>
      <c r="S13" s="2028"/>
      <c r="T13" s="2028"/>
      <c r="U13" s="2028"/>
      <c r="V13" s="2028"/>
    </row>
    <row r="14" spans="1:22" ht="13.8">
      <c r="A14" s="3418" t="s">
        <v>314</v>
      </c>
      <c r="B14" s="3419">
        <v>30</v>
      </c>
      <c r="C14" s="3427">
        <v>50</v>
      </c>
      <c r="D14" s="3430">
        <v>50</v>
      </c>
      <c r="E14" s="261" t="s">
        <v>315</v>
      </c>
      <c r="F14" s="262"/>
      <c r="G14" s="262"/>
      <c r="H14" s="262"/>
      <c r="I14" s="263"/>
      <c r="J14" s="2029"/>
      <c r="K14" s="2028"/>
      <c r="L14" s="2028"/>
      <c r="M14" s="2028"/>
      <c r="N14" s="2028"/>
      <c r="O14" s="2028"/>
      <c r="P14" s="2028"/>
      <c r="Q14" s="2028"/>
      <c r="R14" s="2028"/>
      <c r="S14" s="2028"/>
      <c r="T14" s="2028"/>
      <c r="U14" s="2028"/>
      <c r="V14" s="2028"/>
    </row>
    <row r="15" spans="1:22" ht="13.8">
      <c r="A15" s="3418"/>
      <c r="B15" s="3419"/>
      <c r="C15" s="3428"/>
      <c r="D15" s="3430"/>
      <c r="E15" s="261" t="s">
        <v>316</v>
      </c>
      <c r="F15" s="262"/>
      <c r="G15" s="262"/>
      <c r="H15" s="262"/>
      <c r="I15" s="263"/>
      <c r="J15" s="2029"/>
      <c r="K15" s="2028"/>
      <c r="L15" s="2028"/>
      <c r="M15" s="2028"/>
      <c r="N15" s="2028"/>
      <c r="O15" s="2028"/>
      <c r="P15" s="2028"/>
      <c r="Q15" s="2028"/>
      <c r="R15" s="2028"/>
      <c r="S15" s="2028"/>
      <c r="T15" s="2028"/>
      <c r="U15" s="2028"/>
      <c r="V15" s="2028"/>
    </row>
    <row r="16" spans="1:22" ht="13.8">
      <c r="A16" s="3418"/>
      <c r="B16" s="3419"/>
      <c r="C16" s="3429"/>
      <c r="D16" s="3430"/>
      <c r="E16" s="261" t="s">
        <v>317</v>
      </c>
      <c r="F16" s="262"/>
      <c r="G16" s="262"/>
      <c r="H16" s="262"/>
      <c r="I16" s="263"/>
      <c r="J16" s="2029"/>
      <c r="K16" s="2028"/>
      <c r="L16" s="2028"/>
      <c r="M16" s="2028"/>
      <c r="N16" s="2028"/>
      <c r="O16" s="2028"/>
      <c r="P16" s="2028"/>
      <c r="Q16" s="2028"/>
      <c r="R16" s="2028"/>
      <c r="S16" s="2028"/>
      <c r="T16" s="2028"/>
      <c r="U16" s="2028"/>
      <c r="V16" s="2028"/>
    </row>
    <row r="17" spans="1:26" ht="14.4">
      <c r="A17" s="264" t="s">
        <v>318</v>
      </c>
      <c r="B17" s="144"/>
      <c r="C17" s="265">
        <f>SUM(C5:C16)</f>
        <v>50</v>
      </c>
      <c r="D17" s="265">
        <f>SUM(D5:D16)</f>
        <v>50</v>
      </c>
      <c r="E17" s="311"/>
      <c r="F17" s="311"/>
      <c r="G17" s="311"/>
      <c r="H17" s="311"/>
      <c r="I17" s="311"/>
      <c r="J17" s="2029"/>
      <c r="K17" s="2028"/>
      <c r="L17" s="2028"/>
      <c r="M17" s="2028"/>
      <c r="N17" s="2028"/>
      <c r="O17" s="2028"/>
      <c r="P17" s="2028"/>
      <c r="Q17" s="2028"/>
      <c r="R17" s="2028"/>
      <c r="S17" s="2028"/>
      <c r="T17" s="2028"/>
      <c r="U17" s="2028"/>
      <c r="V17" s="2028"/>
    </row>
    <row r="18" spans="1:26" ht="15" thickBot="1">
      <c r="A18" s="266" t="s">
        <v>319</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4.4">
      <c r="A19" s="268" t="s">
        <v>320</v>
      </c>
      <c r="B19" s="269" t="s">
        <v>321</v>
      </c>
      <c r="C19" s="270">
        <f ca="1">SUMIF(INDIRECT("'"&amp;C4&amp;"'"&amp;"!A:A"),结果表!B19,INDIRECT("'"&amp;C4&amp;"'"&amp;"!B:B"))</f>
        <v>35868</v>
      </c>
      <c r="D19" s="271">
        <f ca="1">SUMIF(INDIRECT("'"&amp;D4&amp;"'"&amp;"!A:A"),结果表!B19,INDIRECT("'"&amp;D4&amp;"'"&amp;"!B:B"))</f>
        <v>41786</v>
      </c>
      <c r="E19" s="268" t="s">
        <v>322</v>
      </c>
      <c r="F19" s="269" t="s">
        <v>321</v>
      </c>
      <c r="G19" s="272">
        <f ca="1">ROUND(C19*$C$18+D19*$D$18,0)</f>
        <v>38827</v>
      </c>
      <c r="H19" s="273" t="s">
        <v>323</v>
      </c>
      <c r="I19" s="311"/>
      <c r="J19" s="2028"/>
      <c r="K19" s="2028"/>
      <c r="L19" s="2028"/>
      <c r="M19" s="2028"/>
      <c r="N19" s="2028"/>
      <c r="O19" s="2028"/>
      <c r="P19" s="2028"/>
      <c r="Q19" s="2028"/>
      <c r="R19" s="2028"/>
      <c r="S19" s="2028"/>
      <c r="T19" s="2028"/>
      <c r="U19" s="2028"/>
      <c r="V19" s="2028"/>
    </row>
    <row r="20" spans="1:26" ht="14.4">
      <c r="A20" s="274"/>
      <c r="B20" s="275" t="s">
        <v>324</v>
      </c>
      <c r="C20" s="276">
        <f ca="1">SUMIF(INDIRECT("'"&amp;C4&amp;"'"&amp;"!A:A"),结果表!B20,INDIRECT("'"&amp;C4&amp;"'"&amp;"!B:B"))</f>
        <v>3515</v>
      </c>
      <c r="D20" s="277">
        <f ca="1">SUMIF(INDIRECT("'"&amp;D4&amp;"'"&amp;"!A:A"),结果表!B20,INDIRECT("'"&amp;D4&amp;"'"&amp;"!B:B"))</f>
        <v>4095</v>
      </c>
      <c r="E20" s="274"/>
      <c r="F20" s="275" t="s">
        <v>324</v>
      </c>
      <c r="G20" s="278">
        <f ca="1">ROUND(C20*$C$18+D20*$D$18,0)</f>
        <v>3805</v>
      </c>
      <c r="H20" s="279" t="s">
        <v>325</v>
      </c>
      <c r="I20" s="311"/>
      <c r="J20" s="2028"/>
      <c r="K20" s="2028"/>
      <c r="L20" s="2028"/>
      <c r="M20" s="2028"/>
      <c r="N20" s="2028"/>
      <c r="O20" s="2028"/>
      <c r="P20" s="2028"/>
      <c r="Q20" s="2028"/>
      <c r="R20" s="2028"/>
      <c r="S20" s="2028"/>
      <c r="T20" s="2028"/>
      <c r="U20" s="2028"/>
      <c r="V20" s="2028"/>
    </row>
    <row r="21" spans="1:26" ht="15" customHeight="1">
      <c r="A21" s="274"/>
      <c r="B21" s="280" t="s">
        <v>326</v>
      </c>
      <c r="C21" s="281">
        <f ca="1">SUMIF(INDIRECT("'"&amp;C4&amp;"'"&amp;"!A:A"),结果表!B21,INDIRECT("'"&amp;C4&amp;"'"&amp;"!B:B"))</f>
        <v>5272</v>
      </c>
      <c r="D21" s="151">
        <f ca="1">SUMIF(INDIRECT("'"&amp;D4&amp;"'"&amp;"!A:A"),结果表!B21,INDIRECT("'"&amp;D4&amp;"'"&amp;"!B:B"))</f>
        <v>6142</v>
      </c>
      <c r="E21" s="274"/>
      <c r="F21" s="280" t="s">
        <v>326</v>
      </c>
      <c r="G21" s="282">
        <f ca="1">ROUND(C21*$C$18+D21*$D$18,0)</f>
        <v>5707</v>
      </c>
      <c r="H21" s="1251" t="s">
        <v>325</v>
      </c>
      <c r="I21" s="311"/>
      <c r="J21" s="2028"/>
      <c r="K21" s="2028"/>
      <c r="L21" s="2028"/>
      <c r="M21" s="2028"/>
      <c r="N21" s="2028"/>
      <c r="O21" s="2028"/>
      <c r="P21" s="2028"/>
      <c r="Q21" s="2028"/>
      <c r="R21" s="2028"/>
      <c r="S21" s="2028"/>
      <c r="T21" s="2028"/>
      <c r="U21" s="2028"/>
      <c r="V21" s="2028"/>
    </row>
    <row r="22" spans="1:26" ht="15" thickBot="1">
      <c r="A22" s="126" t="s">
        <v>327</v>
      </c>
      <c r="B22" s="1252"/>
      <c r="C22" s="1253"/>
      <c r="D22" s="283">
        <f ca="1">IF(C19&lt;D19,D19/C19-1,C19/D19-1)</f>
        <v>0.1649938663990187</v>
      </c>
      <c r="E22" s="284"/>
      <c r="F22" s="285"/>
      <c r="G22" s="286">
        <f ca="1">ROUND(G19/('数据-汇总表'!D3/666.67),0)</f>
        <v>380</v>
      </c>
      <c r="H22" s="287" t="s">
        <v>328</v>
      </c>
      <c r="I22" s="311"/>
      <c r="J22" s="2028"/>
      <c r="K22" s="2028"/>
      <c r="L22" s="2028"/>
      <c r="M22" s="2028"/>
      <c r="N22" s="2028"/>
      <c r="O22" s="2028"/>
      <c r="P22" s="2028"/>
      <c r="Q22" s="2028"/>
      <c r="R22" s="2028"/>
      <c r="S22" s="2028"/>
      <c r="T22" s="2028"/>
      <c r="U22" s="2028"/>
      <c r="V22" s="2028"/>
    </row>
    <row r="23" spans="1:26" ht="13.8"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91" t="s">
        <v>329</v>
      </c>
      <c r="B24" s="269" t="s">
        <v>321</v>
      </c>
      <c r="C24" s="288">
        <f>IF(B30=0,0,D30)</f>
        <v>204</v>
      </c>
      <c r="D24" s="289"/>
      <c r="E24" s="311"/>
      <c r="F24" s="311"/>
      <c r="G24" s="311"/>
      <c r="H24" s="311"/>
      <c r="I24" s="311"/>
      <c r="J24" s="2028"/>
      <c r="K24" s="2028"/>
      <c r="L24" s="2028"/>
      <c r="M24" s="2028"/>
      <c r="N24" s="2028"/>
      <c r="O24" s="2028"/>
      <c r="P24" s="2028"/>
      <c r="Q24" s="2028"/>
      <c r="R24" s="2028"/>
      <c r="S24" s="2028"/>
      <c r="T24" s="2028"/>
      <c r="U24" s="2028"/>
      <c r="V24" s="2028"/>
    </row>
    <row r="25" spans="1:26" ht="17.399999999999999">
      <c r="A25" s="3433"/>
      <c r="B25" s="1321" t="s">
        <v>330</v>
      </c>
      <c r="C25" s="290">
        <f>IF(B30=0,0,C30)</f>
        <v>0</v>
      </c>
      <c r="D25" s="291"/>
      <c r="E25" s="311"/>
      <c r="F25" s="311"/>
      <c r="G25" s="311"/>
      <c r="H25" s="311"/>
      <c r="I25" s="311"/>
      <c r="J25" s="2028"/>
      <c r="K25" s="1255" t="str">
        <f ca="1">项目基本情况!B16&amp;"国有建设用地使用权价格："&amp;O38&amp;"万元"</f>
        <v>出让国有建设用地使用权价格：38623万元</v>
      </c>
      <c r="L25" s="1256"/>
      <c r="M25" s="1256"/>
      <c r="N25" s="1256"/>
      <c r="O25" s="1257"/>
      <c r="P25" s="2028"/>
      <c r="Q25" s="2028"/>
      <c r="R25" s="2028"/>
      <c r="S25" s="2028"/>
      <c r="T25" s="2028"/>
      <c r="U25" s="2028"/>
      <c r="V25" s="2028"/>
    </row>
    <row r="26" spans="1:26" s="1254" customFormat="1" ht="17.399999999999999">
      <c r="A26" s="293" t="s">
        <v>331</v>
      </c>
      <c r="B26" s="294" t="s">
        <v>332</v>
      </c>
      <c r="C26" s="294" t="s">
        <v>333</v>
      </c>
      <c r="D26" s="295" t="s">
        <v>334</v>
      </c>
      <c r="E26" s="311"/>
      <c r="F26" s="311"/>
      <c r="G26" s="311"/>
      <c r="H26" s="311"/>
      <c r="I26" s="311"/>
      <c r="J26" s="2028"/>
      <c r="K26" s="1258" t="str">
        <f ca="1">"大写金额：人民币"&amp;NUMBERSTRING(INT(O38*10000),2)&amp;"元整"</f>
        <v>大写金额：人民币叁亿捌仟陆佰贰拾叁万元整</v>
      </c>
      <c r="L26" s="1252"/>
      <c r="M26" s="1252"/>
      <c r="N26" s="1252"/>
      <c r="O26" s="1251"/>
      <c r="P26" s="2028"/>
      <c r="Q26" s="2028"/>
      <c r="R26" s="2028"/>
      <c r="S26" s="2028"/>
      <c r="T26" s="2028"/>
      <c r="U26" s="2028"/>
      <c r="V26" s="2028"/>
      <c r="W26" s="292"/>
      <c r="X26" s="292"/>
      <c r="Y26" s="292"/>
      <c r="Z26" s="292"/>
    </row>
    <row r="27" spans="1:26" ht="17.399999999999999">
      <c r="A27" s="3241" t="s">
        <v>3437</v>
      </c>
      <c r="B27" s="294">
        <f>'数据-汇总表'!D3</f>
        <v>68029</v>
      </c>
      <c r="C27" s="294">
        <v>30</v>
      </c>
      <c r="D27" s="295">
        <f>ROUND(B27*C27/10000,0)</f>
        <v>204</v>
      </c>
      <c r="E27" s="311"/>
      <c r="F27" s="311"/>
      <c r="G27" s="311"/>
      <c r="H27" s="311"/>
      <c r="I27" s="311"/>
      <c r="J27" s="2028"/>
      <c r="K27" s="1258" t="str">
        <f ca="1">"单位面积地价："&amp;M38&amp;"元/平方米"</f>
        <v>单位面积地价：5677元/平方米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楼面地价：3785元/平方米</v>
      </c>
      <c r="L28" s="1252"/>
      <c r="M28" s="1252"/>
      <c r="N28" s="1252"/>
      <c r="O28" s="1251"/>
      <c r="P28" s="2028"/>
      <c r="Q28" s="3215" t="s">
        <v>3149</v>
      </c>
      <c r="V28" s="2028"/>
    </row>
    <row r="29" spans="1:26" ht="17.399999999999999">
      <c r="A29" s="293"/>
      <c r="B29" s="294"/>
      <c r="C29" s="294"/>
      <c r="D29" s="295"/>
      <c r="E29" s="311"/>
      <c r="F29" s="311"/>
      <c r="G29" s="311"/>
      <c r="H29" s="311"/>
      <c r="I29" s="311"/>
      <c r="J29" s="2028"/>
      <c r="K29" s="1258" t="str">
        <f ca="1">IF(OR(项目基本情况!E8="抵押价格",项目基本情况!E8="已注销及未注销"),"抵押价格："&amp;O39&amp;"万元","——")</f>
        <v>抵押价格：38623万元</v>
      </c>
      <c r="L29" s="1252"/>
      <c r="M29" s="1252"/>
      <c r="N29" s="1252"/>
      <c r="O29" s="1251"/>
      <c r="P29" s="2028"/>
      <c r="Q29" s="3216">
        <f ca="1">ROUND(G19/'数据-汇总表'!F27*10000,0)</f>
        <v>3805</v>
      </c>
      <c r="V29" s="2028"/>
    </row>
    <row r="30" spans="1:26" ht="18" thickBot="1">
      <c r="A30" s="3126" t="s">
        <v>335</v>
      </c>
      <c r="B30" s="309">
        <f>B27</f>
        <v>68029</v>
      </c>
      <c r="C30" s="309"/>
      <c r="D30" s="310">
        <f>D27</f>
        <v>204</v>
      </c>
      <c r="E30" s="3127" t="s">
        <v>2964</v>
      </c>
      <c r="F30" s="311"/>
      <c r="G30" s="311"/>
      <c r="H30" s="311"/>
      <c r="I30" s="311"/>
      <c r="J30" s="2028"/>
      <c r="K30" s="1258" t="str">
        <f ca="1">IF(K29="——","——","大写金额：人民币"&amp;NUMBERSTRING(INT(O39*10000),2)&amp;"元整")</f>
        <v>大写金额：人民币叁亿捌仟陆佰贰拾叁万元整</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 thickBot="1">
      <c r="A32" s="268" t="s">
        <v>336</v>
      </c>
      <c r="B32" s="1381" t="s">
        <v>1687</v>
      </c>
      <c r="C32" s="1382">
        <f ca="1">G19-C24</f>
        <v>38623</v>
      </c>
      <c r="D32" s="1383" t="s">
        <v>1688</v>
      </c>
      <c r="E32" s="311"/>
      <c r="F32" s="311"/>
      <c r="G32" s="311"/>
      <c r="H32" s="311"/>
      <c r="I32" s="311"/>
      <c r="J32" s="2028"/>
      <c r="K32" s="2463" t="str">
        <f>IF(K31="——","——","大写金额：人民币"&amp;NUMBERSTRING(INT(O40*10000),2)&amp;"元整")</f>
        <v>——</v>
      </c>
      <c r="L32" s="2466"/>
      <c r="M32" s="2466"/>
      <c r="N32" s="2466"/>
      <c r="O32" s="2467"/>
      <c r="P32" s="2028"/>
      <c r="V32" s="2028"/>
    </row>
    <row r="33" spans="1:26" ht="18" thickBot="1">
      <c r="A33" s="298" t="s">
        <v>339</v>
      </c>
      <c r="B33" s="1384" t="s">
        <v>1689</v>
      </c>
      <c r="C33" s="264">
        <f ca="1">ROUND(C32*10000/'数据-汇总表'!E3,0)</f>
        <v>3785</v>
      </c>
      <c r="D33" s="1385" t="s">
        <v>1690</v>
      </c>
      <c r="E33" s="3391" t="s">
        <v>337</v>
      </c>
      <c r="F33" s="296" t="s">
        <v>338</v>
      </c>
      <c r="G33" s="297"/>
      <c r="H33" s="980"/>
      <c r="I33" s="1259"/>
      <c r="J33" s="2028"/>
      <c r="K33" s="1258" t="str">
        <f>IF(项目基本情况!E9="——","——","抵押净值："&amp;C46&amp;"万元")</f>
        <v>抵押净值：——万元</v>
      </c>
      <c r="L33" s="1252"/>
      <c r="M33" s="1252"/>
      <c r="N33" s="1252"/>
      <c r="O33" s="1251"/>
      <c r="P33" s="2028"/>
      <c r="V33" s="2028"/>
    </row>
    <row r="34" spans="1:26" s="1254" customFormat="1" ht="18" thickBot="1">
      <c r="A34" s="300"/>
      <c r="B34" s="1386" t="s">
        <v>1691</v>
      </c>
      <c r="C34" s="264">
        <f ca="1">ROUND(C32*10000/'数据-汇总表'!D3,0)</f>
        <v>5677</v>
      </c>
      <c r="D34" s="1387" t="s">
        <v>1690</v>
      </c>
      <c r="E34" s="3392"/>
      <c r="F34" s="127" t="s">
        <v>340</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 thickBot="1">
      <c r="A35" s="284"/>
      <c r="B35" s="1388"/>
      <c r="C35" s="1389">
        <f ca="1">ROUND(C32/('数据-汇总表'!D3/666.67),0)</f>
        <v>378</v>
      </c>
      <c r="D35" s="1390" t="s">
        <v>1692</v>
      </c>
      <c r="E35" s="3393"/>
      <c r="F35" s="301" t="s">
        <v>341</v>
      </c>
      <c r="G35" s="982"/>
      <c r="H35" s="981" t="s">
        <v>342</v>
      </c>
      <c r="I35" s="311"/>
      <c r="J35" s="2028"/>
      <c r="K35" s="3397" t="s">
        <v>349</v>
      </c>
      <c r="L35" s="3397" t="s">
        <v>350</v>
      </c>
      <c r="M35" s="1264" t="s">
        <v>351</v>
      </c>
      <c r="N35" s="3397" t="s">
        <v>352</v>
      </c>
      <c r="O35" s="3397" t="s">
        <v>353</v>
      </c>
      <c r="P35" s="2028"/>
      <c r="V35" s="2028"/>
    </row>
    <row r="36" spans="1:26" ht="16.5" customHeight="1">
      <c r="A36" s="303" t="s">
        <v>343</v>
      </c>
      <c r="B36" s="304" t="s">
        <v>332</v>
      </c>
      <c r="C36" s="305" t="s">
        <v>344</v>
      </c>
      <c r="D36" s="305" t="s">
        <v>345</v>
      </c>
      <c r="E36" s="306" t="s">
        <v>346</v>
      </c>
      <c r="F36" s="311"/>
      <c r="G36" s="311"/>
      <c r="H36" s="311"/>
      <c r="I36" s="311"/>
      <c r="J36" s="2030"/>
      <c r="K36" s="3398"/>
      <c r="L36" s="3398"/>
      <c r="M36" s="1266" t="s">
        <v>354</v>
      </c>
      <c r="N36" s="3398"/>
      <c r="O36" s="3398"/>
      <c r="P36" s="2028"/>
      <c r="V36" s="2028"/>
    </row>
    <row r="37" spans="1:26" ht="16.5" customHeight="1" thickBot="1">
      <c r="A37" s="1260" t="s">
        <v>347</v>
      </c>
      <c r="B37" s="307"/>
      <c r="C37" s="294"/>
      <c r="D37" s="294"/>
      <c r="E37" s="295"/>
      <c r="F37" s="311"/>
      <c r="G37" s="311"/>
      <c r="H37" s="311"/>
      <c r="I37" s="311"/>
      <c r="J37" s="2030"/>
      <c r="K37" s="3399"/>
      <c r="L37" s="3399"/>
      <c r="M37" s="1267"/>
      <c r="N37" s="3399"/>
      <c r="O37" s="3399"/>
      <c r="P37" s="2028"/>
      <c r="V37" s="2028"/>
    </row>
    <row r="38" spans="1:26" ht="16.5" customHeight="1" thickBot="1">
      <c r="A38" s="1260" t="s">
        <v>348</v>
      </c>
      <c r="B38" s="307"/>
      <c r="C38" s="294"/>
      <c r="D38" s="294"/>
      <c r="E38" s="295"/>
      <c r="F38" s="311"/>
      <c r="G38" s="311"/>
      <c r="H38" s="311"/>
      <c r="I38" s="311"/>
      <c r="J38" s="2030"/>
      <c r="K38" s="1268">
        <f>'数据-汇总表'!D3</f>
        <v>68029</v>
      </c>
      <c r="L38" s="1269">
        <f>'数据-汇总表'!E3</f>
        <v>102043.5</v>
      </c>
      <c r="M38" s="1269">
        <f ca="1">C34</f>
        <v>5677</v>
      </c>
      <c r="N38" s="1269">
        <f ca="1">C33</f>
        <v>3785</v>
      </c>
      <c r="O38" s="1270">
        <f ca="1">C32</f>
        <v>38623</v>
      </c>
      <c r="P38" s="2028"/>
      <c r="V38" s="2028"/>
    </row>
    <row r="39" spans="1:26" ht="16.5" customHeight="1" thickBot="1">
      <c r="A39" s="1265"/>
      <c r="B39" s="308"/>
      <c r="C39" s="309"/>
      <c r="D39" s="309"/>
      <c r="E39" s="310"/>
      <c r="F39" s="311"/>
      <c r="G39" s="311"/>
      <c r="H39" s="311"/>
      <c r="I39" s="311"/>
      <c r="J39" s="2030"/>
      <c r="K39" s="3374" t="str">
        <f>MID(A44,3,LEN(A44)-2)</f>
        <v>抵押价格</v>
      </c>
      <c r="L39" s="3375"/>
      <c r="M39" s="3375"/>
      <c r="N39" s="3376"/>
      <c r="O39" s="1392">
        <f ca="1">C44</f>
        <v>38623</v>
      </c>
      <c r="P39" s="2028"/>
      <c r="V39" s="2028"/>
    </row>
    <row r="40" spans="1:26" ht="18" thickBot="1">
      <c r="A40" s="104" t="s">
        <v>872</v>
      </c>
      <c r="B40" s="311"/>
      <c r="C40" s="311"/>
      <c r="D40" s="311"/>
      <c r="E40" s="311"/>
      <c r="F40" s="311"/>
      <c r="G40" s="311"/>
      <c r="H40" s="311"/>
      <c r="I40" s="311"/>
      <c r="J40" s="2030"/>
      <c r="K40" s="3374" t="str">
        <f t="shared" ref="K40:K41" si="0">MID(A45,3,LEN(A45)-2)</f>
        <v/>
      </c>
      <c r="L40" s="3375"/>
      <c r="M40" s="3375"/>
      <c r="N40" s="3376"/>
      <c r="O40" s="1392" t="str">
        <f>C45</f>
        <v>——</v>
      </c>
      <c r="P40" s="2028"/>
      <c r="V40" s="2028"/>
    </row>
    <row r="41" spans="1:26" ht="16.2" thickBot="1">
      <c r="A41" s="312" t="s">
        <v>355</v>
      </c>
      <c r="B41" s="313"/>
      <c r="C41" s="314" t="s">
        <v>356</v>
      </c>
      <c r="D41" s="315" t="s">
        <v>357</v>
      </c>
      <c r="E41" s="315" t="s">
        <v>358</v>
      </c>
      <c r="F41" s="316" t="s">
        <v>359</v>
      </c>
      <c r="G41" s="311"/>
      <c r="H41" s="311"/>
      <c r="I41" s="311"/>
      <c r="J41" s="2030"/>
      <c r="K41" s="3374" t="str">
        <f t="shared" si="0"/>
        <v/>
      </c>
      <c r="L41" s="3375"/>
      <c r="M41" s="3375"/>
      <c r="N41" s="3376"/>
      <c r="O41" s="1392" t="str">
        <f>C46</f>
        <v>——</v>
      </c>
      <c r="P41" s="2028"/>
      <c r="V41" s="2028"/>
    </row>
    <row r="42" spans="1:26" ht="31.2">
      <c r="A42" s="3434" t="s">
        <v>2068</v>
      </c>
      <c r="B42" s="3435"/>
      <c r="C42" s="264">
        <f ca="1">C32</f>
        <v>38623</v>
      </c>
      <c r="D42" s="317">
        <f ca="1">C33</f>
        <v>3785</v>
      </c>
      <c r="E42" s="317">
        <f ca="1">C34</f>
        <v>5677</v>
      </c>
      <c r="F42" s="318">
        <f ca="1">C35</f>
        <v>378</v>
      </c>
      <c r="G42" s="311"/>
      <c r="H42" s="311"/>
      <c r="I42" s="319"/>
      <c r="J42" s="2030"/>
      <c r="K42" s="1271" t="s">
        <v>360</v>
      </c>
      <c r="L42" s="2047" t="s">
        <v>361</v>
      </c>
      <c r="M42" s="1272" t="s">
        <v>362</v>
      </c>
      <c r="N42" s="2048" t="s">
        <v>363</v>
      </c>
      <c r="O42" s="2049" t="s">
        <v>364</v>
      </c>
      <c r="P42" s="2028"/>
      <c r="V42" s="2028"/>
    </row>
    <row r="43" spans="1:26" ht="30">
      <c r="A43" s="3444" t="s">
        <v>2727</v>
      </c>
      <c r="B43" s="3445"/>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35868</v>
      </c>
      <c r="M43" s="1275">
        <f>C18</f>
        <v>0.5</v>
      </c>
      <c r="N43" s="1276">
        <f ca="1">IF(N42="测算结果/万元",G19,G20)</f>
        <v>38827</v>
      </c>
      <c r="O43" s="1277">
        <f ca="1">IF(O42="最终结果/万元",C32,C33)</f>
        <v>38623</v>
      </c>
      <c r="P43" s="2028"/>
      <c r="V43" s="2028"/>
    </row>
    <row r="44" spans="1:26" ht="30.6" thickBot="1">
      <c r="A44" s="3434" t="str">
        <f>IF(OR(项目基本情况!E8="抵押价格",项目基本情况!E8="已注销及未注销"),"3.抵押价格","——")</f>
        <v>3.抵押价格</v>
      </c>
      <c r="B44" s="3435"/>
      <c r="C44" s="264">
        <f ca="1">IF(A44="——","——",C42-C43)</f>
        <v>38623</v>
      </c>
      <c r="D44" s="317">
        <f ca="1">ROUND(C44*10000/'数据-汇总表'!E3,0)</f>
        <v>3785</v>
      </c>
      <c r="E44" s="317">
        <f ca="1">ROUND(C44*10000/'数据-汇总表'!D3,0)</f>
        <v>5677</v>
      </c>
      <c r="F44" s="318">
        <f ca="1">ROUND(C44/('数据-汇总表'!D3/666.67),0)</f>
        <v>378</v>
      </c>
      <c r="G44" s="311"/>
      <c r="H44" s="311"/>
      <c r="I44" s="319"/>
      <c r="J44" s="2030"/>
      <c r="K44" s="1278" t="str">
        <f>D4</f>
        <v>剩余法-待开发</v>
      </c>
      <c r="L44" s="1279">
        <f ca="1">IF(L42="估价结果/万元",D19,D20)</f>
        <v>41786</v>
      </c>
      <c r="M44" s="1280">
        <f>D18</f>
        <v>0.5</v>
      </c>
      <c r="N44" s="1281"/>
      <c r="O44" s="1282"/>
      <c r="P44" s="2028"/>
      <c r="V44" s="2028"/>
    </row>
    <row r="45" spans="1:26" ht="13.8">
      <c r="A45" s="3439" t="str">
        <f>IF(项目基本情况!E8="已注销及未注销","4.抵押担保权已注销时的抵押价格",IF(项目基本情况!E8="已注销","3.抵押担保权已注销时的抵押价格","——"))</f>
        <v>——</v>
      </c>
      <c r="B45" s="3440"/>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4.4" thickBot="1">
      <c r="A46" s="3436" t="str">
        <f>IF(项目基本情况!E9="抵押净值",IF(A45="——","4.抵押净值","5.抵押净值"),"——")</f>
        <v>——</v>
      </c>
      <c r="B46" s="343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6">
      <c r="A47" s="321" t="s">
        <v>365</v>
      </c>
      <c r="B47" s="1283"/>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3.2">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3.2">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3.2">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3.2">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3.2">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3.2">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3.2">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3.2">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3.2">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3.2">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3.2">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3.2">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3.2">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3.2">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7.399999999999999">
      <c r="A62" s="1284" t="s">
        <v>372</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402" t="s">
        <v>373</v>
      </c>
      <c r="B63" s="3403"/>
      <c r="C63" s="3404"/>
      <c r="D63" s="341">
        <f ca="1">ROUND(C42*F63,0)</f>
        <v>38623</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441" t="s">
        <v>377</v>
      </c>
      <c r="B64" s="3442"/>
      <c r="C64" s="3442"/>
      <c r="D64" s="3442"/>
      <c r="E64" s="3442"/>
      <c r="F64" s="3442"/>
      <c r="G64" s="3443"/>
      <c r="H64" s="1288"/>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8"/>
      <c r="I65" s="948"/>
      <c r="J65" s="1990"/>
      <c r="K65" s="1289"/>
      <c r="L65" s="1290"/>
      <c r="M65" s="1290"/>
      <c r="N65" s="1322" t="s">
        <v>378</v>
      </c>
      <c r="O65" s="1323"/>
      <c r="P65" s="1324"/>
      <c r="Q65" s="2028"/>
      <c r="R65" s="2028"/>
      <c r="S65" s="2028"/>
      <c r="T65" s="2028"/>
      <c r="U65" s="2028"/>
      <c r="V65" s="2028"/>
    </row>
    <row r="66" spans="1:22" ht="26.4">
      <c r="A66" s="3438" t="s">
        <v>385</v>
      </c>
      <c r="B66" s="3409"/>
      <c r="C66" s="3409"/>
      <c r="D66" s="261">
        <f ca="1">IF(H66="情况1",0,IF(H66="情况2",D70,IF(H66="情况3",D71,IF(H66="情况4",D72))))</f>
        <v>2060</v>
      </c>
      <c r="E66" s="993" t="str">
        <f>IF(H66="情况4","(销售额-原购置价)×税（费）率","销售额×税（费）率")</f>
        <v>销售额×税（费）率</v>
      </c>
      <c r="F66" s="350">
        <f>IF(H66="情况1","免征",'数据-取费表'!B41)</f>
        <v>5.6000000000000001E-2</v>
      </c>
      <c r="G66" s="351" t="s">
        <v>386</v>
      </c>
      <c r="H66" s="191" t="s">
        <v>387</v>
      </c>
      <c r="I66" s="1288"/>
      <c r="J66" s="2034"/>
      <c r="K66" s="1291">
        <v>1</v>
      </c>
      <c r="L66" s="3378" t="s">
        <v>384</v>
      </c>
      <c r="M66" s="3379"/>
      <c r="N66" s="2458"/>
      <c r="O66" s="2459"/>
      <c r="P66" s="2460"/>
      <c r="Q66" s="2028"/>
      <c r="R66" s="2028"/>
      <c r="S66" s="2028"/>
      <c r="T66" s="2028"/>
      <c r="U66" s="2028"/>
      <c r="V66" s="2028"/>
    </row>
    <row r="67" spans="1:22" ht="25.5" customHeight="1">
      <c r="A67" s="352" t="s">
        <v>389</v>
      </c>
      <c r="B67" s="3421" t="s">
        <v>390</v>
      </c>
      <c r="C67" s="3421"/>
      <c r="D67" s="353">
        <v>0</v>
      </c>
      <c r="E67" s="41" t="s">
        <v>391</v>
      </c>
      <c r="F67" s="62" t="s">
        <v>21</v>
      </c>
      <c r="G67" s="3405"/>
      <c r="H67" s="311"/>
      <c r="I67" s="1292"/>
      <c r="J67" s="2035"/>
      <c r="K67" s="1976">
        <v>2</v>
      </c>
      <c r="L67" s="3377" t="s">
        <v>388</v>
      </c>
      <c r="M67" s="3377"/>
      <c r="N67" s="1325">
        <f>'数据-取费表'!B2</f>
        <v>43626</v>
      </c>
      <c r="O67" s="1325"/>
      <c r="P67" s="1325"/>
      <c r="Q67" s="2028"/>
      <c r="R67" s="2028"/>
      <c r="S67" s="2028"/>
      <c r="T67" s="2028"/>
      <c r="U67" s="2028"/>
      <c r="V67" s="2028"/>
    </row>
    <row r="68" spans="1:22" ht="25.5" customHeight="1">
      <c r="A68" s="354"/>
      <c r="B68" s="3421" t="s">
        <v>393</v>
      </c>
      <c r="C68" s="3421"/>
      <c r="D68" s="355"/>
      <c r="E68" s="77"/>
      <c r="F68" s="356"/>
      <c r="G68" s="3406"/>
      <c r="H68" s="311"/>
      <c r="I68" s="1292"/>
      <c r="J68" s="2035"/>
      <c r="K68" s="1976">
        <v>3</v>
      </c>
      <c r="L68" s="3377" t="s">
        <v>392</v>
      </c>
      <c r="M68" s="3377"/>
      <c r="N68" s="1293">
        <f ca="1">C42</f>
        <v>38623</v>
      </c>
      <c r="O68" s="1293"/>
      <c r="P68" s="1293"/>
      <c r="Q68" s="2028"/>
      <c r="R68" s="2028"/>
      <c r="S68" s="2028"/>
      <c r="T68" s="2028"/>
      <c r="U68" s="2028"/>
      <c r="V68" s="2028"/>
    </row>
    <row r="69" spans="1:22" ht="12" customHeight="1">
      <c r="A69" s="357"/>
      <c r="B69" s="3421" t="s">
        <v>394</v>
      </c>
      <c r="C69" s="3421"/>
      <c r="D69" s="358"/>
      <c r="E69" s="73"/>
      <c r="F69" s="356"/>
      <c r="G69" s="3407"/>
      <c r="H69" s="311"/>
      <c r="I69" s="1292"/>
      <c r="J69" s="2035"/>
      <c r="K69" s="1294">
        <v>4</v>
      </c>
      <c r="L69" s="3383" t="s">
        <v>2880</v>
      </c>
      <c r="M69" s="3384"/>
      <c r="N69" s="1295">
        <f ca="1">C44</f>
        <v>38623</v>
      </c>
      <c r="O69" s="1295"/>
      <c r="P69" s="1295"/>
      <c r="Q69" s="2028"/>
      <c r="R69" s="2028"/>
      <c r="S69" s="2028"/>
      <c r="T69" s="2028"/>
      <c r="U69" s="2028"/>
      <c r="V69" s="2028"/>
    </row>
    <row r="70" spans="1:22" ht="24" customHeight="1">
      <c r="A70" s="359" t="s">
        <v>395</v>
      </c>
      <c r="B70" s="3421" t="s">
        <v>396</v>
      </c>
      <c r="C70" s="3421"/>
      <c r="D70" s="358">
        <f ca="1">ROUND(D63*'数据-取费表'!B41/(1+'数据-取费表'!C42),0)</f>
        <v>2060</v>
      </c>
      <c r="E70" s="17" t="s">
        <v>397</v>
      </c>
      <c r="F70" s="360">
        <f>'数据-取费表'!B41</f>
        <v>5.6000000000000001E-2</v>
      </c>
      <c r="G70" s="361"/>
      <c r="H70" s="311"/>
      <c r="I70" s="1292"/>
      <c r="J70" s="2035"/>
      <c r="K70" s="3060"/>
      <c r="L70" s="3061"/>
      <c r="M70" s="3061"/>
      <c r="N70" s="3062" t="s">
        <v>2884</v>
      </c>
      <c r="O70" s="3061"/>
      <c r="P70" s="3063"/>
      <c r="Q70" s="2028"/>
      <c r="R70" s="2028"/>
      <c r="S70" s="2028"/>
      <c r="T70" s="2028"/>
      <c r="U70" s="2028"/>
      <c r="V70" s="2028"/>
    </row>
    <row r="71" spans="1:22" ht="12" customHeight="1">
      <c r="A71" s="359" t="s">
        <v>403</v>
      </c>
      <c r="B71" s="3420" t="s">
        <v>404</v>
      </c>
      <c r="C71" s="3432"/>
      <c r="D71" s="358">
        <f ca="1">ROUND(D63*'数据-取费表'!B41/(1+'数据-取费表'!C42),0)</f>
        <v>2060</v>
      </c>
      <c r="E71" s="17" t="s">
        <v>397</v>
      </c>
      <c r="F71" s="360">
        <f>'数据-取费表'!B41</f>
        <v>5.6000000000000001E-2</v>
      </c>
      <c r="G71" s="361"/>
      <c r="H71" s="311"/>
      <c r="I71" s="1292"/>
      <c r="J71" s="2035"/>
      <c r="K71" s="3059" t="s">
        <v>398</v>
      </c>
      <c r="L71" s="3385" t="s">
        <v>399</v>
      </c>
      <c r="M71" s="3385"/>
      <c r="N71" s="3059" t="s">
        <v>400</v>
      </c>
      <c r="O71" s="3059" t="s">
        <v>401</v>
      </c>
      <c r="P71" s="3059" t="s">
        <v>402</v>
      </c>
      <c r="Q71" s="2028"/>
      <c r="R71" s="2028"/>
      <c r="S71" s="2028"/>
      <c r="T71" s="2028"/>
      <c r="U71" s="2028"/>
      <c r="V71" s="2028"/>
    </row>
    <row r="72" spans="1:22" ht="12" customHeight="1">
      <c r="A72" s="359" t="s">
        <v>406</v>
      </c>
      <c r="B72" s="3420" t="s">
        <v>407</v>
      </c>
      <c r="C72" s="3432"/>
      <c r="D72" s="358">
        <f ca="1">C86</f>
        <v>1948</v>
      </c>
      <c r="E72" s="73" t="s">
        <v>408</v>
      </c>
      <c r="F72" s="360">
        <f>'数据-取费表'!B41</f>
        <v>5.6000000000000001E-2</v>
      </c>
      <c r="G72" s="361"/>
      <c r="H72" s="1298"/>
      <c r="I72" s="1292"/>
      <c r="J72" s="2035"/>
      <c r="K72" s="1976">
        <v>1</v>
      </c>
      <c r="L72" s="3382" t="s">
        <v>405</v>
      </c>
      <c r="M72" s="3382"/>
      <c r="N72" s="1296">
        <f ca="1">D66</f>
        <v>2060</v>
      </c>
      <c r="O72" s="1859" t="str">
        <f>E66</f>
        <v>销售额×税（费）率</v>
      </c>
      <c r="P72" s="1297">
        <f>F66</f>
        <v>5.6000000000000001E-2</v>
      </c>
      <c r="Q72" s="2028"/>
      <c r="R72" s="2028"/>
      <c r="S72" s="2028"/>
      <c r="T72" s="2028"/>
      <c r="U72" s="2028"/>
      <c r="V72" s="2028"/>
    </row>
    <row r="73" spans="1:22" ht="24" customHeight="1">
      <c r="A73" s="3408" t="s">
        <v>410</v>
      </c>
      <c r="B73" s="3409"/>
      <c r="C73" s="3409"/>
      <c r="D73" s="362">
        <f ca="1">IF(H73="个人住宅",0,ROUND(D63*I73,0))</f>
        <v>19</v>
      </c>
      <c r="E73" s="17" t="s">
        <v>411</v>
      </c>
      <c r="F73" s="360">
        <f>IF(H73="正常",I73,"免征")</f>
        <v>5.0000000000000001E-4</v>
      </c>
      <c r="G73" s="361"/>
      <c r="H73" s="191" t="s">
        <v>3008</v>
      </c>
      <c r="I73" s="360">
        <f>'数据-取费表'!B49</f>
        <v>5.0000000000000001E-4</v>
      </c>
      <c r="J73" s="2035"/>
      <c r="K73" s="1976">
        <v>2</v>
      </c>
      <c r="L73" s="3382" t="s">
        <v>409</v>
      </c>
      <c r="M73" s="3382"/>
      <c r="N73" s="1296">
        <f t="shared" ref="N73:P74" ca="1" si="1">D73</f>
        <v>19</v>
      </c>
      <c r="O73" s="1859" t="str">
        <f t="shared" si="1"/>
        <v>销售额×税（费）率</v>
      </c>
      <c r="P73" s="1297">
        <f t="shared" si="1"/>
        <v>5.0000000000000001E-4</v>
      </c>
      <c r="Q73" s="2028"/>
      <c r="R73" s="2028"/>
      <c r="S73" s="2028"/>
      <c r="T73" s="2028"/>
      <c r="U73" s="2028"/>
      <c r="V73" s="2028"/>
    </row>
    <row r="74" spans="1:22" ht="25.2">
      <c r="A74" s="3408" t="s">
        <v>414</v>
      </c>
      <c r="B74" s="3409"/>
      <c r="C74" s="3409"/>
      <c r="D74" s="362">
        <f ca="1">IF(H74="个人住宅",D75,D76)</f>
        <v>0</v>
      </c>
      <c r="E74" s="17" t="s">
        <v>415</v>
      </c>
      <c r="F74" s="360" t="str">
        <f>IF(H74="正常",F76,"免征")</f>
        <v>——</v>
      </c>
      <c r="G74" s="983" t="s">
        <v>416</v>
      </c>
      <c r="H74" s="363" t="s">
        <v>412</v>
      </c>
      <c r="I74" s="42"/>
      <c r="J74" s="2035"/>
      <c r="K74" s="1976">
        <v>3</v>
      </c>
      <c r="L74" s="3382" t="s">
        <v>413</v>
      </c>
      <c r="M74" s="3382"/>
      <c r="N74" s="1296">
        <f t="shared" ca="1" si="1"/>
        <v>0</v>
      </c>
      <c r="O74" s="1859" t="str">
        <f t="shared" si="1"/>
        <v>增值额×税（费）率</v>
      </c>
      <c r="P74" s="1299" t="str">
        <f t="shared" si="1"/>
        <v>——</v>
      </c>
      <c r="Q74" s="2028"/>
      <c r="R74" s="2028"/>
      <c r="S74" s="2028"/>
      <c r="T74" s="2028"/>
      <c r="U74" s="2028"/>
      <c r="V74" s="2028"/>
    </row>
    <row r="75" spans="1:22" ht="13.2">
      <c r="A75" s="359" t="s">
        <v>417</v>
      </c>
      <c r="B75" s="3389" t="s">
        <v>418</v>
      </c>
      <c r="C75" s="3390"/>
      <c r="D75" s="364">
        <v>0</v>
      </c>
      <c r="E75" s="41" t="s">
        <v>419</v>
      </c>
      <c r="F75" s="365"/>
      <c r="G75" s="361"/>
      <c r="H75" s="42"/>
      <c r="I75" s="42"/>
      <c r="J75" s="2035"/>
      <c r="K75" s="3052" t="str">
        <f>IF(H77="非个人房产","",4)</f>
        <v/>
      </c>
      <c r="L75" s="3382" t="str">
        <f>IF(H77="非个人房产","——","个人所得税")</f>
        <v>——</v>
      </c>
      <c r="M75" s="3382"/>
      <c r="N75" s="1300" t="str">
        <f>D77</f>
        <v>——</v>
      </c>
      <c r="O75" s="1872" t="str">
        <f>E77</f>
        <v>——</v>
      </c>
      <c r="P75" s="1301" t="str">
        <f>F77</f>
        <v>——</v>
      </c>
      <c r="Q75" s="2028"/>
      <c r="R75" s="2028"/>
      <c r="S75" s="2028"/>
      <c r="T75" s="2028"/>
      <c r="U75" s="2028"/>
      <c r="V75" s="2028"/>
    </row>
    <row r="76" spans="1:22" ht="25.2">
      <c r="A76" s="359" t="s">
        <v>395</v>
      </c>
      <c r="B76" s="3389" t="s">
        <v>421</v>
      </c>
      <c r="C76" s="3431"/>
      <c r="D76" s="362">
        <f ca="1">IF(H76="转让取得",C99,C115)</f>
        <v>0</v>
      </c>
      <c r="E76" s="17" t="s">
        <v>422</v>
      </c>
      <c r="F76" s="53" t="s">
        <v>21</v>
      </c>
      <c r="G76" s="361"/>
      <c r="H76" s="363" t="s">
        <v>423</v>
      </c>
      <c r="I76" s="42"/>
      <c r="J76" s="2035"/>
      <c r="K76" s="3052"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8"/>
      <c r="R76" s="2028"/>
      <c r="S76" s="2028"/>
      <c r="T76" s="2028"/>
      <c r="U76" s="2028"/>
      <c r="V76" s="2028"/>
    </row>
    <row r="77" spans="1:22" ht="24.6" thickBot="1">
      <c r="A77" s="3400" t="s">
        <v>425</v>
      </c>
      <c r="B77" s="3401"/>
      <c r="C77" s="3401"/>
      <c r="D77" s="366" t="str">
        <f>IF(H77="非个人房产","——",IF(H77="个人住宅",0,ROUND(D63*I77,0)))</f>
        <v>——</v>
      </c>
      <c r="E77" s="367" t="str">
        <f>IF(H77="非个人房产","——","销售额×税（费）率")</f>
        <v>——</v>
      </c>
      <c r="F77" s="368" t="str">
        <f>IF(H77="非个人房产","——",IF(H77="个人住宅","免征",I77))</f>
        <v>——</v>
      </c>
      <c r="G77" s="984" t="s">
        <v>416</v>
      </c>
      <c r="H77" s="363" t="s">
        <v>3066</v>
      </c>
      <c r="I77" s="369">
        <v>0.01</v>
      </c>
      <c r="J77" s="2035"/>
      <c r="K77" s="3396">
        <f>IF(AND(K75="",K76=""),4,IF(项目基本情况!K6="上海银行",K76+1,K75+1))</f>
        <v>4</v>
      </c>
      <c r="L77" s="3382" t="s">
        <v>2881</v>
      </c>
      <c r="M77" s="3058" t="s">
        <v>420</v>
      </c>
      <c r="N77" s="1302"/>
      <c r="O77" s="1303">
        <f ca="1">SUMIF(N72:N76,"&lt;9e307")</f>
        <v>2079</v>
      </c>
      <c r="P77" s="1304"/>
      <c r="Q77" s="3056">
        <f ca="1">O77/N69</f>
        <v>5.3828029930352378E-2</v>
      </c>
      <c r="R77" s="2028"/>
      <c r="S77" s="2028"/>
      <c r="T77" s="2028"/>
      <c r="U77" s="2028"/>
      <c r="V77" s="2028"/>
    </row>
    <row r="78" spans="1:22" ht="12" customHeight="1">
      <c r="A78" s="1305"/>
      <c r="B78" s="311"/>
      <c r="C78" s="311"/>
      <c r="D78" s="311"/>
      <c r="E78" s="42"/>
      <c r="F78" s="42"/>
      <c r="G78" s="42"/>
      <c r="H78" s="1003"/>
      <c r="I78" s="311"/>
      <c r="J78" s="2035"/>
      <c r="K78" s="3396"/>
      <c r="L78" s="3382"/>
      <c r="M78" s="3058" t="s">
        <v>424</v>
      </c>
      <c r="N78" s="1302"/>
      <c r="O78" s="1303" t="str">
        <f ca="1">NUMBERSTRING(INT(O77*10000),2)&amp;"元整"</f>
        <v>贰仟零柒拾玖万元整</v>
      </c>
      <c r="P78" s="1304"/>
      <c r="Q78" s="2028"/>
      <c r="R78" s="2028"/>
      <c r="S78" s="2028"/>
      <c r="T78" s="2028"/>
      <c r="U78" s="2028"/>
      <c r="V78" s="2028"/>
    </row>
    <row r="79" spans="1:22" ht="13.8" thickBot="1">
      <c r="A79" s="3386" t="s">
        <v>426</v>
      </c>
      <c r="B79" s="3386"/>
      <c r="C79" s="3386"/>
      <c r="D79" s="3386"/>
      <c r="E79" s="3386"/>
      <c r="F79" s="42"/>
      <c r="G79" s="42"/>
      <c r="H79" s="1003"/>
      <c r="I79" s="311"/>
      <c r="J79" s="2035"/>
      <c r="K79" s="3380">
        <f>K77+1</f>
        <v>5</v>
      </c>
      <c r="L79" s="3382" t="s">
        <v>2882</v>
      </c>
      <c r="M79" s="3058" t="s">
        <v>420</v>
      </c>
      <c r="N79" s="1302"/>
      <c r="O79" s="1303">
        <f ca="1">N69-O77</f>
        <v>36544</v>
      </c>
      <c r="P79" s="1304"/>
      <c r="Q79" s="2028"/>
      <c r="R79" s="2028"/>
      <c r="S79" s="2028"/>
      <c r="T79" s="2028"/>
      <c r="U79" s="2028"/>
      <c r="V79" s="2028"/>
    </row>
    <row r="80" spans="1:22" ht="26.4">
      <c r="A80" s="3387" t="s">
        <v>427</v>
      </c>
      <c r="B80" s="3388"/>
      <c r="C80" s="994"/>
      <c r="D80" s="994" t="s">
        <v>428</v>
      </c>
      <c r="E80" s="370" t="s">
        <v>429</v>
      </c>
      <c r="F80" s="42"/>
      <c r="G80" s="42"/>
      <c r="H80" s="1003"/>
      <c r="I80" s="311"/>
      <c r="J80" s="2028"/>
      <c r="K80" s="3381"/>
      <c r="L80" s="3382"/>
      <c r="M80" s="3058" t="s">
        <v>424</v>
      </c>
      <c r="N80" s="1302"/>
      <c r="O80" s="1303" t="str">
        <f ca="1">NUMBERSTRING(INT(O79*10000),2)&amp;"元整"</f>
        <v>叁亿陆仟伍佰肆拾肆万元整</v>
      </c>
      <c r="P80" s="1304"/>
      <c r="Q80" s="2028"/>
      <c r="R80" s="2028"/>
      <c r="S80" s="2028"/>
      <c r="T80" s="2028"/>
      <c r="U80" s="2028"/>
      <c r="V80" s="2028"/>
    </row>
    <row r="81" spans="1:26" ht="13.8" thickBot="1">
      <c r="A81" s="381" t="s">
        <v>1822</v>
      </c>
      <c r="B81" s="371" t="s">
        <v>430</v>
      </c>
      <c r="C81" s="372">
        <f ca="1">ROUND((C82+C83)/(1+'数据-取费表'!C42),0)</f>
        <v>36784</v>
      </c>
      <c r="D81" s="373"/>
      <c r="E81" s="374"/>
      <c r="F81" s="42"/>
      <c r="G81" s="42"/>
      <c r="H81" s="1003"/>
      <c r="I81" s="311"/>
      <c r="J81" s="2028"/>
      <c r="K81" s="3052">
        <f>K79+1</f>
        <v>6</v>
      </c>
      <c r="L81" s="3394" t="s">
        <v>2883</v>
      </c>
      <c r="M81" s="3395"/>
      <c r="N81" s="1306"/>
      <c r="O81" s="1307">
        <f ca="1">ROUND(O79*10000/'数据-汇总表'!E3,0)</f>
        <v>3581</v>
      </c>
      <c r="P81" s="1308"/>
      <c r="Q81" s="2028"/>
      <c r="R81" s="2028"/>
      <c r="S81" s="2028"/>
      <c r="T81" s="2028"/>
      <c r="U81" s="2028"/>
      <c r="V81" s="2028"/>
    </row>
    <row r="82" spans="1:26" ht="13.8" thickTop="1">
      <c r="A82" s="375" t="s">
        <v>1823</v>
      </c>
      <c r="B82" s="376" t="s">
        <v>431</v>
      </c>
      <c r="C82" s="377">
        <f ca="1">D63</f>
        <v>38623</v>
      </c>
      <c r="D82" s="378" t="s">
        <v>19</v>
      </c>
      <c r="E82" s="379"/>
      <c r="F82" s="42"/>
      <c r="G82" s="42"/>
      <c r="H82" s="1003"/>
      <c r="I82" s="311"/>
      <c r="J82" s="2028"/>
      <c r="K82" s="2028"/>
      <c r="L82" s="2028"/>
      <c r="M82" s="2028"/>
      <c r="N82" s="2028"/>
      <c r="O82" s="2028"/>
      <c r="P82" s="2028"/>
      <c r="Q82" s="2028"/>
      <c r="R82" s="2028"/>
      <c r="S82" s="2028"/>
      <c r="T82" s="2028"/>
      <c r="U82" s="2028"/>
      <c r="V82" s="2028"/>
    </row>
    <row r="83" spans="1:26" ht="13.2">
      <c r="A83" s="375" t="s">
        <v>1824</v>
      </c>
      <c r="B83" s="376" t="s">
        <v>432</v>
      </c>
      <c r="C83" s="380">
        <v>0</v>
      </c>
      <c r="D83" s="378"/>
      <c r="E83" s="379"/>
      <c r="F83" s="42"/>
      <c r="G83" s="42"/>
      <c r="H83" s="1003"/>
      <c r="I83" s="311"/>
      <c r="J83" s="2028"/>
      <c r="K83" s="3369" t="s">
        <v>2871</v>
      </c>
      <c r="L83" s="3064" t="s">
        <v>2872</v>
      </c>
      <c r="M83" s="3054">
        <f ca="1">IF(N69&gt;10000,N69*0.5%,IF(AND(N69&gt;1000,N69&lt;=10000),N69*1%,IF(AND(N69&gt;100,N69&lt;=1000),N69*3%,IF(AND(N69&gt;10,N69&lt;=100),N69*5%,N69*8%))))</f>
        <v>193.11500000000001</v>
      </c>
      <c r="N83" s="53">
        <f ca="1">ROUND(M83,1)</f>
        <v>193.1</v>
      </c>
      <c r="O83" s="3057"/>
      <c r="P83" s="2028"/>
      <c r="Q83" s="2028"/>
      <c r="R83" s="2028"/>
      <c r="S83" s="2028"/>
      <c r="T83" s="2028"/>
      <c r="U83" s="2028"/>
      <c r="V83" s="2028"/>
    </row>
    <row r="84" spans="1:26" ht="25.2">
      <c r="A84" s="381" t="s">
        <v>1825</v>
      </c>
      <c r="B84" s="382" t="s">
        <v>433</v>
      </c>
      <c r="C84" s="383">
        <v>2000</v>
      </c>
      <c r="D84" s="384" t="s">
        <v>19</v>
      </c>
      <c r="E84" s="3097" t="s">
        <v>2937</v>
      </c>
      <c r="F84" s="42"/>
      <c r="G84" s="42"/>
      <c r="H84" s="1003"/>
      <c r="I84" s="311"/>
      <c r="J84" s="2028"/>
      <c r="K84" s="3369"/>
      <c r="L84" s="3064" t="s">
        <v>2873</v>
      </c>
      <c r="M84" s="3054">
        <f ca="1">IF(N69&gt;2000,N69*0.5%,IF(AND(N69&gt;1000,N69&lt;=2000),N69*0.6%,IF(AND(N69&gt;500,N69&lt;=1000),N69*0.7%,IF(AND(N69&gt;200,N69&lt;=500),N69*0.8%,IF(AND(N69&gt;100,N69&lt;=200),N69*0.9%,IF(AND(N69&gt;50,N69&lt;=100),N69*1%,IF(AND(N69&gt;20,N69&lt;=50),N69*1.5%,IF(AND(N69&gt;10,N69&lt;=20),N69*2%,IF(AND(N69&gt;1,N69&lt;=10),N69*2.5%)))))))))</f>
        <v>193.11500000000001</v>
      </c>
      <c r="N84" s="53">
        <f t="shared" ref="N84:N85" ca="1" si="2">ROUND(M84,1)</f>
        <v>193.1</v>
      </c>
      <c r="O84" s="2028" t="s">
        <v>2874</v>
      </c>
      <c r="P84" s="2028"/>
      <c r="Q84" s="2028"/>
      <c r="R84" s="2028"/>
      <c r="S84" s="2028"/>
      <c r="T84" s="2028"/>
      <c r="U84" s="2028"/>
      <c r="V84" s="2028"/>
    </row>
    <row r="85" spans="1:26" ht="13.2">
      <c r="A85" s="381" t="s">
        <v>1826</v>
      </c>
      <c r="B85" s="382" t="s">
        <v>434</v>
      </c>
      <c r="C85" s="385">
        <f ca="1">C81-C84</f>
        <v>34784</v>
      </c>
      <c r="D85" s="378" t="s">
        <v>19</v>
      </c>
      <c r="E85" s="379"/>
      <c r="F85" s="42"/>
      <c r="G85" s="42"/>
      <c r="H85" s="1003"/>
      <c r="I85" s="311"/>
      <c r="J85" s="2028"/>
      <c r="K85" s="3369"/>
      <c r="L85" s="3064" t="s">
        <v>2875</v>
      </c>
      <c r="M85" s="3054">
        <f ca="1">IF(N69&gt;1000,N69*0.1%,IF(AND(N69&gt;500,N69&lt;=1000),N69*0.5%,IF(AND(N69&gt;50,N69&lt;=500),N69*1%,IF(AND(N69&gt;1,N69&lt;=50),N69*1.5%))))</f>
        <v>38.622999999999998</v>
      </c>
      <c r="N85" s="53">
        <f t="shared" ca="1" si="2"/>
        <v>38.6</v>
      </c>
      <c r="O85" s="2028" t="s">
        <v>2874</v>
      </c>
      <c r="P85" s="2028"/>
      <c r="Q85" s="2028"/>
      <c r="R85" s="2028"/>
      <c r="S85" s="2028"/>
      <c r="T85" s="2028"/>
      <c r="U85" s="2028"/>
      <c r="V85" s="2028"/>
    </row>
    <row r="86" spans="1:26" ht="13.8" thickBot="1">
      <c r="A86" s="386" t="s">
        <v>1827</v>
      </c>
      <c r="B86" s="387" t="s">
        <v>435</v>
      </c>
      <c r="C86" s="388">
        <f ca="1">IF(C85&lt;=0,0,ROUND(C85*D86,0))</f>
        <v>1948</v>
      </c>
      <c r="D86" s="389">
        <f>'数据-取费表'!B41</f>
        <v>5.6000000000000001E-2</v>
      </c>
      <c r="E86" s="390"/>
      <c r="F86" s="42"/>
      <c r="G86" s="42"/>
      <c r="H86" s="1003"/>
      <c r="I86" s="311"/>
      <c r="J86" s="2028"/>
      <c r="K86" s="3369"/>
      <c r="L86" s="3064" t="s">
        <v>2876</v>
      </c>
      <c r="M86" s="3054">
        <f ca="1">N69*0.5%</f>
        <v>193.11500000000001</v>
      </c>
      <c r="N86" s="53">
        <f ca="1">IF(M86&gt;0.5,0.5,ROUND(M86,0))</f>
        <v>0.5</v>
      </c>
      <c r="O86" s="2028" t="s">
        <v>2877</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69"/>
      <c r="L87" s="3064" t="s">
        <v>2878</v>
      </c>
      <c r="M87" s="3054">
        <f ca="1">IF(N69&gt;=10000,(8.25+(N69-10000)*0.01%),IF(AND(N69&gt;=8000,N69&lt;10000),(7.85+(N69-8000)*0.02%),IF(AND(N69&gt;=5000,N69&lt;8000),(6.65+(N69-5000)*0.04%),IF(AND(N69&gt;=2000,N69&lt;5000),(4.25+(PN69-2000)*0.08%),IF(AND(N69&gt;=1000,N69&lt;2000),(2.75+(N69-1000)*0.15%),IF(AND(N69&gt;=100,N69&lt;1000),(0.5+(N69-100)*0.25%),IF(AND(N69&gt;0,N69&lt;100),N69*0.5%)))))))</f>
        <v>11.112300000000001</v>
      </c>
      <c r="N87" s="53">
        <f ca="1">ROUND(M87*0.9,1)</f>
        <v>10</v>
      </c>
      <c r="O87" s="3057"/>
      <c r="P87" s="311"/>
      <c r="Q87" s="2028"/>
      <c r="R87" s="2028"/>
      <c r="S87" s="2028"/>
      <c r="T87" s="2028"/>
      <c r="U87" s="2028"/>
      <c r="V87" s="2028"/>
      <c r="W87" s="292"/>
      <c r="X87" s="292"/>
      <c r="Y87" s="292"/>
      <c r="Z87" s="292"/>
    </row>
    <row r="88" spans="1:26" s="1314" customFormat="1" ht="14.4" thickBot="1">
      <c r="A88" s="3423" t="s">
        <v>436</v>
      </c>
      <c r="B88" s="3424"/>
      <c r="C88" s="3424"/>
      <c r="D88" s="3424"/>
      <c r="E88" s="3424"/>
      <c r="F88" s="3424"/>
      <c r="G88" s="3424"/>
      <c r="H88" s="3424"/>
      <c r="I88" s="1315"/>
      <c r="J88" s="2036"/>
      <c r="K88" s="3369"/>
      <c r="L88" s="3064" t="s">
        <v>2879</v>
      </c>
      <c r="M88" s="3054">
        <f ca="1">IF(N69&gt;10000,N69*0.5%,IF(AND(N69&gt;5000,N69&lt;=10000),N69*1%,IF(AND(N69&gt;1000,N69&lt;=5000),N69*2%,IF(AND(N69&gt;200,N69&lt;=1000),N69*3%,N69*5%))))</f>
        <v>193.11500000000001</v>
      </c>
      <c r="N88" s="53">
        <f ca="1">ROUND(M88,1)</f>
        <v>193.1</v>
      </c>
      <c r="O88" s="3057"/>
      <c r="P88" s="11"/>
      <c r="Q88" s="2033"/>
      <c r="R88" s="2033"/>
      <c r="S88" s="2033"/>
      <c r="T88" s="2033"/>
      <c r="U88" s="2033"/>
      <c r="V88" s="2033"/>
      <c r="W88" s="2037"/>
      <c r="X88" s="2037"/>
      <c r="Y88" s="2037"/>
      <c r="Z88" s="2037"/>
    </row>
    <row r="89" spans="1:26" s="1314" customFormat="1" ht="13.8">
      <c r="A89" s="3387" t="s">
        <v>427</v>
      </c>
      <c r="B89" s="3388"/>
      <c r="C89" s="994"/>
      <c r="D89" s="994" t="s">
        <v>428</v>
      </c>
      <c r="E89" s="391" t="s">
        <v>437</v>
      </c>
      <c r="F89" s="392"/>
      <c r="G89" s="392"/>
      <c r="H89" s="393"/>
      <c r="I89" s="1316"/>
      <c r="J89" s="2038"/>
      <c r="K89" s="3369"/>
      <c r="L89" s="3064" t="s">
        <v>27</v>
      </c>
      <c r="M89" s="3055"/>
      <c r="N89" s="53">
        <f ca="1">ROUND(SUM(N83:N88),0)</f>
        <v>628</v>
      </c>
      <c r="O89" s="3065">
        <f ca="1">N89/N69</f>
        <v>1.6259741604743288E-2</v>
      </c>
      <c r="P89" s="2033"/>
      <c r="Q89" s="2033"/>
      <c r="R89" s="2033"/>
      <c r="S89" s="2033"/>
      <c r="T89" s="2033"/>
      <c r="U89" s="2033"/>
      <c r="V89" s="2033"/>
      <c r="W89" s="2037"/>
      <c r="X89" s="2037"/>
      <c r="Y89" s="2037"/>
      <c r="Z89" s="2037"/>
    </row>
    <row r="90" spans="1:26" s="1314" customFormat="1" ht="13.8">
      <c r="A90" s="381" t="s">
        <v>1822</v>
      </c>
      <c r="B90" s="382" t="s">
        <v>438</v>
      </c>
      <c r="C90" s="385">
        <f ca="1">ROUND(D63/(1+'数据-取费表'!C42),0)</f>
        <v>36784</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3.8">
      <c r="A91" s="381" t="s">
        <v>1828</v>
      </c>
      <c r="B91" s="348" t="s">
        <v>439</v>
      </c>
      <c r="C91" s="385">
        <f ca="1">C92+C96</f>
        <v>2782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4">
      <c r="A93" s="395" t="s">
        <v>1830</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1831</v>
      </c>
      <c r="B94" s="400" t="s">
        <v>445</v>
      </c>
      <c r="C94" s="378">
        <f>IF(F93="购房发票",ROUND(C93*H93*5%,0),0)</f>
        <v>500</v>
      </c>
      <c r="D94" s="401">
        <v>0.05</v>
      </c>
      <c r="E94" s="3420" t="s">
        <v>446</v>
      </c>
      <c r="F94" s="3421"/>
      <c r="G94" s="3421"/>
      <c r="H94" s="342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1833</v>
      </c>
      <c r="B96" s="376" t="s">
        <v>449</v>
      </c>
      <c r="C96" s="405">
        <f ca="1">ROUND(D63*D96/(1+'数据-取费表'!C42),0)</f>
        <v>221</v>
      </c>
      <c r="D96" s="406">
        <f>'数据-取费表'!B43</f>
        <v>6.000000000000001E-3</v>
      </c>
      <c r="E96" s="3410" t="s">
        <v>2428</v>
      </c>
      <c r="F96" s="3411"/>
      <c r="G96" s="3411"/>
      <c r="H96" s="3412"/>
      <c r="I96" s="1317"/>
      <c r="J96" s="2039"/>
      <c r="K96" s="2033"/>
      <c r="L96" s="2033"/>
      <c r="M96" s="2033"/>
      <c r="N96" s="2033"/>
      <c r="O96" s="2033"/>
      <c r="P96" s="2033"/>
      <c r="Q96" s="2033"/>
      <c r="R96" s="2033"/>
      <c r="S96" s="2033"/>
      <c r="T96" s="2033"/>
      <c r="U96" s="2033"/>
      <c r="V96" s="2033"/>
      <c r="W96" s="2037"/>
      <c r="X96" s="2037"/>
      <c r="Y96" s="2037"/>
      <c r="Z96" s="2037"/>
    </row>
    <row r="97" spans="1:26" s="1314" customFormat="1" ht="13.8">
      <c r="A97" s="1616" t="s">
        <v>1834</v>
      </c>
      <c r="B97" s="382" t="s">
        <v>450</v>
      </c>
      <c r="C97" s="385">
        <f ca="1">C90-C91</f>
        <v>34002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6" t="s">
        <v>1835</v>
      </c>
      <c r="B98" s="382" t="s">
        <v>451</v>
      </c>
      <c r="C98" s="407">
        <f ca="1">IF(C97&lt;=0,0,C97/C91)</f>
        <v>12.222142343637671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6" thickBot="1">
      <c r="A99" s="1617" t="s">
        <v>1836</v>
      </c>
      <c r="B99" s="387" t="s">
        <v>452</v>
      </c>
      <c r="C99" s="408">
        <f ca="1">ROUND(IF(C97&lt;=0,0,IF(C98&gt;=200%,C97*60%-C91*35%,IF(C98&gt;=100%,C97*50%-C91*15%,IF(C98&gt;=50%,C97*40%-C91*5%,IF(C98&lt;50%,C97*30%,0))))),0)</f>
        <v>19428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4.4" thickBot="1">
      <c r="A101" s="3423" t="s">
        <v>453</v>
      </c>
      <c r="B101" s="3424"/>
      <c r="C101" s="3424"/>
      <c r="D101" s="3424"/>
      <c r="E101" s="3424"/>
      <c r="F101" s="3424"/>
      <c r="G101" s="3424"/>
      <c r="H101" s="342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3.8">
      <c r="A102" s="3387" t="s">
        <v>427</v>
      </c>
      <c r="B102" s="3388"/>
      <c r="C102" s="994"/>
      <c r="D102" s="994"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3.8">
      <c r="A103" s="381" t="s">
        <v>1822</v>
      </c>
      <c r="B103" s="382" t="s">
        <v>438</v>
      </c>
      <c r="C103" s="385">
        <f ca="1">ROUND(D63/(1+'数据-取费表'!C42),0)</f>
        <v>36784</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3.8">
      <c r="A104" s="381" t="s">
        <v>1828</v>
      </c>
      <c r="B104" s="348" t="s">
        <v>439</v>
      </c>
      <c r="C104" s="385">
        <f ca="1">IF(H106="仅含出让金",C105+C108+C109+C110+C111+C112,C105+C109+C110+C111+C112)</f>
        <v>45571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3.8">
      <c r="A105" s="395" t="s">
        <v>1829</v>
      </c>
      <c r="B105" s="376" t="s">
        <v>454</v>
      </c>
      <c r="C105" s="405">
        <f>C106+C107</f>
        <v>41227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3.8">
      <c r="A106" s="395" t="s">
        <v>1830</v>
      </c>
      <c r="B106" s="376" t="s">
        <v>455</v>
      </c>
      <c r="C106" s="416">
        <v>40007</v>
      </c>
      <c r="D106" s="406"/>
      <c r="E106" s="417" t="s">
        <v>456</v>
      </c>
      <c r="F106" s="986"/>
      <c r="G106" s="418" t="s">
        <v>457</v>
      </c>
      <c r="H106" s="419" t="s">
        <v>3067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3.8">
      <c r="A107" s="395" t="s">
        <v>1831</v>
      </c>
      <c r="B107" s="376" t="s">
        <v>447</v>
      </c>
      <c r="C107" s="405">
        <f>ROUND(C106*D107,0)</f>
        <v>1220</v>
      </c>
      <c r="D107" s="406">
        <f>'数据-取费表'!B48+'数据-取费表'!B49</f>
        <v>3.0499999999999999E-2</v>
      </c>
      <c r="E107" s="417" t="s">
        <v>458</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3.8">
      <c r="A108" s="395" t="s">
        <v>1833</v>
      </c>
      <c r="B108" s="376" t="s">
        <v>459</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8" t="s">
        <v>1837</v>
      </c>
      <c r="B109" s="376" t="s">
        <v>460</v>
      </c>
      <c r="C109" s="405">
        <f>IF(H109="——",IF(F1="现房",'剩余法-现房'!C18,'剩余法-待开发'!C18),I109)</f>
        <v>0</v>
      </c>
      <c r="D109" s="406"/>
      <c r="E109" s="3413" t="s">
        <v>461</v>
      </c>
      <c r="F109" s="3411"/>
      <c r="G109" s="3411"/>
      <c r="H109" s="1941" t="s">
        <v>3070</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8" t="s">
        <v>1838</v>
      </c>
      <c r="B110" s="376" t="s">
        <v>462</v>
      </c>
      <c r="C110" s="405">
        <f>ROUND((C105+C108+C109)*D110,0)</f>
        <v>4123</v>
      </c>
      <c r="D110" s="406">
        <v>0.1</v>
      </c>
      <c r="E110" s="3413" t="s">
        <v>463</v>
      </c>
      <c r="F110" s="3411"/>
      <c r="G110" s="3411"/>
      <c r="H110" s="3412"/>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8" t="s">
        <v>1839</v>
      </c>
      <c r="B111" s="376" t="s">
        <v>449</v>
      </c>
      <c r="C111" s="405">
        <f ca="1">ROUND(D63*D111/(1+'数据-取费表'!C42),0)</f>
        <v>221</v>
      </c>
      <c r="D111" s="406">
        <f>'数据-取费表'!B43</f>
        <v>6.000000000000001E-3</v>
      </c>
      <c r="E111" s="3410" t="s">
        <v>2428</v>
      </c>
      <c r="F111" s="3411"/>
      <c r="G111" s="3411"/>
      <c r="H111" s="3412"/>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8" t="s">
        <v>1840</v>
      </c>
      <c r="B112" s="376" t="s">
        <v>464</v>
      </c>
      <c r="C112" s="405">
        <f>ROUND(C108*D112,0)</f>
        <v>0</v>
      </c>
      <c r="D112" s="406">
        <v>0.2</v>
      </c>
      <c r="E112" s="3413" t="s">
        <v>2452</v>
      </c>
      <c r="F112" s="3411"/>
      <c r="G112" s="3411"/>
      <c r="H112" s="3412"/>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3.8">
      <c r="A113" s="1616" t="s">
        <v>1834</v>
      </c>
      <c r="B113" s="382" t="s">
        <v>450</v>
      </c>
      <c r="C113" s="385">
        <f ca="1">ROUND(C103-C104,0)</f>
        <v>-8787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6"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6" thickBot="1">
      <c r="A115" s="1617"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70" zoomScaleNormal="95" zoomScaleSheetLayoutView="70" workbookViewId="0">
      <selection activeCell="F31" sqref="F31"/>
    </sheetView>
  </sheetViews>
  <sheetFormatPr defaultColWidth="9" defaultRowHeight="13.8"/>
  <cols>
    <col min="1" max="1" width="15.6640625" style="1337" customWidth="1"/>
    <col min="2" max="2" width="15.77734375" style="1337" customWidth="1"/>
    <col min="3" max="3" width="19"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5"/>
    </row>
    <row r="2" spans="1:30" s="1336" customFormat="1" ht="28.5" customHeight="1">
      <c r="A2" s="423" t="s">
        <v>466</v>
      </c>
      <c r="B2" s="508">
        <f>F68</f>
        <v>35868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5"/>
    </row>
    <row r="3" spans="1:30" s="1336" customFormat="1" ht="28.5" customHeight="1">
      <c r="A3" s="1379" t="s">
        <v>1683</v>
      </c>
      <c r="B3" s="510">
        <f>ROUND(B2*10000/'数据-汇总表'!E3,0)</f>
        <v>3515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6" customFormat="1" ht="28.5" customHeight="1">
      <c r="A4" s="511" t="s">
        <v>519</v>
      </c>
      <c r="B4" s="427">
        <f>IF(B48="单位面积地价",C50,ROUND(B2*10000/'数据-汇总表'!D3,0))</f>
        <v>5272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6" customFormat="1" ht="28.5" customHeight="1" thickBot="1">
      <c r="A5" s="429"/>
      <c r="B5" s="430">
        <f>ROUND(B2/('数据-汇总表'!D3/666.67),0)</f>
        <v>351</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1">
      <c r="A6" s="512" t="s">
        <v>520</v>
      </c>
      <c r="B6" s="513"/>
      <c r="C6" s="3468" t="s">
        <v>521</v>
      </c>
      <c r="D6" s="3469"/>
      <c r="E6" s="3468" t="s">
        <v>522</v>
      </c>
      <c r="F6" s="3469"/>
      <c r="G6" s="3468" t="s">
        <v>523</v>
      </c>
      <c r="H6" s="3469"/>
      <c r="I6" s="3468" t="s">
        <v>524</v>
      </c>
      <c r="J6" s="3469"/>
      <c r="K6" s="514" t="s">
        <v>525</v>
      </c>
      <c r="L6" s="2133"/>
      <c r="M6" s="2132"/>
      <c r="N6" s="2132"/>
      <c r="O6" s="2134"/>
      <c r="P6" s="3470" t="s">
        <v>526</v>
      </c>
      <c r="Q6" s="3471"/>
      <c r="R6" s="3456" t="s">
        <v>522</v>
      </c>
      <c r="S6" s="3457"/>
      <c r="T6" s="3456" t="s">
        <v>523</v>
      </c>
      <c r="U6" s="3457"/>
      <c r="V6" s="3476" t="s">
        <v>524</v>
      </c>
      <c r="W6" s="3476"/>
      <c r="X6" s="1566"/>
      <c r="Y6" s="3456" t="s">
        <v>526</v>
      </c>
      <c r="Z6" s="3457"/>
      <c r="AA6" s="3451" t="s">
        <v>522</v>
      </c>
      <c r="AB6" s="3452" t="s">
        <v>523</v>
      </c>
      <c r="AC6" s="3451" t="s">
        <v>524</v>
      </c>
    </row>
    <row r="7" spans="1:30" ht="67.2" customHeight="1">
      <c r="A7" s="515"/>
      <c r="B7" s="516"/>
      <c r="C7" s="3481" t="s">
        <v>3154</v>
      </c>
      <c r="D7" s="3480"/>
      <c r="E7" s="3479" t="str">
        <f>土地案例!A19</f>
        <v>两江新区龙兴组团H分区H13-1/01、H16-1/01、H17-1/01、H17-2/01、H19-1/01、H26-1/01号宗地</v>
      </c>
      <c r="F7" s="3480"/>
      <c r="G7" s="3479" t="str">
        <f>土地案例!A20</f>
        <v>两江新区龙兴组团H分区H23-1/01、H18-2/01、H20-1/01、H21-1/01、H26-2/01、H26-3/01、H26-4/01、H28-3/01、H29-1/01号宗地</v>
      </c>
      <c r="H7" s="3480"/>
      <c r="I7" s="3479" t="str">
        <f>土地案例!A25</f>
        <v>两江新区龙兴组团K、H分区K27-1/01、K29-1/01、*K30-3/01、K31-1/01、K31-8/01、K33-2/01、H25-2/01号宗地</v>
      </c>
      <c r="J7" s="3480"/>
      <c r="K7" s="514"/>
      <c r="L7" s="2133"/>
      <c r="M7" s="2132"/>
      <c r="N7" s="2132"/>
      <c r="O7" s="2134"/>
      <c r="P7" s="3472"/>
      <c r="Q7" s="3473"/>
      <c r="R7" s="3458"/>
      <c r="S7" s="3459"/>
      <c r="T7" s="3458"/>
      <c r="U7" s="3459"/>
      <c r="V7" s="3476"/>
      <c r="W7" s="3476"/>
      <c r="X7" s="1566"/>
      <c r="Y7" s="3458"/>
      <c r="Z7" s="3459"/>
      <c r="AA7" s="3452"/>
      <c r="AB7" s="3452"/>
      <c r="AC7" s="3452"/>
    </row>
    <row r="8" spans="1:30" ht="21.6" thickBot="1">
      <c r="A8" s="515"/>
      <c r="B8" s="516"/>
      <c r="C8" s="3482" t="s">
        <v>3155</v>
      </c>
      <c r="D8" s="3483"/>
      <c r="E8" s="3484" t="str">
        <f>C8</f>
        <v>重庆两江新区</v>
      </c>
      <c r="F8" s="3483"/>
      <c r="G8" s="3477" t="str">
        <f>E8</f>
        <v>重庆两江新区</v>
      </c>
      <c r="H8" s="3478"/>
      <c r="I8" s="3477" t="str">
        <f>E8</f>
        <v>重庆两江新区</v>
      </c>
      <c r="J8" s="3478"/>
      <c r="K8" s="514" t="s">
        <v>527</v>
      </c>
      <c r="L8" s="2133"/>
      <c r="M8" s="2132"/>
      <c r="N8" s="2132"/>
      <c r="O8" s="2134"/>
      <c r="P8" s="3474"/>
      <c r="Q8" s="3475"/>
      <c r="R8" s="3458"/>
      <c r="S8" s="3459"/>
      <c r="T8" s="3460"/>
      <c r="U8" s="3461"/>
      <c r="V8" s="3476"/>
      <c r="W8" s="3476"/>
      <c r="X8" s="1566"/>
      <c r="Y8" s="3460"/>
      <c r="Z8" s="3461"/>
      <c r="AA8" s="3453"/>
      <c r="AB8" s="3453"/>
      <c r="AC8" s="3453"/>
    </row>
    <row r="9" spans="1:30" s="1220" customFormat="1" ht="21.6" thickBot="1">
      <c r="A9" s="2912"/>
      <c r="B9" s="2919" t="s">
        <v>528</v>
      </c>
      <c r="C9" s="2911">
        <f>'数据-取费表'!B2</f>
        <v>43626</v>
      </c>
      <c r="D9" s="520">
        <v>100</v>
      </c>
      <c r="E9" s="521" t="str">
        <f>土地案例!AA19</f>
        <v>2018-03-30</v>
      </c>
      <c r="F9" s="522">
        <f>SUMIF(72:72,YEAR(E9)&amp;"-"&amp;INT((MONTH(E9)+2)/3),73:73)</f>
        <v>95</v>
      </c>
      <c r="G9" s="523" t="str">
        <f>土地案例!AA20</f>
        <v>2018-03-30</v>
      </c>
      <c r="H9" s="520">
        <f>SUMIF(72:72,YEAR(G9)&amp;"-"&amp;INT((MONTH(G9)+2)/3),73:73)</f>
        <v>95</v>
      </c>
      <c r="I9" s="523" t="str">
        <f>土地案例!AA25</f>
        <v>2018-02-13</v>
      </c>
      <c r="J9" s="520">
        <f>SUMIF(72:72,YEAR(I9)&amp;"-"&amp;INT((MONTH(I9)+2)/3),73:73)</f>
        <v>95</v>
      </c>
      <c r="K9" s="524"/>
      <c r="L9" s="2135"/>
      <c r="M9" s="2132"/>
      <c r="N9" s="2132"/>
      <c r="O9" s="2136"/>
      <c r="P9" s="3454" t="s">
        <v>529</v>
      </c>
      <c r="Q9" s="3463"/>
      <c r="R9" s="1567" t="s">
        <v>8</v>
      </c>
      <c r="S9" s="1568">
        <f t="shared" ref="S9:S17" si="0">F9</f>
        <v>95</v>
      </c>
      <c r="T9" s="1567" t="s">
        <v>8</v>
      </c>
      <c r="U9" s="1568">
        <f t="shared" ref="U9:U17" si="1">H9</f>
        <v>95</v>
      </c>
      <c r="V9" s="1567" t="s">
        <v>8</v>
      </c>
      <c r="W9" s="1568">
        <f t="shared" ref="W9:W17" si="2">J9</f>
        <v>95</v>
      </c>
      <c r="X9" s="1569"/>
      <c r="Y9" s="3454" t="s">
        <v>529</v>
      </c>
      <c r="Z9" s="3455"/>
      <c r="AA9" s="1570">
        <f>D9/F9</f>
        <v>1.0526315789473684</v>
      </c>
      <c r="AB9" s="1570">
        <f>D9/H9</f>
        <v>1.0526315789473684</v>
      </c>
      <c r="AC9" s="1570">
        <f>D9/J9</f>
        <v>1.0526315789473684</v>
      </c>
    </row>
    <row r="10" spans="1:30" s="1220" customFormat="1" ht="21.6" thickBot="1">
      <c r="A10" s="2913"/>
      <c r="B10" s="2920" t="s">
        <v>530</v>
      </c>
      <c r="C10" s="856" t="s">
        <v>531</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5"/>
      <c r="M10" s="2132"/>
      <c r="N10" s="2132"/>
      <c r="O10" s="2136"/>
      <c r="P10" s="3454" t="s">
        <v>532</v>
      </c>
      <c r="Q10" s="3455"/>
      <c r="R10" s="1567" t="s">
        <v>8</v>
      </c>
      <c r="S10" s="1568">
        <f t="shared" si="0"/>
        <v>100</v>
      </c>
      <c r="T10" s="1567" t="s">
        <v>8</v>
      </c>
      <c r="U10" s="1568">
        <f t="shared" si="1"/>
        <v>100</v>
      </c>
      <c r="V10" s="1567" t="s">
        <v>8</v>
      </c>
      <c r="W10" s="1568">
        <f t="shared" si="2"/>
        <v>100</v>
      </c>
      <c r="X10" s="1569"/>
      <c r="Y10" s="3454" t="s">
        <v>532</v>
      </c>
      <c r="Z10" s="3455"/>
      <c r="AA10" s="1570">
        <f t="shared" ref="AA10:AA47" si="3">D10/F10</f>
        <v>1</v>
      </c>
      <c r="AB10" s="1570">
        <f t="shared" ref="AB10:AB47" si="4">D10/H10</f>
        <v>1</v>
      </c>
      <c r="AC10" s="1570">
        <f t="shared" ref="AC10:AC47" si="5">D10/J10</f>
        <v>1</v>
      </c>
    </row>
    <row r="11" spans="1:30" s="1220" customFormat="1" ht="21">
      <c r="A11" s="2914"/>
      <c r="B11" s="2921" t="s">
        <v>2753</v>
      </c>
      <c r="C11" s="2908" t="s">
        <v>922</v>
      </c>
      <c r="D11" s="254">
        <v>100</v>
      </c>
      <c r="E11" s="2908" t="s">
        <v>922</v>
      </c>
      <c r="F11" s="254">
        <f>SUMIF(77:77,E11,78:78)-SUMIF(77:77,C11,78:78)+100</f>
        <v>100</v>
      </c>
      <c r="G11" s="2908" t="s">
        <v>922</v>
      </c>
      <c r="H11" s="254">
        <f>SUMIF(77:77,G11,78:78)-SUMIF(77:77,C11,78:78)+100</f>
        <v>100</v>
      </c>
      <c r="I11" s="2908" t="s">
        <v>922</v>
      </c>
      <c r="J11" s="254">
        <f>SUMIF(77:77,I11,78:78)-SUMIF(77:77,C11,78:78)+100</f>
        <v>100</v>
      </c>
      <c r="K11" s="524"/>
      <c r="L11" s="2135"/>
      <c r="M11" s="2132"/>
      <c r="N11" s="2132"/>
      <c r="O11" s="2137"/>
      <c r="P11" s="3462" t="s">
        <v>534</v>
      </c>
      <c r="Q11" s="1151" t="str">
        <f t="shared" ref="Q11:Q17" si="6">B11</f>
        <v>用途</v>
      </c>
      <c r="R11" s="1567" t="s">
        <v>8</v>
      </c>
      <c r="S11" s="1568">
        <f t="shared" si="0"/>
        <v>100</v>
      </c>
      <c r="T11" s="1567" t="s">
        <v>8</v>
      </c>
      <c r="U11" s="1568">
        <f t="shared" si="1"/>
        <v>100</v>
      </c>
      <c r="V11" s="1567" t="s">
        <v>8</v>
      </c>
      <c r="W11" s="1568">
        <f t="shared" si="2"/>
        <v>100</v>
      </c>
      <c r="X11" s="1569"/>
      <c r="Y11" s="3419" t="s">
        <v>535</v>
      </c>
      <c r="Z11" s="1150" t="str">
        <f t="shared" ref="Z11:Z17" si="7">Q11</f>
        <v>用途</v>
      </c>
      <c r="AA11" s="1570">
        <f t="shared" si="3"/>
        <v>1</v>
      </c>
      <c r="AB11" s="1570">
        <f t="shared" si="4"/>
        <v>1</v>
      </c>
      <c r="AC11" s="1570">
        <f t="shared" si="5"/>
        <v>1</v>
      </c>
    </row>
    <row r="12" spans="1:30" s="1338" customFormat="1" ht="28.8">
      <c r="A12" s="2915"/>
      <c r="B12" s="2920" t="s">
        <v>2754</v>
      </c>
      <c r="C12" s="910"/>
      <c r="D12" s="255">
        <v>100</v>
      </c>
      <c r="E12" s="529"/>
      <c r="F12" s="255">
        <f>ROUND(100/年期修正表!C16/'数据-取费表'!G16,0)</f>
        <v>97</v>
      </c>
      <c r="G12" s="530"/>
      <c r="H12" s="255">
        <f>ROUND(100/年期修正表!C16/'数据-取费表'!G16,0)</f>
        <v>97</v>
      </c>
      <c r="I12" s="530"/>
      <c r="J12" s="255">
        <f>ROUND(100/年期修正表!C16/'数据-取费表'!G16,0)</f>
        <v>97</v>
      </c>
      <c r="K12" s="531"/>
      <c r="L12" s="2138"/>
      <c r="M12" s="2132"/>
      <c r="N12" s="2132"/>
      <c r="O12" s="2139"/>
      <c r="P12" s="3462"/>
      <c r="Q12" s="1151" t="str">
        <f t="shared" si="6"/>
        <v>土地使用年限（年）</v>
      </c>
      <c r="R12" s="1567" t="s">
        <v>8</v>
      </c>
      <c r="S12" s="1568">
        <f t="shared" si="0"/>
        <v>97</v>
      </c>
      <c r="T12" s="1567" t="s">
        <v>8</v>
      </c>
      <c r="U12" s="1568">
        <f t="shared" si="1"/>
        <v>97</v>
      </c>
      <c r="V12" s="1567" t="s">
        <v>8</v>
      </c>
      <c r="W12" s="1568">
        <f t="shared" si="2"/>
        <v>97</v>
      </c>
      <c r="X12" s="1569"/>
      <c r="Y12" s="3419"/>
      <c r="Z12" s="1150" t="str">
        <f t="shared" si="7"/>
        <v>土地使用年限（年）</v>
      </c>
      <c r="AA12" s="1570">
        <f t="shared" si="3"/>
        <v>1.0309278350515463</v>
      </c>
      <c r="AB12" s="1570">
        <f t="shared" si="4"/>
        <v>1.0309278350515463</v>
      </c>
      <c r="AC12" s="1570">
        <f t="shared" si="5"/>
        <v>1.0309278350515463</v>
      </c>
    </row>
    <row r="13" spans="1:30" ht="21">
      <c r="A13" s="2916"/>
      <c r="B13" s="2920" t="s">
        <v>2755</v>
      </c>
      <c r="C13" s="3197">
        <f>'数据-汇总表'!I6</f>
        <v>1.5</v>
      </c>
      <c r="D13" s="255">
        <v>100</v>
      </c>
      <c r="E13" s="533">
        <v>1.04</v>
      </c>
      <c r="F13" s="255">
        <f>LOOKUP(E13,82:82,83:83)-LOOKUP(C13,82:82,83:83)+100</f>
        <v>100</v>
      </c>
      <c r="G13" s="534">
        <v>0.95</v>
      </c>
      <c r="H13" s="255">
        <f>LOOKUP(G13,82:82,83:83)-LOOKUP(C13,82:82,83:83)+100</f>
        <v>101</v>
      </c>
      <c r="I13" s="533">
        <v>1.1000000000000001</v>
      </c>
      <c r="J13" s="255">
        <f>LOOKUP(I13,82:82,83:83)-LOOKUP(C13,82:82,83:83)+100</f>
        <v>100</v>
      </c>
      <c r="K13" s="535">
        <v>1</v>
      </c>
      <c r="L13" s="2140"/>
      <c r="M13" s="2132"/>
      <c r="N13" s="2132"/>
      <c r="O13" s="2141"/>
      <c r="P13" s="3462"/>
      <c r="Q13" s="1151" t="str">
        <f t="shared" si="6"/>
        <v>容积率</v>
      </c>
      <c r="R13" s="1567" t="s">
        <v>8</v>
      </c>
      <c r="S13" s="1568">
        <f t="shared" si="0"/>
        <v>100</v>
      </c>
      <c r="T13" s="1567" t="s">
        <v>8</v>
      </c>
      <c r="U13" s="1568">
        <f t="shared" si="1"/>
        <v>101</v>
      </c>
      <c r="V13" s="1567" t="s">
        <v>8</v>
      </c>
      <c r="W13" s="1568">
        <f t="shared" si="2"/>
        <v>100</v>
      </c>
      <c r="X13" s="1569"/>
      <c r="Y13" s="3419"/>
      <c r="Z13" s="1150" t="str">
        <f t="shared" si="7"/>
        <v>容积率</v>
      </c>
      <c r="AA13" s="1570">
        <f t="shared" si="3"/>
        <v>1</v>
      </c>
      <c r="AB13" s="1570">
        <f t="shared" si="4"/>
        <v>0.99009900990099009</v>
      </c>
      <c r="AC13" s="1570">
        <f t="shared" si="5"/>
        <v>1</v>
      </c>
    </row>
    <row r="14" spans="1:30" s="1220" customFormat="1" ht="21" hidden="1">
      <c r="A14" s="2913"/>
      <c r="B14" s="2922" t="s">
        <v>2756</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62"/>
      <c r="Q14" s="1151" t="str">
        <f t="shared" si="6"/>
        <v>配建</v>
      </c>
      <c r="R14" s="1567" t="s">
        <v>8</v>
      </c>
      <c r="S14" s="1568">
        <f t="shared" si="0"/>
        <v>100</v>
      </c>
      <c r="T14" s="1567" t="s">
        <v>8</v>
      </c>
      <c r="U14" s="1568">
        <f t="shared" si="1"/>
        <v>100</v>
      </c>
      <c r="V14" s="1567" t="s">
        <v>8</v>
      </c>
      <c r="W14" s="1568">
        <f t="shared" si="2"/>
        <v>100</v>
      </c>
      <c r="X14" s="1569"/>
      <c r="Y14" s="3419"/>
      <c r="Z14" s="1150" t="str">
        <f t="shared" si="7"/>
        <v>配建</v>
      </c>
      <c r="AA14" s="1570">
        <f>D14/F14</f>
        <v>1</v>
      </c>
      <c r="AB14" s="1570">
        <f>D14/H14</f>
        <v>1</v>
      </c>
      <c r="AC14" s="1570">
        <f>D14/J14</f>
        <v>1</v>
      </c>
    </row>
    <row r="15" spans="1:30" ht="21" hidden="1">
      <c r="A15" s="2917"/>
      <c r="B15" s="3236"/>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62"/>
      <c r="Q15" s="1151">
        <f t="shared" si="6"/>
        <v>0</v>
      </c>
      <c r="R15" s="1567" t="s">
        <v>8</v>
      </c>
      <c r="S15" s="1568">
        <f t="shared" si="0"/>
        <v>100</v>
      </c>
      <c r="T15" s="1567" t="s">
        <v>8</v>
      </c>
      <c r="U15" s="1568">
        <f t="shared" si="1"/>
        <v>100</v>
      </c>
      <c r="V15" s="1567" t="s">
        <v>8</v>
      </c>
      <c r="W15" s="1568">
        <f t="shared" si="2"/>
        <v>100</v>
      </c>
      <c r="X15" s="1569"/>
      <c r="Y15" s="3419"/>
      <c r="Z15" s="1150">
        <f t="shared" si="7"/>
        <v>0</v>
      </c>
      <c r="AA15" s="1570">
        <f>D15/F15</f>
        <v>1</v>
      </c>
      <c r="AB15" s="1570">
        <f>D15/H15</f>
        <v>1</v>
      </c>
      <c r="AC15" s="1570">
        <f>D15/J15</f>
        <v>1</v>
      </c>
    </row>
    <row r="16" spans="1:30" ht="21.6" thickBot="1">
      <c r="A16" s="2918"/>
      <c r="B16" s="3237" t="s">
        <v>3434</v>
      </c>
      <c r="C16" s="3238" t="s">
        <v>3429</v>
      </c>
      <c r="D16" s="546">
        <v>100</v>
      </c>
      <c r="E16" s="3238" t="s">
        <v>3429</v>
      </c>
      <c r="F16" s="546">
        <f>SUMIF(88:88,E16,89:89)-SUMIF(88:88,C16,89:89)+100</f>
        <v>100</v>
      </c>
      <c r="G16" s="3239" t="s">
        <v>3430</v>
      </c>
      <c r="H16" s="546">
        <f>SUMIF(88:88,G16,89:89)-SUMIF(88:88,C16,89:89)+100</f>
        <v>95</v>
      </c>
      <c r="I16" s="3238" t="s">
        <v>3429</v>
      </c>
      <c r="J16" s="546">
        <f>SUMIF(88:88,I16,89:89)-SUMIF(88:88,C16,89:89)+100</f>
        <v>100</v>
      </c>
      <c r="K16" s="531"/>
      <c r="L16" s="2142"/>
      <c r="M16" s="2132"/>
      <c r="N16" s="2132"/>
      <c r="O16" s="2141"/>
      <c r="P16" s="3462"/>
      <c r="Q16" s="1151" t="str">
        <f t="shared" si="6"/>
        <v>是否有自持</v>
      </c>
      <c r="R16" s="1567" t="s">
        <v>8</v>
      </c>
      <c r="S16" s="1568">
        <f t="shared" si="0"/>
        <v>100</v>
      </c>
      <c r="T16" s="1567" t="s">
        <v>8</v>
      </c>
      <c r="U16" s="1568">
        <f t="shared" si="1"/>
        <v>95</v>
      </c>
      <c r="V16" s="1567" t="s">
        <v>8</v>
      </c>
      <c r="W16" s="1568">
        <f t="shared" si="2"/>
        <v>100</v>
      </c>
      <c r="X16" s="1569"/>
      <c r="Y16" s="3419"/>
      <c r="Z16" s="1150" t="str">
        <f t="shared" si="7"/>
        <v>是否有自持</v>
      </c>
      <c r="AA16" s="1570">
        <f>D16/F16</f>
        <v>1</v>
      </c>
      <c r="AB16" s="1570">
        <f>D16/H16</f>
        <v>1.0526315789473684</v>
      </c>
      <c r="AC16" s="1570">
        <f>D16/J16</f>
        <v>1</v>
      </c>
    </row>
    <row r="17" spans="1:29" ht="96.6">
      <c r="A17" s="2910" t="s">
        <v>2751</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100</v>
      </c>
      <c r="G17" s="550"/>
      <c r="H17" s="549">
        <f>SUMIF(90:90,G18,91:91)-SUMIF(90:90,C18,91:91)+100</f>
        <v>100</v>
      </c>
      <c r="I17" s="552"/>
      <c r="J17" s="549">
        <f>SUMIF(90:90,I18,91:91)-SUMIF(90:90,C18,91:91)+100</f>
        <v>98</v>
      </c>
      <c r="K17" s="535">
        <v>2</v>
      </c>
      <c r="L17" s="2142"/>
      <c r="M17" s="2132"/>
      <c r="N17" s="2132"/>
      <c r="O17" s="2141"/>
      <c r="P17" s="3464" t="s">
        <v>539</v>
      </c>
      <c r="Q17" s="1571" t="str">
        <f t="shared" si="6"/>
        <v>居住社区成熟度</v>
      </c>
      <c r="R17" s="1572" t="s">
        <v>8</v>
      </c>
      <c r="S17" s="1573">
        <f t="shared" si="0"/>
        <v>100</v>
      </c>
      <c r="T17" s="1572" t="s">
        <v>8</v>
      </c>
      <c r="U17" s="1573">
        <f t="shared" si="1"/>
        <v>100</v>
      </c>
      <c r="V17" s="1572" t="s">
        <v>8</v>
      </c>
      <c r="W17" s="1573">
        <f t="shared" si="2"/>
        <v>98</v>
      </c>
      <c r="X17" s="1566"/>
      <c r="Y17" s="3464" t="s">
        <v>539</v>
      </c>
      <c r="Z17" s="1574" t="str">
        <f t="shared" si="7"/>
        <v>居住社区成熟度</v>
      </c>
      <c r="AA17" s="1575">
        <f t="shared" si="3"/>
        <v>1</v>
      </c>
      <c r="AB17" s="1575">
        <f t="shared" si="4"/>
        <v>1</v>
      </c>
      <c r="AC17" s="1575">
        <f t="shared" si="5"/>
        <v>1.0204081632653061</v>
      </c>
    </row>
    <row r="18" spans="1:29" ht="21">
      <c r="A18" s="532"/>
      <c r="B18" s="553"/>
      <c r="C18" s="554" t="s">
        <v>3033</v>
      </c>
      <c r="D18" s="557"/>
      <c r="E18" s="554" t="s">
        <v>3033</v>
      </c>
      <c r="F18" s="555"/>
      <c r="G18" s="554" t="s">
        <v>3033</v>
      </c>
      <c r="H18" s="559"/>
      <c r="I18" s="554" t="s">
        <v>3061</v>
      </c>
      <c r="J18" s="555"/>
      <c r="K18" s="531"/>
      <c r="L18" s="2142"/>
      <c r="M18" s="2132"/>
      <c r="N18" s="2132"/>
      <c r="O18" s="2141"/>
      <c r="P18" s="3465"/>
      <c r="Q18" s="1571"/>
      <c r="R18" s="1572"/>
      <c r="S18" s="1573"/>
      <c r="T18" s="1572"/>
      <c r="U18" s="1573"/>
      <c r="V18" s="1572"/>
      <c r="W18" s="1573"/>
      <c r="X18" s="1566"/>
      <c r="Y18" s="3465"/>
      <c r="Z18" s="1574"/>
      <c r="AA18" s="1575">
        <v>1</v>
      </c>
      <c r="AB18" s="1575">
        <v>1</v>
      </c>
      <c r="AC18" s="1575">
        <v>1</v>
      </c>
    </row>
    <row r="19" spans="1:29" ht="41.4">
      <c r="A19" s="532"/>
      <c r="B19" s="560" t="s">
        <v>540</v>
      </c>
      <c r="C19" s="561" t="str">
        <f>估价对象房地状况!C16</f>
        <v>估价对象周边商业氛围较差，人流量较小，商业繁华度一般</v>
      </c>
      <c r="D19" s="563">
        <v>100</v>
      </c>
      <c r="E19" s="564"/>
      <c r="F19" s="559">
        <f>SUMIF(92:92,E20,93:93)-SUMIF(92:92,C20,93:93)+100</f>
        <v>101</v>
      </c>
      <c r="G19" s="562"/>
      <c r="H19" s="565">
        <f>SUMIF(92:92,G20,93:93)-SUMIF(92:92,C20,93:93)+100</f>
        <v>101</v>
      </c>
      <c r="I19" s="564"/>
      <c r="J19" s="565">
        <f>SUMIF(92:92,I20,93:93)-SUMIF(92:92,C20,93:93)+100</f>
        <v>100</v>
      </c>
      <c r="K19" s="535">
        <v>1</v>
      </c>
      <c r="L19" s="2142"/>
      <c r="M19" s="2132"/>
      <c r="N19" s="2132"/>
      <c r="O19" s="2141"/>
      <c r="P19" s="3465"/>
      <c r="Q19" s="1571" t="str">
        <f>B19</f>
        <v>商业繁华度</v>
      </c>
      <c r="R19" s="1572" t="s">
        <v>8</v>
      </c>
      <c r="S19" s="1573">
        <f>F19</f>
        <v>101</v>
      </c>
      <c r="T19" s="1572" t="s">
        <v>8</v>
      </c>
      <c r="U19" s="1573">
        <f>H19</f>
        <v>101</v>
      </c>
      <c r="V19" s="1572" t="s">
        <v>8</v>
      </c>
      <c r="W19" s="1573">
        <f>J19</f>
        <v>100</v>
      </c>
      <c r="X19" s="1566"/>
      <c r="Y19" s="3465"/>
      <c r="Z19" s="1574" t="str">
        <f>Q19</f>
        <v>商业繁华度</v>
      </c>
      <c r="AA19" s="1575">
        <f t="shared" si="3"/>
        <v>0.99009900990099009</v>
      </c>
      <c r="AB19" s="1575">
        <f t="shared" si="4"/>
        <v>0.99009900990099009</v>
      </c>
      <c r="AC19" s="1575">
        <f t="shared" si="5"/>
        <v>1</v>
      </c>
    </row>
    <row r="20" spans="1:29" ht="21">
      <c r="A20" s="532"/>
      <c r="B20" s="566"/>
      <c r="C20" s="554" t="s">
        <v>3420</v>
      </c>
      <c r="D20" s="563"/>
      <c r="E20" s="554" t="s">
        <v>3061</v>
      </c>
      <c r="F20" s="559"/>
      <c r="G20" s="554" t="s">
        <v>3061</v>
      </c>
      <c r="H20" s="555"/>
      <c r="I20" s="558" t="s">
        <v>3420</v>
      </c>
      <c r="J20" s="555"/>
      <c r="K20" s="531"/>
      <c r="L20" s="2142"/>
      <c r="M20" s="2132"/>
      <c r="N20" s="2132"/>
      <c r="O20" s="2141"/>
      <c r="P20" s="3465"/>
      <c r="Q20" s="1571"/>
      <c r="R20" s="1572"/>
      <c r="S20" s="1573"/>
      <c r="T20" s="1572"/>
      <c r="U20" s="1573"/>
      <c r="V20" s="1572"/>
      <c r="W20" s="1573"/>
      <c r="X20" s="1566"/>
      <c r="Y20" s="3465"/>
      <c r="Z20" s="1574"/>
      <c r="AA20" s="1575">
        <v>1</v>
      </c>
      <c r="AB20" s="1575">
        <v>1</v>
      </c>
      <c r="AC20" s="1575">
        <v>1</v>
      </c>
    </row>
    <row r="21" spans="1:29" ht="55.2"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65"/>
      <c r="Q21" s="1571" t="str">
        <f>B21</f>
        <v>办公集聚程度</v>
      </c>
      <c r="R21" s="1572" t="s">
        <v>8</v>
      </c>
      <c r="S21" s="1573">
        <f>F21</f>
        <v>100</v>
      </c>
      <c r="T21" s="1572" t="s">
        <v>8</v>
      </c>
      <c r="U21" s="1573">
        <f>H21</f>
        <v>100</v>
      </c>
      <c r="V21" s="1572" t="s">
        <v>8</v>
      </c>
      <c r="W21" s="1573">
        <f>J21</f>
        <v>100</v>
      </c>
      <c r="X21" s="1566"/>
      <c r="Y21" s="3465"/>
      <c r="Z21" s="1574" t="str">
        <f>Q21</f>
        <v>办公集聚程度</v>
      </c>
      <c r="AA21" s="1575">
        <f t="shared" si="3"/>
        <v>1</v>
      </c>
      <c r="AB21" s="1575">
        <f t="shared" si="4"/>
        <v>1</v>
      </c>
      <c r="AC21" s="1575">
        <f t="shared" si="5"/>
        <v>1</v>
      </c>
    </row>
    <row r="22" spans="1:29" ht="21" hidden="1">
      <c r="A22" s="532"/>
      <c r="B22" s="566"/>
      <c r="C22" s="554"/>
      <c r="D22" s="557"/>
      <c r="E22" s="558"/>
      <c r="F22" s="555"/>
      <c r="G22" s="556"/>
      <c r="H22" s="555"/>
      <c r="I22" s="558"/>
      <c r="J22" s="555"/>
      <c r="K22" s="531"/>
      <c r="L22" s="2142"/>
      <c r="M22" s="2132"/>
      <c r="N22" s="2132"/>
      <c r="O22" s="2141"/>
      <c r="P22" s="3465"/>
      <c r="Q22" s="1571"/>
      <c r="R22" s="1572"/>
      <c r="S22" s="1573"/>
      <c r="T22" s="1572"/>
      <c r="U22" s="1573"/>
      <c r="V22" s="1572"/>
      <c r="W22" s="1573"/>
      <c r="X22" s="1566"/>
      <c r="Y22" s="3465"/>
      <c r="Z22" s="1574"/>
      <c r="AA22" s="1575">
        <v>1</v>
      </c>
      <c r="AB22" s="1575">
        <v>1</v>
      </c>
      <c r="AC22" s="1575">
        <v>1</v>
      </c>
    </row>
    <row r="23" spans="1:29" ht="69">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102</v>
      </c>
      <c r="G23" s="562"/>
      <c r="H23" s="559">
        <f>SUMIF(96:96,G24,97:97)-SUMIF(96:96,C24,97:97)+100</f>
        <v>102</v>
      </c>
      <c r="I23" s="564"/>
      <c r="J23" s="559">
        <f>SUMIF(96:96,I24,97:97)-SUMIF(96:96,C24,97:97)+100</f>
        <v>100</v>
      </c>
      <c r="K23" s="535">
        <v>2</v>
      </c>
      <c r="L23" s="2142"/>
      <c r="M23" s="2132"/>
      <c r="N23" s="2132"/>
      <c r="O23" s="2141"/>
      <c r="P23" s="3465"/>
      <c r="Q23" s="1571" t="str">
        <f>B23</f>
        <v>交通便捷度</v>
      </c>
      <c r="R23" s="1572" t="s">
        <v>8</v>
      </c>
      <c r="S23" s="1573">
        <f>F23</f>
        <v>102</v>
      </c>
      <c r="T23" s="1572" t="s">
        <v>8</v>
      </c>
      <c r="U23" s="1573">
        <f>H23</f>
        <v>102</v>
      </c>
      <c r="V23" s="1572" t="s">
        <v>8</v>
      </c>
      <c r="W23" s="1573">
        <f>J23</f>
        <v>100</v>
      </c>
      <c r="X23" s="1566"/>
      <c r="Y23" s="3465"/>
      <c r="Z23" s="1574" t="str">
        <f>Q23</f>
        <v>交通便捷度</v>
      </c>
      <c r="AA23" s="1575">
        <f t="shared" si="3"/>
        <v>0.98039215686274506</v>
      </c>
      <c r="AB23" s="1575">
        <f t="shared" si="4"/>
        <v>0.98039215686274506</v>
      </c>
      <c r="AC23" s="1575">
        <f t="shared" si="5"/>
        <v>1</v>
      </c>
    </row>
    <row r="24" spans="1:29" ht="21">
      <c r="A24" s="532"/>
      <c r="B24" s="578"/>
      <c r="C24" s="554" t="s">
        <v>3061</v>
      </c>
      <c r="D24" s="557"/>
      <c r="E24" s="554" t="s">
        <v>3033</v>
      </c>
      <c r="F24" s="555"/>
      <c r="G24" s="554" t="s">
        <v>3033</v>
      </c>
      <c r="H24" s="555"/>
      <c r="I24" s="554" t="s">
        <v>3061</v>
      </c>
      <c r="J24" s="555"/>
      <c r="K24" s="531"/>
      <c r="L24" s="2142"/>
      <c r="M24" s="2132"/>
      <c r="N24" s="2132"/>
      <c r="O24" s="2141"/>
      <c r="P24" s="3465"/>
      <c r="Q24" s="1571"/>
      <c r="R24" s="1572"/>
      <c r="S24" s="1573"/>
      <c r="T24" s="1572"/>
      <c r="U24" s="1573"/>
      <c r="V24" s="1572"/>
      <c r="W24" s="1573"/>
      <c r="X24" s="1566"/>
      <c r="Y24" s="3465"/>
      <c r="Z24" s="1574"/>
      <c r="AA24" s="1575">
        <v>1</v>
      </c>
      <c r="AB24" s="1575">
        <v>1</v>
      </c>
      <c r="AC24" s="1575">
        <v>1</v>
      </c>
    </row>
    <row r="25" spans="1:29" ht="28.8">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1</v>
      </c>
      <c r="L25" s="2142"/>
      <c r="M25" s="2132"/>
      <c r="N25" s="2132"/>
      <c r="O25" s="2141"/>
      <c r="P25" s="3465"/>
      <c r="Q25" s="1571" t="str">
        <f t="shared" ref="Q25:Q39" si="8">B25</f>
        <v>区域土地利用方向</v>
      </c>
      <c r="R25" s="1572" t="s">
        <v>8</v>
      </c>
      <c r="S25" s="1573">
        <f>F25</f>
        <v>100</v>
      </c>
      <c r="T25" s="1572" t="s">
        <v>8</v>
      </c>
      <c r="U25" s="1573">
        <f>H25</f>
        <v>100</v>
      </c>
      <c r="V25" s="1572" t="s">
        <v>8</v>
      </c>
      <c r="W25" s="1573">
        <f>J25</f>
        <v>100</v>
      </c>
      <c r="X25" s="1566"/>
      <c r="Y25" s="3465"/>
      <c r="Z25" s="1574" t="str">
        <f>Q25</f>
        <v>区域土地利用方向</v>
      </c>
      <c r="AA25" s="1575">
        <f t="shared" si="3"/>
        <v>1</v>
      </c>
      <c r="AB25" s="1575">
        <f t="shared" si="4"/>
        <v>1</v>
      </c>
      <c r="AC25" s="1575">
        <f t="shared" si="5"/>
        <v>1</v>
      </c>
    </row>
    <row r="26" spans="1:29" ht="21">
      <c r="A26" s="515"/>
      <c r="B26" s="1007"/>
      <c r="C26" s="554" t="s">
        <v>3033</v>
      </c>
      <c r="D26" s="557"/>
      <c r="E26" s="554" t="s">
        <v>3033</v>
      </c>
      <c r="F26" s="555"/>
      <c r="G26" s="554" t="s">
        <v>3033</v>
      </c>
      <c r="H26" s="555"/>
      <c r="I26" s="554" t="s">
        <v>3033</v>
      </c>
      <c r="J26" s="555"/>
      <c r="K26" s="531"/>
      <c r="L26" s="2142"/>
      <c r="M26" s="2132"/>
      <c r="N26" s="2132"/>
      <c r="O26" s="2141"/>
      <c r="P26" s="3465"/>
      <c r="Q26" s="1571"/>
      <c r="R26" s="1572"/>
      <c r="S26" s="1573"/>
      <c r="T26" s="1572"/>
      <c r="U26" s="1573"/>
      <c r="V26" s="1572"/>
      <c r="W26" s="1573"/>
      <c r="X26" s="1566"/>
      <c r="Y26" s="3465"/>
      <c r="Z26" s="1574"/>
      <c r="AA26" s="1575"/>
      <c r="AB26" s="1575"/>
      <c r="AC26" s="1575"/>
    </row>
    <row r="27" spans="1:29" ht="41.4">
      <c r="A27" s="515"/>
      <c r="B27" s="578" t="s">
        <v>544</v>
      </c>
      <c r="C27" s="561" t="str">
        <f>估价对象房地状况!C20</f>
        <v>区域自然环境较好；人文环境一般；综合评价环境状况一般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42"/>
      <c r="M27" s="2132"/>
      <c r="N27" s="2132"/>
      <c r="O27" s="2141"/>
      <c r="P27" s="3465"/>
      <c r="Q27" s="1571" t="str">
        <f t="shared" si="8"/>
        <v>自然及人文环境状况</v>
      </c>
      <c r="R27" s="1572" t="s">
        <v>8</v>
      </c>
      <c r="S27" s="1573">
        <f>F27</f>
        <v>102</v>
      </c>
      <c r="T27" s="1572" t="s">
        <v>8</v>
      </c>
      <c r="U27" s="1573">
        <f>H27</f>
        <v>102</v>
      </c>
      <c r="V27" s="1572" t="s">
        <v>8</v>
      </c>
      <c r="W27" s="1573">
        <f>J27</f>
        <v>102</v>
      </c>
      <c r="X27" s="1566"/>
      <c r="Y27" s="3465"/>
      <c r="Z27" s="1574" t="str">
        <f>Q27</f>
        <v>自然及人文环境状况</v>
      </c>
      <c r="AA27" s="1575">
        <f t="shared" si="3"/>
        <v>0.98039215686274506</v>
      </c>
      <c r="AB27" s="1575">
        <f t="shared" si="4"/>
        <v>0.98039215686274506</v>
      </c>
      <c r="AC27" s="1575">
        <f t="shared" si="5"/>
        <v>0.98039215686274506</v>
      </c>
    </row>
    <row r="28" spans="1:29" ht="21">
      <c r="A28" s="515"/>
      <c r="B28" s="566"/>
      <c r="C28" s="558" t="s">
        <v>3061</v>
      </c>
      <c r="D28" s="557"/>
      <c r="E28" s="558" t="s">
        <v>3033</v>
      </c>
      <c r="F28" s="555"/>
      <c r="G28" s="558" t="s">
        <v>3033</v>
      </c>
      <c r="H28" s="555"/>
      <c r="I28" s="558" t="s">
        <v>3033</v>
      </c>
      <c r="J28" s="555"/>
      <c r="K28" s="531"/>
      <c r="L28" s="2142"/>
      <c r="M28" s="2132"/>
      <c r="N28" s="2132"/>
      <c r="O28" s="2141"/>
      <c r="P28" s="3465"/>
      <c r="Q28" s="1571"/>
      <c r="R28" s="1572"/>
      <c r="S28" s="1573"/>
      <c r="T28" s="1572"/>
      <c r="U28" s="1573"/>
      <c r="V28" s="1572"/>
      <c r="W28" s="1573"/>
      <c r="X28" s="1566"/>
      <c r="Y28" s="3465"/>
      <c r="Z28" s="1574"/>
      <c r="AA28" s="1575">
        <v>1</v>
      </c>
      <c r="AB28" s="1575">
        <v>1</v>
      </c>
      <c r="AC28" s="1575">
        <v>1</v>
      </c>
    </row>
    <row r="29" spans="1:29" s="1220" customFormat="1" ht="41.4">
      <c r="A29" s="577"/>
      <c r="B29" s="2591" t="s">
        <v>2546</v>
      </c>
      <c r="C29" s="573" t="str">
        <f>估价对象房地状况!C21</f>
        <v>估价对象所在区域公共配套设施齐备情况一般</v>
      </c>
      <c r="D29" s="563">
        <v>100</v>
      </c>
      <c r="E29" s="564"/>
      <c r="F29" s="559">
        <f>SUMIF(102:102,E30,103:103)-SUMIF(102:102,C30,103:103)+100</f>
        <v>102</v>
      </c>
      <c r="G29" s="562"/>
      <c r="H29" s="559">
        <f>SUMIF(102:102,G30,103:103)-SUMIF(102:102,C30,103:103)+100</f>
        <v>102</v>
      </c>
      <c r="I29" s="564"/>
      <c r="J29" s="559">
        <f>SUMIF(102:102,I30,103:103)-SUMIF(102:102,C30,103:103)+100</f>
        <v>98</v>
      </c>
      <c r="K29" s="535">
        <v>2</v>
      </c>
      <c r="L29" s="2135"/>
      <c r="M29" s="2132"/>
      <c r="N29" s="2132"/>
      <c r="O29" s="2137"/>
      <c r="P29" s="3465"/>
      <c r="Q29" s="1151" t="str">
        <f t="shared" si="8"/>
        <v>公共配套设施</v>
      </c>
      <c r="R29" s="1567" t="s">
        <v>8</v>
      </c>
      <c r="S29" s="1568">
        <f>F29</f>
        <v>102</v>
      </c>
      <c r="T29" s="1567" t="s">
        <v>8</v>
      </c>
      <c r="U29" s="1568">
        <f>H29</f>
        <v>102</v>
      </c>
      <c r="V29" s="1567" t="s">
        <v>8</v>
      </c>
      <c r="W29" s="1568">
        <f>J29</f>
        <v>98</v>
      </c>
      <c r="X29" s="1569"/>
      <c r="Y29" s="3465"/>
      <c r="Z29" s="1150" t="str">
        <f>Q29</f>
        <v>公共配套设施</v>
      </c>
      <c r="AA29" s="1575">
        <f>D29/F29</f>
        <v>0.98039215686274506</v>
      </c>
      <c r="AB29" s="1575">
        <f>D29/H29</f>
        <v>0.98039215686274506</v>
      </c>
      <c r="AC29" s="1575">
        <f>D29/J29</f>
        <v>1.0204081632653061</v>
      </c>
    </row>
    <row r="30" spans="1:29" s="1220" customFormat="1" ht="21">
      <c r="A30" s="577"/>
      <c r="B30" s="566"/>
      <c r="C30" s="554" t="s">
        <v>3061</v>
      </c>
      <c r="D30" s="557"/>
      <c r="E30" s="554" t="s">
        <v>3033</v>
      </c>
      <c r="F30" s="555"/>
      <c r="G30" s="554" t="s">
        <v>3033</v>
      </c>
      <c r="H30" s="555"/>
      <c r="I30" s="554" t="s">
        <v>3420</v>
      </c>
      <c r="J30" s="555"/>
      <c r="K30" s="531"/>
      <c r="L30" s="2135"/>
      <c r="M30" s="2132"/>
      <c r="N30" s="2132"/>
      <c r="O30" s="2137"/>
      <c r="P30" s="3465"/>
      <c r="Q30" s="1151"/>
      <c r="R30" s="1567"/>
      <c r="S30" s="1568"/>
      <c r="T30" s="1567"/>
      <c r="U30" s="1568"/>
      <c r="V30" s="1567"/>
      <c r="W30" s="1568"/>
      <c r="X30" s="1569"/>
      <c r="Y30" s="3465"/>
      <c r="Z30" s="1150"/>
      <c r="AA30" s="1575">
        <v>1</v>
      </c>
      <c r="AB30" s="1575">
        <v>1</v>
      </c>
      <c r="AC30" s="1575">
        <v>1</v>
      </c>
    </row>
    <row r="31" spans="1:29" s="1220" customFormat="1" ht="27.6">
      <c r="A31" s="577"/>
      <c r="B31" s="2591"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65"/>
      <c r="Q31" s="2578" t="str">
        <f t="shared" ref="Q31" si="9">B31</f>
        <v>基础设施水平</v>
      </c>
      <c r="R31" s="1567" t="s">
        <v>8</v>
      </c>
      <c r="S31" s="1568">
        <f>F31</f>
        <v>100</v>
      </c>
      <c r="T31" s="1567" t="s">
        <v>8</v>
      </c>
      <c r="U31" s="1568">
        <f>H31</f>
        <v>100</v>
      </c>
      <c r="V31" s="1567" t="s">
        <v>8</v>
      </c>
      <c r="W31" s="1568">
        <f>J31</f>
        <v>100</v>
      </c>
      <c r="X31" s="1569"/>
      <c r="Y31" s="3465"/>
      <c r="Z31" s="2575" t="str">
        <f>Q31</f>
        <v>基础设施水平</v>
      </c>
      <c r="AA31" s="1575">
        <f>D31/F31</f>
        <v>1</v>
      </c>
      <c r="AB31" s="1575">
        <f>D31/H31</f>
        <v>1</v>
      </c>
      <c r="AC31" s="1575">
        <f>D31/J31</f>
        <v>1</v>
      </c>
    </row>
    <row r="32" spans="1:29" s="1220" customFormat="1" ht="21">
      <c r="A32" s="577"/>
      <c r="B32" s="566"/>
      <c r="C32" s="579" t="s">
        <v>3057</v>
      </c>
      <c r="D32" s="557"/>
      <c r="E32" s="2592" t="s">
        <v>3057</v>
      </c>
      <c r="F32" s="555"/>
      <c r="G32" s="579" t="s">
        <v>3057</v>
      </c>
      <c r="H32" s="555"/>
      <c r="I32" s="579" t="s">
        <v>3057</v>
      </c>
      <c r="J32" s="555"/>
      <c r="K32" s="531"/>
      <c r="L32" s="2135"/>
      <c r="M32" s="2132"/>
      <c r="N32" s="2132"/>
      <c r="O32" s="2137"/>
      <c r="P32" s="3465"/>
      <c r="Q32" s="2578"/>
      <c r="R32" s="1567"/>
      <c r="S32" s="1568"/>
      <c r="T32" s="1567"/>
      <c r="U32" s="1568"/>
      <c r="V32" s="1567"/>
      <c r="W32" s="1568"/>
      <c r="X32" s="1569"/>
      <c r="Y32" s="3465"/>
      <c r="Z32" s="2575"/>
      <c r="AA32" s="1575">
        <v>1</v>
      </c>
      <c r="AB32" s="1575">
        <v>1</v>
      </c>
      <c r="AC32" s="1575">
        <v>1</v>
      </c>
    </row>
    <row r="33" spans="1:29" ht="2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2"/>
      <c r="M33" s="2132"/>
      <c r="N33" s="2132"/>
      <c r="O33" s="2141"/>
      <c r="P33" s="346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65"/>
      <c r="Z33" s="1574" t="str">
        <f t="shared" ref="Z33:Z47" si="13">Q33</f>
        <v>临街状况</v>
      </c>
      <c r="AA33" s="1575">
        <f t="shared" si="3"/>
        <v>1</v>
      </c>
      <c r="AB33" s="1575">
        <f t="shared" si="4"/>
        <v>1</v>
      </c>
      <c r="AC33" s="1575">
        <f t="shared" si="5"/>
        <v>1</v>
      </c>
    </row>
    <row r="34" spans="1:29" ht="28.8">
      <c r="A34" s="532"/>
      <c r="B34" s="578" t="s">
        <v>547</v>
      </c>
      <c r="C34" s="3193"/>
      <c r="D34" s="563">
        <v>100</v>
      </c>
      <c r="E34" s="3192"/>
      <c r="F34" s="559">
        <f>SUMIF(108:108,E35,109:109)-SUMIF(108:108,C35,109:109)+100</f>
        <v>100</v>
      </c>
      <c r="G34" s="3192"/>
      <c r="H34" s="559">
        <f>SUMIF(108:108,G35,109:109)-SUMIF(108:108,C35,109:109)+100</f>
        <v>100</v>
      </c>
      <c r="I34" s="3192"/>
      <c r="J34" s="559">
        <f>SUMIF(108:108,I35,109:109)-SUMIF(108:108,C35,109:109)+100</f>
        <v>100</v>
      </c>
      <c r="K34" s="535">
        <v>1</v>
      </c>
      <c r="L34" s="2142"/>
      <c r="M34" s="2132"/>
      <c r="N34" s="2132"/>
      <c r="O34" s="2141"/>
      <c r="P34" s="3465"/>
      <c r="Q34" s="1571" t="str">
        <f t="shared" si="8"/>
        <v>毗邻道路的类型与等级</v>
      </c>
      <c r="R34" s="1572" t="s">
        <v>8</v>
      </c>
      <c r="S34" s="1573">
        <f t="shared" si="10"/>
        <v>100</v>
      </c>
      <c r="T34" s="1572" t="s">
        <v>8</v>
      </c>
      <c r="U34" s="1573">
        <f t="shared" si="11"/>
        <v>100</v>
      </c>
      <c r="V34" s="1572" t="s">
        <v>8</v>
      </c>
      <c r="W34" s="1573">
        <f t="shared" si="12"/>
        <v>100</v>
      </c>
      <c r="X34" s="1566"/>
      <c r="Y34" s="3465"/>
      <c r="Z34" s="1574" t="str">
        <f t="shared" si="13"/>
        <v>毗邻道路的类型与等级</v>
      </c>
      <c r="AA34" s="1575">
        <f t="shared" si="3"/>
        <v>1</v>
      </c>
      <c r="AB34" s="1575">
        <f t="shared" si="4"/>
        <v>1</v>
      </c>
      <c r="AC34" s="1575">
        <f t="shared" si="5"/>
        <v>1</v>
      </c>
    </row>
    <row r="35" spans="1:29" ht="21">
      <c r="A35" s="532"/>
      <c r="B35" s="566"/>
      <c r="C35" s="576" t="s">
        <v>3060</v>
      </c>
      <c r="D35" s="557"/>
      <c r="E35" s="576" t="s">
        <v>3060</v>
      </c>
      <c r="F35" s="555"/>
      <c r="G35" s="576" t="s">
        <v>3060</v>
      </c>
      <c r="H35" s="555"/>
      <c r="I35" s="576" t="s">
        <v>3060</v>
      </c>
      <c r="J35" s="555"/>
      <c r="K35" s="581"/>
      <c r="L35" s="2142"/>
      <c r="M35" s="2132"/>
      <c r="N35" s="2132"/>
      <c r="O35" s="2141"/>
      <c r="P35" s="3465"/>
      <c r="Q35" s="1571"/>
      <c r="R35" s="1572"/>
      <c r="S35" s="1573"/>
      <c r="T35" s="1572"/>
      <c r="U35" s="1573"/>
      <c r="V35" s="1572"/>
      <c r="W35" s="1573"/>
      <c r="X35" s="1566"/>
      <c r="Y35" s="3465"/>
      <c r="Z35" s="1574"/>
      <c r="AA35" s="1575">
        <v>1</v>
      </c>
      <c r="AB35" s="1575">
        <v>1</v>
      </c>
      <c r="AC35" s="1575">
        <v>1</v>
      </c>
    </row>
    <row r="36" spans="1:29" ht="2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65"/>
      <c r="Q36" s="1571" t="str">
        <f t="shared" si="8"/>
        <v>土地级别</v>
      </c>
      <c r="R36" s="1572" t="s">
        <v>8</v>
      </c>
      <c r="S36" s="1573">
        <f t="shared" si="10"/>
        <v>100</v>
      </c>
      <c r="T36" s="1572" t="s">
        <v>8</v>
      </c>
      <c r="U36" s="1573">
        <f t="shared" si="11"/>
        <v>100</v>
      </c>
      <c r="V36" s="1572" t="s">
        <v>8</v>
      </c>
      <c r="W36" s="1573">
        <f t="shared" si="12"/>
        <v>100</v>
      </c>
      <c r="X36" s="1566"/>
      <c r="Y36" s="3465"/>
      <c r="Z36" s="1574" t="str">
        <f t="shared" si="13"/>
        <v>土地级别</v>
      </c>
      <c r="AA36" s="1575">
        <f t="shared" si="3"/>
        <v>1</v>
      </c>
      <c r="AB36" s="1575">
        <f t="shared" si="4"/>
        <v>1</v>
      </c>
      <c r="AC36" s="1575">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65"/>
      <c r="Q37" s="1571">
        <f t="shared" si="8"/>
        <v>111</v>
      </c>
      <c r="R37" s="1572" t="s">
        <v>8</v>
      </c>
      <c r="S37" s="1573">
        <f t="shared" si="10"/>
        <v>100</v>
      </c>
      <c r="T37" s="1572" t="s">
        <v>8</v>
      </c>
      <c r="U37" s="1573">
        <f t="shared" si="11"/>
        <v>100</v>
      </c>
      <c r="V37" s="1572" t="s">
        <v>8</v>
      </c>
      <c r="W37" s="1573">
        <f t="shared" si="12"/>
        <v>100</v>
      </c>
      <c r="X37" s="1566"/>
      <c r="Y37" s="3465"/>
      <c r="Z37" s="1574">
        <f t="shared" si="13"/>
        <v>111</v>
      </c>
      <c r="AA37" s="1575">
        <f t="shared" si="3"/>
        <v>1</v>
      </c>
      <c r="AB37" s="1575">
        <f t="shared" si="4"/>
        <v>1</v>
      </c>
      <c r="AC37" s="1575">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66" t="s">
        <v>549</v>
      </c>
      <c r="Q38" s="1571">
        <f t="shared" si="8"/>
        <v>111</v>
      </c>
      <c r="R38" s="1572" t="s">
        <v>8</v>
      </c>
      <c r="S38" s="1573">
        <f t="shared" si="10"/>
        <v>100</v>
      </c>
      <c r="T38" s="1572" t="s">
        <v>8</v>
      </c>
      <c r="U38" s="1573">
        <f t="shared" si="11"/>
        <v>100</v>
      </c>
      <c r="V38" s="1572" t="s">
        <v>8</v>
      </c>
      <c r="W38" s="1573">
        <f t="shared" si="12"/>
        <v>100</v>
      </c>
      <c r="X38" s="1566"/>
      <c r="Y38" s="3467" t="s">
        <v>549</v>
      </c>
      <c r="Z38" s="1574">
        <f t="shared" si="13"/>
        <v>111</v>
      </c>
      <c r="AA38" s="1575">
        <f t="shared" si="3"/>
        <v>1</v>
      </c>
      <c r="AB38" s="1575">
        <f t="shared" si="4"/>
        <v>1</v>
      </c>
      <c r="AC38" s="1575">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67"/>
      <c r="Q39" s="1571">
        <f t="shared" si="8"/>
        <v>111</v>
      </c>
      <c r="R39" s="1576" t="s">
        <v>8</v>
      </c>
      <c r="S39" s="1577">
        <f t="shared" si="10"/>
        <v>100</v>
      </c>
      <c r="T39" s="1576" t="s">
        <v>8</v>
      </c>
      <c r="U39" s="1577">
        <f t="shared" si="11"/>
        <v>100</v>
      </c>
      <c r="V39" s="1576" t="s">
        <v>8</v>
      </c>
      <c r="W39" s="1577">
        <f t="shared" si="12"/>
        <v>100</v>
      </c>
      <c r="X39" s="1578"/>
      <c r="Y39" s="3467"/>
      <c r="Z39" s="1579">
        <f t="shared" si="13"/>
        <v>111</v>
      </c>
      <c r="AA39" s="1575">
        <f t="shared" si="3"/>
        <v>1</v>
      </c>
      <c r="AB39" s="1575">
        <f t="shared" si="4"/>
        <v>1</v>
      </c>
      <c r="AC39" s="1575">
        <f t="shared" si="5"/>
        <v>1</v>
      </c>
    </row>
    <row r="40" spans="1:29" ht="21">
      <c r="A40" s="2907" t="s">
        <v>2752</v>
      </c>
      <c r="B40" s="595" t="s">
        <v>551</v>
      </c>
      <c r="C40" s="596">
        <f>项目资料!D4</f>
        <v>68029</v>
      </c>
      <c r="D40" s="597">
        <v>100</v>
      </c>
      <c r="E40" s="596">
        <f>土地案例!$J$19</f>
        <v>227465.5</v>
      </c>
      <c r="F40" s="597">
        <f>LOOKUP(E40,119:119,120:120)-LOOKUP(C40,119:119,120:120)+100</f>
        <v>102</v>
      </c>
      <c r="G40" s="596">
        <f>土地案例!$J$20</f>
        <v>279131.40000000002</v>
      </c>
      <c r="H40" s="597">
        <f>LOOKUP(G40,119:119,120:120)-LOOKUP(C40,119:119,120:120)+100</f>
        <v>102</v>
      </c>
      <c r="I40" s="598">
        <f>土地案例!$J$25</f>
        <v>265302.59999999998</v>
      </c>
      <c r="J40" s="597">
        <f>LOOKUP(I40,119:119,120:120)-LOOKUP(C40,119:119,120:120)+100</f>
        <v>102</v>
      </c>
      <c r="K40" s="581"/>
      <c r="L40" s="2142"/>
      <c r="M40" s="2132"/>
      <c r="N40" s="2132"/>
      <c r="O40" s="2141"/>
      <c r="P40" s="3467"/>
      <c r="Q40" s="1571" t="str">
        <f>B40</f>
        <v>宗地面积</v>
      </c>
      <c r="R40" s="1572" t="s">
        <v>8</v>
      </c>
      <c r="S40" s="1573">
        <f t="shared" si="10"/>
        <v>102</v>
      </c>
      <c r="T40" s="1572" t="s">
        <v>8</v>
      </c>
      <c r="U40" s="1573">
        <f t="shared" si="11"/>
        <v>102</v>
      </c>
      <c r="V40" s="1572" t="s">
        <v>8</v>
      </c>
      <c r="W40" s="1573">
        <f t="shared" si="12"/>
        <v>102</v>
      </c>
      <c r="X40" s="1566"/>
      <c r="Y40" s="3467"/>
      <c r="Z40" s="1574" t="str">
        <f t="shared" si="13"/>
        <v>宗地面积</v>
      </c>
      <c r="AA40" s="1575">
        <f t="shared" si="3"/>
        <v>0.98039215686274506</v>
      </c>
      <c r="AB40" s="1575">
        <f t="shared" si="4"/>
        <v>0.98039215686274506</v>
      </c>
      <c r="AC40" s="1575">
        <f t="shared" si="5"/>
        <v>0.98039215686274506</v>
      </c>
    </row>
    <row r="41" spans="1:29" ht="21">
      <c r="A41" s="594"/>
      <c r="B41" s="527" t="s">
        <v>552</v>
      </c>
      <c r="C41" s="599" t="s">
        <v>3030</v>
      </c>
      <c r="D41" s="540">
        <v>100</v>
      </c>
      <c r="E41" s="599" t="s">
        <v>3030</v>
      </c>
      <c r="F41" s="540">
        <f>SUMIF(121:121,E41,122:122)-SUMIF(121:121,C41,122:122)+100</f>
        <v>100</v>
      </c>
      <c r="G41" s="599" t="s">
        <v>3030</v>
      </c>
      <c r="H41" s="540">
        <f>SUMIF(121:121,G41,122:122)-SUMIF(121:121,C41,122:122)+100</f>
        <v>100</v>
      </c>
      <c r="I41" s="599" t="s">
        <v>3030</v>
      </c>
      <c r="J41" s="540">
        <f>SUMIF(121:121,I41,122:122)-SUMIF(121:121,C41,122:122)+100</f>
        <v>100</v>
      </c>
      <c r="K41" s="584">
        <v>1</v>
      </c>
      <c r="L41" s="2142"/>
      <c r="M41" s="2132"/>
      <c r="N41" s="2132"/>
      <c r="O41" s="2141"/>
      <c r="P41" s="3467"/>
      <c r="Q41" s="1571" t="str">
        <f t="shared" ref="Q41:Q47" si="14">B41</f>
        <v>宗地形状</v>
      </c>
      <c r="R41" s="1572" t="s">
        <v>8</v>
      </c>
      <c r="S41" s="1573">
        <f t="shared" si="10"/>
        <v>100</v>
      </c>
      <c r="T41" s="1572" t="s">
        <v>8</v>
      </c>
      <c r="U41" s="1573">
        <f t="shared" si="11"/>
        <v>100</v>
      </c>
      <c r="V41" s="1572" t="s">
        <v>8</v>
      </c>
      <c r="W41" s="1573">
        <f t="shared" si="12"/>
        <v>100</v>
      </c>
      <c r="X41" s="1566"/>
      <c r="Y41" s="3467"/>
      <c r="Z41" s="1574" t="str">
        <f t="shared" si="13"/>
        <v>宗地形状</v>
      </c>
      <c r="AA41" s="1575">
        <f t="shared" si="3"/>
        <v>1</v>
      </c>
      <c r="AB41" s="1575">
        <f t="shared" si="4"/>
        <v>1</v>
      </c>
      <c r="AC41" s="1575">
        <f t="shared" si="5"/>
        <v>1</v>
      </c>
    </row>
    <row r="42" spans="1:29" ht="21">
      <c r="A42" s="594"/>
      <c r="B42" s="527" t="s">
        <v>553</v>
      </c>
      <c r="C42" s="599" t="s">
        <v>3031</v>
      </c>
      <c r="D42" s="540">
        <v>100</v>
      </c>
      <c r="E42" s="599" t="s">
        <v>3031</v>
      </c>
      <c r="F42" s="540">
        <f>SUMIF(123:123,E42,124:124)-SUMIF(123:123,C42,124:124)+100</f>
        <v>100</v>
      </c>
      <c r="G42" s="599" t="s">
        <v>3031</v>
      </c>
      <c r="H42" s="540">
        <f>SUMIF(123:123,G42,124:124)-SUMIF(123:123,C42,124:124)+100</f>
        <v>100</v>
      </c>
      <c r="I42" s="599" t="s">
        <v>3031</v>
      </c>
      <c r="J42" s="540">
        <f>SUMIF(123:123,I42,124:124)-SUMIF(123:123,C42,124:124)+100</f>
        <v>100</v>
      </c>
      <c r="K42" s="584">
        <v>1</v>
      </c>
      <c r="L42" s="2142"/>
      <c r="M42" s="2132"/>
      <c r="N42" s="2132"/>
      <c r="O42" s="2141"/>
      <c r="P42" s="3467"/>
      <c r="Q42" s="1571" t="str">
        <f t="shared" si="14"/>
        <v>临街宽度及深度</v>
      </c>
      <c r="R42" s="1572" t="s">
        <v>8</v>
      </c>
      <c r="S42" s="1573">
        <f t="shared" si="10"/>
        <v>100</v>
      </c>
      <c r="T42" s="1572" t="s">
        <v>8</v>
      </c>
      <c r="U42" s="1573">
        <f t="shared" si="11"/>
        <v>100</v>
      </c>
      <c r="V42" s="1572" t="s">
        <v>8</v>
      </c>
      <c r="W42" s="1573">
        <f t="shared" si="12"/>
        <v>100</v>
      </c>
      <c r="X42" s="1566"/>
      <c r="Y42" s="3467"/>
      <c r="Z42" s="1574" t="str">
        <f t="shared" si="13"/>
        <v>临街宽度及深度</v>
      </c>
      <c r="AA42" s="1575">
        <f t="shared" si="3"/>
        <v>1</v>
      </c>
      <c r="AB42" s="1575">
        <f t="shared" si="4"/>
        <v>1</v>
      </c>
      <c r="AC42" s="1575">
        <f t="shared" si="5"/>
        <v>1</v>
      </c>
    </row>
    <row r="43" spans="1:29" s="1220" customFormat="1" ht="21">
      <c r="A43" s="600"/>
      <c r="B43" s="1895" t="s">
        <v>2424</v>
      </c>
      <c r="C43" s="601" t="s">
        <v>3032</v>
      </c>
      <c r="D43" s="255">
        <v>100</v>
      </c>
      <c r="E43" s="601" t="s">
        <v>3032</v>
      </c>
      <c r="F43" s="540">
        <f>SUMIF(125:125,E43,126:126)-SUMIF(125:125,C43,126:126)+100</f>
        <v>100</v>
      </c>
      <c r="G43" s="601" t="s">
        <v>3032</v>
      </c>
      <c r="H43" s="540">
        <f>SUMIF(125:125,G43,126:126)-SUMIF(125:125,C43,126:126)+100</f>
        <v>100</v>
      </c>
      <c r="I43" s="601" t="s">
        <v>3032</v>
      </c>
      <c r="J43" s="540">
        <f>SUMIF(125:125,I43,126:126)-SUMIF(125:125,C43,126:126)+100</f>
        <v>100</v>
      </c>
      <c r="K43" s="584">
        <v>1</v>
      </c>
      <c r="L43" s="2135"/>
      <c r="M43" s="2132"/>
      <c r="N43" s="2132"/>
      <c r="O43" s="2137"/>
      <c r="P43" s="3467"/>
      <c r="Q43" s="1571" t="str">
        <f t="shared" si="14"/>
        <v>宗地开发程度</v>
      </c>
      <c r="R43" s="1567" t="s">
        <v>8</v>
      </c>
      <c r="S43" s="1568">
        <f t="shared" si="10"/>
        <v>100</v>
      </c>
      <c r="T43" s="1567" t="s">
        <v>8</v>
      </c>
      <c r="U43" s="1568">
        <f t="shared" si="11"/>
        <v>100</v>
      </c>
      <c r="V43" s="1567" t="s">
        <v>8</v>
      </c>
      <c r="W43" s="1568">
        <f t="shared" si="12"/>
        <v>100</v>
      </c>
      <c r="X43" s="1569"/>
      <c r="Y43" s="3467"/>
      <c r="Z43" s="1150" t="str">
        <f t="shared" si="13"/>
        <v>宗地开发程度</v>
      </c>
      <c r="AA43" s="1570">
        <f t="shared" si="3"/>
        <v>1</v>
      </c>
      <c r="AB43" s="1570">
        <f t="shared" si="4"/>
        <v>1</v>
      </c>
      <c r="AC43" s="1570">
        <f t="shared" si="5"/>
        <v>1</v>
      </c>
    </row>
    <row r="44" spans="1:29" ht="21">
      <c r="A44" s="594"/>
      <c r="B44" s="527" t="s">
        <v>554</v>
      </c>
      <c r="C44" s="599" t="s">
        <v>3033</v>
      </c>
      <c r="D44" s="540">
        <v>100</v>
      </c>
      <c r="E44" s="599" t="s">
        <v>3033</v>
      </c>
      <c r="F44" s="540">
        <f>SUMIF(127:127,E44,128:128)-SUMIF(127:127,C44,128:128)+100</f>
        <v>100</v>
      </c>
      <c r="G44" s="599" t="s">
        <v>3033</v>
      </c>
      <c r="H44" s="540">
        <f>SUMIF(127:127,G44,128:128)-SUMIF(127:127,C44,128:128)+100</f>
        <v>100</v>
      </c>
      <c r="I44" s="599" t="s">
        <v>3033</v>
      </c>
      <c r="J44" s="540">
        <f>SUMIF(127:127,I44,128:128)-SUMIF(127:127,C44,128:128)+100</f>
        <v>100</v>
      </c>
      <c r="K44" s="584">
        <v>1</v>
      </c>
      <c r="L44" s="2142"/>
      <c r="M44" s="2132"/>
      <c r="N44" s="2132"/>
      <c r="O44" s="2141"/>
      <c r="P44" s="3467" t="s">
        <v>549</v>
      </c>
      <c r="Q44" s="1571" t="str">
        <f t="shared" si="14"/>
        <v>工程地质条件</v>
      </c>
      <c r="R44" s="1572" t="s">
        <v>8</v>
      </c>
      <c r="S44" s="1573">
        <f t="shared" si="10"/>
        <v>100</v>
      </c>
      <c r="T44" s="1572" t="s">
        <v>8</v>
      </c>
      <c r="U44" s="1573">
        <f t="shared" si="11"/>
        <v>100</v>
      </c>
      <c r="V44" s="1572" t="s">
        <v>8</v>
      </c>
      <c r="W44" s="1573">
        <f t="shared" si="12"/>
        <v>100</v>
      </c>
      <c r="X44" s="1566"/>
      <c r="Y44" s="3467" t="s">
        <v>549</v>
      </c>
      <c r="Z44" s="1574" t="str">
        <f t="shared" si="13"/>
        <v>工程地质条件</v>
      </c>
      <c r="AA44" s="1575">
        <f t="shared" si="3"/>
        <v>1</v>
      </c>
      <c r="AB44" s="1575">
        <f t="shared" si="4"/>
        <v>1</v>
      </c>
      <c r="AC44" s="1575">
        <f t="shared" si="5"/>
        <v>1</v>
      </c>
    </row>
    <row r="45" spans="1:29" ht="21">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2"/>
      <c r="M45" s="2132"/>
      <c r="N45" s="2132"/>
      <c r="O45" s="2141"/>
      <c r="P45" s="3467"/>
      <c r="Q45" s="1571">
        <f t="shared" si="14"/>
        <v>111</v>
      </c>
      <c r="R45" s="1572" t="s">
        <v>8</v>
      </c>
      <c r="S45" s="1573">
        <f t="shared" si="10"/>
        <v>100</v>
      </c>
      <c r="T45" s="1572" t="s">
        <v>8</v>
      </c>
      <c r="U45" s="1573">
        <f t="shared" si="11"/>
        <v>100</v>
      </c>
      <c r="V45" s="1572" t="s">
        <v>8</v>
      </c>
      <c r="W45" s="1573">
        <f t="shared" si="12"/>
        <v>100</v>
      </c>
      <c r="X45" s="1566"/>
      <c r="Y45" s="3467"/>
      <c r="Z45" s="1574">
        <f t="shared" si="13"/>
        <v>111</v>
      </c>
      <c r="AA45" s="1575">
        <f t="shared" si="3"/>
        <v>1</v>
      </c>
      <c r="AB45" s="1575">
        <f t="shared" si="4"/>
        <v>1</v>
      </c>
      <c r="AC45" s="1575">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67"/>
      <c r="Q46" s="1571">
        <f t="shared" si="14"/>
        <v>111</v>
      </c>
      <c r="R46" s="1572" t="s">
        <v>8</v>
      </c>
      <c r="S46" s="1573">
        <f t="shared" si="10"/>
        <v>100</v>
      </c>
      <c r="T46" s="1572" t="s">
        <v>8</v>
      </c>
      <c r="U46" s="1573">
        <f t="shared" si="11"/>
        <v>100</v>
      </c>
      <c r="V46" s="1572" t="s">
        <v>8</v>
      </c>
      <c r="W46" s="1573">
        <f t="shared" si="12"/>
        <v>100</v>
      </c>
      <c r="X46" s="1566"/>
      <c r="Y46" s="3467"/>
      <c r="Z46" s="1574">
        <f t="shared" si="13"/>
        <v>111</v>
      </c>
      <c r="AA46" s="1575">
        <f t="shared" si="3"/>
        <v>1</v>
      </c>
      <c r="AB46" s="1575">
        <f t="shared" si="4"/>
        <v>1</v>
      </c>
      <c r="AC46" s="1575">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67"/>
      <c r="Q47" s="1571">
        <f t="shared" si="14"/>
        <v>111</v>
      </c>
      <c r="R47" s="1576" t="s">
        <v>8</v>
      </c>
      <c r="S47" s="1577">
        <f t="shared" si="10"/>
        <v>100</v>
      </c>
      <c r="T47" s="1576" t="s">
        <v>8</v>
      </c>
      <c r="U47" s="1577">
        <f t="shared" si="11"/>
        <v>100</v>
      </c>
      <c r="V47" s="1576" t="s">
        <v>8</v>
      </c>
      <c r="W47" s="1577">
        <f t="shared" si="12"/>
        <v>100</v>
      </c>
      <c r="X47" s="1578"/>
      <c r="Y47" s="3467"/>
      <c r="Z47" s="1579">
        <f t="shared" si="13"/>
        <v>111</v>
      </c>
      <c r="AA47" s="1575">
        <f t="shared" si="3"/>
        <v>1</v>
      </c>
      <c r="AB47" s="1575">
        <f t="shared" si="4"/>
        <v>1</v>
      </c>
      <c r="AC47" s="1575">
        <f t="shared" si="5"/>
        <v>1</v>
      </c>
    </row>
    <row r="48" spans="1:29" ht="21">
      <c r="A48" s="607" t="s">
        <v>555</v>
      </c>
      <c r="B48" s="608" t="s">
        <v>3034</v>
      </c>
      <c r="C48" s="609" t="s">
        <v>1</v>
      </c>
      <c r="D48" s="610"/>
      <c r="E48" s="611">
        <f>ROUND(土地案例!AK19,0)</f>
        <v>3461</v>
      </c>
      <c r="F48" s="612"/>
      <c r="G48" s="613">
        <f>ROUND(土地案例!AK20,0)</f>
        <v>3653</v>
      </c>
      <c r="H48" s="614"/>
      <c r="I48" s="611">
        <f>ROUND(土地案例!AK25,0)</f>
        <v>3066</v>
      </c>
      <c r="J48" s="614"/>
      <c r="K48" s="1340"/>
      <c r="L48" s="2144"/>
      <c r="M48" s="2132"/>
      <c r="N48" s="2132"/>
      <c r="O48" s="2145"/>
      <c r="P48" s="3462" t="str">
        <f>A48</f>
        <v>成交单价</v>
      </c>
      <c r="Q48" s="3462"/>
      <c r="R48" s="3476">
        <f>E48</f>
        <v>3461</v>
      </c>
      <c r="S48" s="3476"/>
      <c r="T48" s="3476">
        <f>G48</f>
        <v>3653</v>
      </c>
      <c r="U48" s="3476"/>
      <c r="V48" s="3476">
        <f>I48</f>
        <v>3066</v>
      </c>
      <c r="W48" s="3476"/>
      <c r="X48" s="1558"/>
      <c r="Y48" s="1580"/>
      <c r="Z48" s="1558"/>
      <c r="AA48" s="1558"/>
      <c r="AB48" s="1558"/>
      <c r="AC48" s="1558"/>
    </row>
    <row r="49" spans="1:29" ht="21.6" thickBot="1">
      <c r="A49" s="615" t="s">
        <v>2690</v>
      </c>
      <c r="B49" s="616"/>
      <c r="C49" s="617">
        <f>R50</f>
        <v>3515</v>
      </c>
      <c r="D49" s="618"/>
      <c r="E49" s="617">
        <f>R49</f>
        <v>3435</v>
      </c>
      <c r="F49" s="619"/>
      <c r="G49" s="620">
        <f>T49</f>
        <v>3779</v>
      </c>
      <c r="H49" s="618"/>
      <c r="I49" s="617">
        <f>V49</f>
        <v>3330</v>
      </c>
      <c r="J49" s="618"/>
      <c r="K49" s="1341"/>
      <c r="L49" s="2144"/>
      <c r="M49" s="2132"/>
      <c r="N49" s="2132"/>
      <c r="O49" s="2145"/>
      <c r="P49" s="3462" t="str">
        <f>A49</f>
        <v>比较价格（元/平方米）</v>
      </c>
      <c r="Q49" s="3462"/>
      <c r="R49" s="3488">
        <f>ROUND(PRODUCT(R48,AA9:AA47),0)</f>
        <v>3435</v>
      </c>
      <c r="S49" s="3488"/>
      <c r="T49" s="3488">
        <f>ROUND(PRODUCT(T48,AB9:AB47),0)</f>
        <v>3779</v>
      </c>
      <c r="U49" s="3488"/>
      <c r="V49" s="3488">
        <f>ROUND(PRODUCT(V48,AC9:AC47),0)</f>
        <v>3330</v>
      </c>
      <c r="W49" s="3488"/>
      <c r="X49" s="1558"/>
      <c r="Y49" s="1558"/>
      <c r="Z49" s="1558"/>
      <c r="AA49" s="1558"/>
      <c r="AB49" s="1558"/>
      <c r="AC49" s="1558"/>
    </row>
    <row r="50" spans="1:29" ht="21.6" thickBot="1">
      <c r="A50" s="621" t="s">
        <v>2930</v>
      </c>
      <c r="B50" s="622"/>
      <c r="C50" s="623">
        <f>R50</f>
        <v>3515</v>
      </c>
      <c r="D50" s="623"/>
      <c r="E50" s="623"/>
      <c r="F50" s="623"/>
      <c r="G50" s="623"/>
      <c r="H50" s="623"/>
      <c r="I50" s="623"/>
      <c r="J50" s="623"/>
      <c r="K50" s="1342"/>
      <c r="L50" s="2144"/>
      <c r="M50" s="2132"/>
      <c r="N50" s="2132"/>
      <c r="O50" s="2145"/>
      <c r="P50" s="3485" t="str">
        <f>A50</f>
        <v>估价对象XX用房的比较价格（楼面单价，元/平方米）</v>
      </c>
      <c r="Q50" s="3486"/>
      <c r="R50" s="3487">
        <f>ROUND(AVERAGE(R49:V49),0)</f>
        <v>3515</v>
      </c>
      <c r="S50" s="3487"/>
      <c r="T50" s="3487"/>
      <c r="U50" s="3487"/>
      <c r="V50" s="3487"/>
      <c r="W50" s="3487"/>
      <c r="X50" s="1558"/>
      <c r="Y50" s="1558"/>
      <c r="Z50" s="1558"/>
      <c r="AA50" s="1558"/>
      <c r="AB50" s="1558"/>
      <c r="AC50" s="1558"/>
    </row>
    <row r="51" spans="1:29" ht="21">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1">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7.5691411935954189E-3</v>
      </c>
      <c r="F53" s="627" t="str">
        <f>IF(OR(E53&gt;=0.3,E53&lt;=-0.3),"超过30%","")</f>
        <v/>
      </c>
      <c r="G53" s="626">
        <f>IF(G48&lt;G49,G49/G48-1,G48/G49-1)</f>
        <v>3.4492198193265766E-2</v>
      </c>
      <c r="H53" s="627" t="str">
        <f>IF(OR(G53&gt;=0.3,G53&lt;=-0.3),"超过30%","")</f>
        <v/>
      </c>
      <c r="I53" s="626">
        <f>IF(I48&lt;I49,I49/I48-1,I48/I49-1)</f>
        <v>8.6105675146771032E-2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0.10014556040756917</v>
      </c>
      <c r="F54" s="627" t="str">
        <f>IF(OR(E54&gt;=0.2,E54&lt;=-0.2),"超过20%","")</f>
        <v/>
      </c>
      <c r="G54" s="626">
        <f>IF(G49&lt;I49,I49/G49-1,G49/I49-1)</f>
        <v>0.13483483483483494</v>
      </c>
      <c r="H54" s="627" t="str">
        <f>IF(OR(G54&gt;=0.2,G54&lt;=-0.2),"超过20%","")</f>
        <v/>
      </c>
      <c r="I54" s="626">
        <f>IF(I49&lt;E49,E49/I49-1,I49/E49-1)</f>
        <v>3.1531531531531432E-2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f>IF(E48&lt;G48,G48/E48-1,E48/G48-1)</f>
        <v>5.5475296157180054E-2</v>
      </c>
      <c r="F55" s="627" t="str">
        <f>IF(OR(E55&gt;=0.3,E55&lt;=-0.3),"超过30%","")</f>
        <v/>
      </c>
      <c r="G55" s="626">
        <f>IF(G48&lt;I48,I48/G48-1,G48/I48-1)</f>
        <v>0.19145466405740375</v>
      </c>
      <c r="H55" s="627" t="str">
        <f>IF(OR(G55&gt;=0.3,G55&lt;=-0.3),"超过30%","")</f>
        <v/>
      </c>
      <c r="I55" s="626">
        <f>IF(I48&lt;E48,E48/I48-1,I48/E48-1)</f>
        <v>0.12883235485975209</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5" customFormat="1" ht="21.6"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1723</v>
      </c>
      <c r="D57" s="2227" t="s">
        <v>2293</v>
      </c>
      <c r="E57" s="631" t="s">
        <v>561</v>
      </c>
      <c r="F57" s="632" t="s">
        <v>562</v>
      </c>
      <c r="G57" s="3446" t="s">
        <v>2281</v>
      </c>
      <c r="H57" s="3447"/>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3.2">
      <c r="A58" s="633" t="s">
        <v>563</v>
      </c>
      <c r="B58" s="634">
        <f>C50</f>
        <v>3515</v>
      </c>
      <c r="C58" s="635">
        <v>1</v>
      </c>
      <c r="D58" s="2228">
        <v>1</v>
      </c>
      <c r="E58" s="635">
        <f>'数据-汇总表'!E8+'数据-汇总表'!E9</f>
        <v>102043.5</v>
      </c>
      <c r="F58" s="636">
        <f t="shared" ref="F58:F67" si="15">ROUND(B58*E58/10000,0)</f>
        <v>35868</v>
      </c>
      <c r="G58" s="3448"/>
      <c r="H58" s="344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564</v>
      </c>
      <c r="B59" s="638">
        <f>ROUND($C$50*C59*D59,0)</f>
        <v>0</v>
      </c>
      <c r="C59" s="378">
        <f t="shared" ref="C59:C67" si="16">IF($C$57="北京市系数",I59,J59)</f>
        <v>0</v>
      </c>
      <c r="D59" s="2229">
        <v>0.25</v>
      </c>
      <c r="E59" s="639">
        <v>0</v>
      </c>
      <c r="F59" s="636">
        <f t="shared" si="15"/>
        <v>0</v>
      </c>
      <c r="G59" s="3450"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565</v>
      </c>
      <c r="B60" s="638">
        <f t="shared" ref="B60:B67" si="17">ROUND($C$50*C60*D60,0)</f>
        <v>0</v>
      </c>
      <c r="C60" s="378">
        <f t="shared" si="16"/>
        <v>0</v>
      </c>
      <c r="D60" s="2229">
        <v>0.25</v>
      </c>
      <c r="E60" s="639">
        <v>0</v>
      </c>
      <c r="F60" s="636">
        <f t="shared" si="15"/>
        <v>0</v>
      </c>
      <c r="G60" s="345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566</v>
      </c>
      <c r="B61" s="638">
        <f t="shared" si="17"/>
        <v>0</v>
      </c>
      <c r="C61" s="378">
        <f t="shared" si="16"/>
        <v>0</v>
      </c>
      <c r="D61" s="2229">
        <v>0.25</v>
      </c>
      <c r="E61" s="639">
        <v>0</v>
      </c>
      <c r="F61" s="636">
        <f t="shared" si="15"/>
        <v>0</v>
      </c>
      <c r="G61" s="345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2">
      <c r="A62" s="637" t="s">
        <v>567</v>
      </c>
      <c r="B62" s="638">
        <f t="shared" si="17"/>
        <v>0</v>
      </c>
      <c r="C62" s="378">
        <f t="shared" si="16"/>
        <v>0</v>
      </c>
      <c r="D62" s="2229">
        <v>0.25</v>
      </c>
      <c r="E62" s="639">
        <v>0</v>
      </c>
      <c r="F62" s="636">
        <f t="shared" si="15"/>
        <v>0</v>
      </c>
      <c r="G62" s="345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2">
      <c r="A63" s="2331" t="s">
        <v>2328</v>
      </c>
      <c r="B63" s="638">
        <f t="shared" si="17"/>
        <v>0</v>
      </c>
      <c r="C63" s="378">
        <f t="shared" si="16"/>
        <v>0</v>
      </c>
      <c r="D63" s="2229">
        <v>0.25</v>
      </c>
      <c r="E63" s="641">
        <f>'数据-汇总表'!E11</f>
        <v>0</v>
      </c>
      <c r="F63" s="636">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3.2">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3.2">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3.2">
      <c r="A66" s="637" t="s">
        <v>570</v>
      </c>
      <c r="B66" s="638">
        <f t="shared" si="17"/>
        <v>0</v>
      </c>
      <c r="C66" s="378">
        <f t="shared" si="16"/>
        <v>0</v>
      </c>
      <c r="D66" s="2229">
        <v>0.25</v>
      </c>
      <c r="E66" s="641">
        <f>'数据-汇总表'!E14</f>
        <v>0</v>
      </c>
      <c r="F66" s="636">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thickBot="1">
      <c r="A67" s="637" t="s">
        <v>571</v>
      </c>
      <c r="B67" s="638">
        <f t="shared" si="17"/>
        <v>0</v>
      </c>
      <c r="C67" s="378">
        <f t="shared" si="16"/>
        <v>0</v>
      </c>
      <c r="D67" s="2229">
        <v>0.25</v>
      </c>
      <c r="E67" s="641">
        <f>'数据-汇总表'!E15</f>
        <v>0</v>
      </c>
      <c r="F67" s="636">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thickBot="1">
      <c r="A68" s="642" t="s">
        <v>572</v>
      </c>
      <c r="B68" s="643" t="s">
        <v>17</v>
      </c>
      <c r="C68" s="643" t="s">
        <v>18</v>
      </c>
      <c r="D68" s="643" t="s">
        <v>2294</v>
      </c>
      <c r="E68" s="643">
        <f>IF(B48="楼面地价",SUM(E58:E67),'数据-汇总表'!D3)</f>
        <v>102043.5</v>
      </c>
      <c r="F68" s="644">
        <f>IF(B48="楼面地价",SUM(F58:F67),ROUND(C50*E68/10000,0))</f>
        <v>35868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2019-6-1</v>
      </c>
      <c r="D70" s="2799">
        <f>EDATE(C70,-3)</f>
        <v>43525</v>
      </c>
      <c r="E70" s="2799">
        <f t="shared" ref="E70:N70" si="18">EDATE(D70,-3)</f>
        <v>43435</v>
      </c>
      <c r="F70" s="2799">
        <f t="shared" si="18"/>
        <v>43344</v>
      </c>
      <c r="G70" s="2799">
        <f t="shared" si="18"/>
        <v>43252</v>
      </c>
      <c r="H70" s="2799">
        <f t="shared" si="18"/>
        <v>43160</v>
      </c>
      <c r="I70" s="2799">
        <f t="shared" si="18"/>
        <v>43070</v>
      </c>
      <c r="J70" s="2799">
        <f t="shared" si="18"/>
        <v>42979</v>
      </c>
      <c r="K70" s="2799">
        <f t="shared" si="18"/>
        <v>42887</v>
      </c>
      <c r="L70" s="2799">
        <f t="shared" si="18"/>
        <v>42795</v>
      </c>
      <c r="M70" s="2799">
        <f t="shared" si="18"/>
        <v>42705</v>
      </c>
      <c r="N70" s="2799">
        <f t="shared" si="18"/>
        <v>42614</v>
      </c>
      <c r="O70" s="2145"/>
      <c r="P70" s="2145"/>
      <c r="Q70" s="2145"/>
      <c r="R70" s="2145"/>
      <c r="S70" s="2145"/>
      <c r="T70" s="2145"/>
      <c r="U70" s="2145"/>
      <c r="V70" s="2145"/>
      <c r="W70" s="2145"/>
      <c r="X70" s="2145"/>
      <c r="Y70" s="2145"/>
      <c r="Z70" s="2145"/>
      <c r="AA70" s="2145"/>
      <c r="AB70" s="2145"/>
      <c r="AC70" s="2145"/>
    </row>
    <row r="71" spans="1:29" ht="22.2"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7" customFormat="1" ht="14.4">
      <c r="A72" s="2568" t="s">
        <v>2530</v>
      </c>
      <c r="B72" s="2569"/>
      <c r="C72" s="2794" t="str">
        <f>YEAR(C70)&amp;"-"&amp;ROUNDUP(MONTH(C70)/3,0)</f>
        <v>2019-2</v>
      </c>
      <c r="D72" s="2801" t="str">
        <f>YEAR(D70)&amp;"-"&amp;ROUNDUP(MONTH(D70)/3,0)</f>
        <v>2019-1</v>
      </c>
      <c r="E72" s="2801" t="str">
        <f t="shared" ref="E72:N72" si="19">YEAR(E70)&amp;"-"&amp;ROUNDUP(MONTH(E70)/3,0)</f>
        <v>2018-4</v>
      </c>
      <c r="F72" s="2801" t="str">
        <f t="shared" si="19"/>
        <v>2018-3</v>
      </c>
      <c r="G72" s="2801" t="str">
        <f t="shared" si="19"/>
        <v>2018-2</v>
      </c>
      <c r="H72" s="2801" t="str">
        <f t="shared" si="19"/>
        <v>2018-1</v>
      </c>
      <c r="I72" s="2801" t="str">
        <f t="shared" si="19"/>
        <v>2017-4</v>
      </c>
      <c r="J72" s="2801" t="str">
        <f t="shared" si="19"/>
        <v>2017-3</v>
      </c>
      <c r="K72" s="2801" t="str">
        <f t="shared" si="19"/>
        <v>2017-2</v>
      </c>
      <c r="L72" s="2801" t="str">
        <f t="shared" si="19"/>
        <v>2017-1</v>
      </c>
      <c r="M72" s="2801" t="str">
        <f t="shared" si="19"/>
        <v>2016-4</v>
      </c>
      <c r="N72" s="2801"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806" t="s">
        <v>922</v>
      </c>
      <c r="B73" s="479" t="str">
        <f>"北京市平均增长率"&amp;TEXT(SUMIF(基准地价!N21:N25,A73,基准地价!P21:P25),"0.00%")</f>
        <v>北京市平均增长率0.00%</v>
      </c>
      <c r="C73" s="894">
        <v>100</v>
      </c>
      <c r="D73" s="3233">
        <f>C73-$C$74</f>
        <v>99</v>
      </c>
      <c r="E73" s="3233">
        <f t="shared" ref="E73:N73" si="20">D73-$C$74</f>
        <v>98</v>
      </c>
      <c r="F73" s="3233">
        <f t="shared" si="20"/>
        <v>97</v>
      </c>
      <c r="G73" s="3233">
        <f t="shared" si="20"/>
        <v>96</v>
      </c>
      <c r="H73" s="3233">
        <f t="shared" si="20"/>
        <v>95</v>
      </c>
      <c r="I73" s="3233">
        <f t="shared" si="20"/>
        <v>94</v>
      </c>
      <c r="J73" s="3233">
        <f t="shared" si="20"/>
        <v>93</v>
      </c>
      <c r="K73" s="3233">
        <f t="shared" si="20"/>
        <v>92</v>
      </c>
      <c r="L73" s="3233">
        <f t="shared" si="20"/>
        <v>91</v>
      </c>
      <c r="M73" s="3233">
        <f t="shared" si="20"/>
        <v>90</v>
      </c>
      <c r="N73" s="323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2644</v>
      </c>
      <c r="B74" s="2805"/>
      <c r="C74" s="2790">
        <v>1</v>
      </c>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4.4">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4.4"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8.8">
      <c r="A77" s="664" t="s">
        <v>576</v>
      </c>
      <c r="B77" s="665" t="s">
        <v>533</v>
      </c>
      <c r="C77" s="3181" t="s">
        <v>3435</v>
      </c>
      <c r="D77" s="3181" t="s">
        <v>3009</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1">
        <v>100</v>
      </c>
      <c r="D78" s="671">
        <v>110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9.4"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c r="A82" s="669"/>
      <c r="B82" s="683"/>
      <c r="C82" s="541">
        <v>0</v>
      </c>
      <c r="D82" s="541">
        <v>1</v>
      </c>
      <c r="E82" s="541">
        <v>2</v>
      </c>
      <c r="F82" s="541">
        <v>3</v>
      </c>
      <c r="G82" s="541">
        <v>4</v>
      </c>
      <c r="H82" s="541">
        <v>5</v>
      </c>
      <c r="I82" s="541">
        <v>6</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6"/>
      <c r="O83" s="2166"/>
      <c r="P83" s="2165"/>
      <c r="Q83" s="2158"/>
      <c r="R83" s="2145"/>
      <c r="S83" s="2145"/>
      <c r="T83" s="2145"/>
      <c r="U83" s="2145"/>
      <c r="V83" s="2145"/>
      <c r="W83" s="2145"/>
      <c r="X83" s="2145"/>
      <c r="Y83" s="2145"/>
      <c r="Z83" s="2145"/>
      <c r="AA83" s="2145"/>
      <c r="AB83" s="2145"/>
      <c r="AC83" s="2145"/>
    </row>
    <row r="84" spans="1:29" s="1339" customFormat="1" ht="1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4.4" thickTop="1">
      <c r="A86" s="687"/>
      <c r="B86" s="673">
        <f>B15</f>
        <v>0</v>
      </c>
      <c r="C86" s="688">
        <v>50</v>
      </c>
      <c r="D86" s="688">
        <v>40</v>
      </c>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4.4" thickBot="1">
      <c r="A87" s="687"/>
      <c r="B87" s="678"/>
      <c r="C87" s="692">
        <v>100</v>
      </c>
      <c r="D87" s="692">
        <v>99</v>
      </c>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 thickTop="1">
      <c r="A88" s="687"/>
      <c r="B88" s="681" t="str">
        <f>B16</f>
        <v>是否有自持</v>
      </c>
      <c r="C88" s="3240" t="s">
        <v>3430</v>
      </c>
      <c r="D88" s="3240" t="s">
        <v>3429</v>
      </c>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4.4" thickBot="1">
      <c r="A89" s="698"/>
      <c r="B89" s="699"/>
      <c r="C89" s="700">
        <v>95</v>
      </c>
      <c r="D89" s="700">
        <v>100</v>
      </c>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ht="14.4">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4.4"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9">
        <v>100</v>
      </c>
      <c r="D93" s="679">
        <f>C93-$K19</f>
        <v>99</v>
      </c>
      <c r="E93" s="679">
        <f>D93-$K19</f>
        <v>98</v>
      </c>
      <c r="F93" s="679">
        <f>E93-$K19</f>
        <v>97</v>
      </c>
      <c r="G93" s="679">
        <f>F93-$K19</f>
        <v>96</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9.4"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4.4"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9.4"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 thickTop="1">
      <c r="A102" s="687"/>
      <c r="B102" s="1896" t="s">
        <v>2546</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 thickTop="1">
      <c r="A104" s="687"/>
      <c r="B104" s="2597" t="s">
        <v>2548</v>
      </c>
      <c r="C104" s="2598" t="s">
        <v>2549</v>
      </c>
      <c r="D104" s="2598" t="s">
        <v>2550</v>
      </c>
      <c r="E104" s="2598" t="s">
        <v>2551</v>
      </c>
      <c r="F104" s="2598" t="s">
        <v>2552</v>
      </c>
      <c r="G104" s="2598" t="s">
        <v>2553</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4.4"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66"/>
      <c r="O107" s="2166"/>
      <c r="P107" s="2165"/>
      <c r="Q107" s="2158"/>
      <c r="R107" s="2145"/>
      <c r="S107" s="2145"/>
      <c r="T107" s="2145"/>
      <c r="U107" s="2145"/>
      <c r="V107" s="2145"/>
      <c r="W107" s="2145"/>
      <c r="X107" s="2145"/>
      <c r="Y107" s="2145"/>
      <c r="Z107" s="2145"/>
      <c r="AA107" s="2145"/>
      <c r="AB107" s="2145"/>
      <c r="AC107" s="2145"/>
    </row>
    <row r="108" spans="1:29" ht="29.4" thickTop="1">
      <c r="A108" s="669"/>
      <c r="B108" s="673" t="s">
        <v>547</v>
      </c>
      <c r="C108" s="3182" t="s">
        <v>3010</v>
      </c>
      <c r="D108" s="3182" t="s">
        <v>3011</v>
      </c>
      <c r="E108" s="3182" t="s">
        <v>3012</v>
      </c>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4.4"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4.4"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4.4"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4.4"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7.6">
      <c r="A118" s="664" t="s">
        <v>550</v>
      </c>
      <c r="B118" s="665" t="s">
        <v>592</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89" t="str">
        <f t="shared" si="26"/>
        <v>(含)-</v>
      </c>
      <c r="K118" s="3089" t="str">
        <f t="shared" si="26"/>
        <v>(含)-</v>
      </c>
      <c r="L118" s="3090" t="str">
        <f t="shared" si="26"/>
        <v>(含)-</v>
      </c>
      <c r="M118" s="3091"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c r="A119" s="669"/>
      <c r="B119" s="681"/>
      <c r="C119" s="730">
        <v>0</v>
      </c>
      <c r="D119" s="730">
        <v>100000</v>
      </c>
      <c r="E119" s="730">
        <v>200000</v>
      </c>
      <c r="F119" s="730">
        <v>300000</v>
      </c>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4.4" thickBot="1">
      <c r="A120" s="669"/>
      <c r="B120" s="678"/>
      <c r="C120" s="700">
        <v>100</v>
      </c>
      <c r="D120" s="726">
        <v>101</v>
      </c>
      <c r="E120" s="726">
        <v>102</v>
      </c>
      <c r="F120" s="726">
        <v>103</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83" t="s">
        <v>3013</v>
      </c>
      <c r="D121" s="3183" t="s">
        <v>3014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4.4"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2" t="s">
        <v>3015</v>
      </c>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2425</v>
      </c>
      <c r="C125" s="1375" t="s">
        <v>3016</v>
      </c>
      <c r="D125" s="1375" t="s">
        <v>3017</v>
      </c>
      <c r="E125" s="1375" t="s">
        <v>3018</v>
      </c>
      <c r="F125" s="1375" t="s">
        <v>3019</v>
      </c>
      <c r="G125" s="1375" t="s">
        <v>3020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3182" t="s">
        <v>3021</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4.4"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66"/>
      <c r="O128" s="2166"/>
      <c r="P128" s="2165"/>
      <c r="Q128" s="2158"/>
      <c r="R128" s="2145"/>
      <c r="S128" s="2145"/>
      <c r="T128" s="2145"/>
      <c r="U128" s="2145"/>
      <c r="V128" s="2145"/>
      <c r="W128" s="2145"/>
      <c r="X128" s="2145"/>
      <c r="Y128" s="2145"/>
      <c r="Z128" s="2145"/>
      <c r="AA128" s="2145"/>
      <c r="AB128" s="2145"/>
      <c r="AC128" s="2145"/>
    </row>
    <row r="129" spans="1:29" ht="14.4"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4.4"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4.4"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4.4"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4.4"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workbookViewId="0">
      <pane xSplit="2" ySplit="1" topLeftCell="C2" activePane="bottomRight" state="frozen"/>
      <selection pane="topRight" activeCell="C1" sqref="C1"/>
      <selection pane="bottomLeft" activeCell="A2" sqref="A2"/>
      <selection pane="bottomRight" activeCell="F23" sqref="F23"/>
    </sheetView>
  </sheetViews>
  <sheetFormatPr defaultRowHeight="14.4"/>
  <cols>
    <col min="2" max="2" width="18.33203125" bestFit="1" customWidth="1"/>
    <col min="3" max="3" width="23.21875" bestFit="1" customWidth="1"/>
    <col min="5" max="5" width="13.44140625" bestFit="1" customWidth="1"/>
    <col min="6" max="6" width="40.21875" bestFit="1" customWidth="1"/>
    <col min="7" max="7" width="22.44140625" bestFit="1" customWidth="1"/>
    <col min="8" max="8" width="10.44140625" customWidth="1"/>
    <col min="9" max="9" width="9.44140625" customWidth="1"/>
    <col min="11" max="11" width="11.88671875" customWidth="1"/>
  </cols>
  <sheetData>
    <row r="1" spans="1:21">
      <c r="A1" s="3220" t="s">
        <v>3355</v>
      </c>
      <c r="B1" s="3223" t="s">
        <v>3336</v>
      </c>
      <c r="C1" s="3223" t="s">
        <v>3339</v>
      </c>
      <c r="D1" s="3223" t="s">
        <v>2949</v>
      </c>
      <c r="E1" s="3223" t="s">
        <v>3337</v>
      </c>
      <c r="F1" s="3223" t="s">
        <v>3338</v>
      </c>
      <c r="G1" s="3223" t="s">
        <v>3366</v>
      </c>
      <c r="H1" s="3223" t="s">
        <v>3368</v>
      </c>
      <c r="I1" s="3223"/>
      <c r="N1" s="3223" t="s">
        <v>3366</v>
      </c>
      <c r="O1" s="3223" t="s">
        <v>3368</v>
      </c>
      <c r="P1" s="3223"/>
    </row>
    <row r="2" spans="1:21">
      <c r="A2" s="3220"/>
      <c r="B2" s="3223"/>
      <c r="C2" s="3223"/>
      <c r="D2" s="3223"/>
      <c r="E2" s="3223"/>
      <c r="F2" s="3223"/>
      <c r="G2" s="3223"/>
      <c r="H2" s="3220" t="s">
        <v>3369</v>
      </c>
      <c r="I2" s="3220" t="s">
        <v>3379</v>
      </c>
      <c r="J2" s="3220" t="s">
        <v>3354</v>
      </c>
      <c r="K2" s="3220" t="s">
        <v>3381</v>
      </c>
      <c r="L2" s="3220" t="s">
        <v>3380</v>
      </c>
      <c r="N2" s="3223"/>
      <c r="O2" s="3220" t="s">
        <v>3369</v>
      </c>
      <c r="P2" s="3220" t="s">
        <v>3379</v>
      </c>
      <c r="Q2" s="3220" t="s">
        <v>3370</v>
      </c>
      <c r="R2" s="3220" t="s">
        <v>3371</v>
      </c>
      <c r="S2" s="3220" t="s">
        <v>3372</v>
      </c>
      <c r="T2" s="3220" t="s">
        <v>3373</v>
      </c>
      <c r="U2" s="3220" t="s">
        <v>3374</v>
      </c>
    </row>
    <row r="3" spans="1:21">
      <c r="A3">
        <v>1</v>
      </c>
      <c r="B3" s="3224" t="s">
        <v>3324</v>
      </c>
      <c r="C3" s="3223" t="s">
        <v>3340</v>
      </c>
      <c r="D3" s="3223">
        <v>110187</v>
      </c>
      <c r="E3" s="3223" t="s">
        <v>3341</v>
      </c>
      <c r="F3" s="3223" t="s">
        <v>3342</v>
      </c>
      <c r="H3">
        <f>ROUND(D3/$D$19*225211.2,2)</f>
        <v>105997.75999999999</v>
      </c>
      <c r="I3">
        <f>ROUND(D3/$D$19*125956.8,2)</f>
        <v>59282.74</v>
      </c>
      <c r="J3">
        <f>H3+I3</f>
        <v>165280.5</v>
      </c>
      <c r="K3">
        <f ca="1">ROUND(H3*'剩余法-待开发'!$D$8/10000+I3*'剩余法-待开发'!$C$8/10000,0)</f>
        <v>185438</v>
      </c>
      <c r="L3">
        <f ca="1">ROUND(K3/$K$15*$L$15,0)</f>
        <v>11448</v>
      </c>
    </row>
    <row r="4" spans="1:21" s="3230" customFormat="1">
      <c r="A4" s="3230">
        <v>2</v>
      </c>
      <c r="B4" s="3229" t="s">
        <v>3325</v>
      </c>
      <c r="C4" s="3229" t="s">
        <v>3343</v>
      </c>
      <c r="D4" s="3229">
        <v>68029</v>
      </c>
      <c r="E4" s="3229" t="s">
        <v>3341</v>
      </c>
      <c r="F4" s="3229" t="s">
        <v>3342</v>
      </c>
      <c r="H4" s="3230">
        <f>D4/$D$20*169368</f>
        <v>81634.8</v>
      </c>
      <c r="I4" s="3230">
        <f>D4/$D$20*42342</f>
        <v>20408.7</v>
      </c>
      <c r="J4" s="3230">
        <f t="shared" ref="J4:J13" si="0">H4+I4</f>
        <v>102043.5</v>
      </c>
      <c r="K4" s="3230">
        <f ca="1">ROUND(H4*'剩余法-待开发'!$D$8/10000+I4*'剩余法-待开发'!$C$8/10000,0)</f>
        <v>113236</v>
      </c>
      <c r="L4" s="3230">
        <f t="shared" ref="L4:L14" ca="1" si="1">ROUND(K4/$K$15*$L$15,0)</f>
        <v>6991</v>
      </c>
    </row>
    <row r="5" spans="1:21" s="3230" customFormat="1">
      <c r="A5" s="3230">
        <v>3</v>
      </c>
      <c r="B5" s="3229" t="s">
        <v>3326</v>
      </c>
      <c r="C5" s="3229" t="s">
        <v>3344</v>
      </c>
      <c r="D5" s="3229">
        <v>41299</v>
      </c>
      <c r="E5" s="3229" t="s">
        <v>3341</v>
      </c>
      <c r="F5" s="3229" t="s">
        <v>3342</v>
      </c>
      <c r="H5" s="3230">
        <f>D5/$D$20*169368</f>
        <v>49558.8</v>
      </c>
      <c r="I5" s="3230">
        <f>D5/$D$20*42342</f>
        <v>12389.7</v>
      </c>
      <c r="J5" s="3230">
        <f t="shared" si="0"/>
        <v>61948.5</v>
      </c>
      <c r="K5" s="3230">
        <f ca="1">ROUND(H5*'剩余法-待开发'!$D$8/10000+I5*'剩余法-待开发'!$C$8/10000,0)</f>
        <v>68743</v>
      </c>
      <c r="L5" s="3230">
        <f t="shared" ca="1" si="1"/>
        <v>4244</v>
      </c>
    </row>
    <row r="6" spans="1:21">
      <c r="A6">
        <v>4</v>
      </c>
      <c r="B6" s="3224" t="s">
        <v>3327</v>
      </c>
      <c r="C6" s="3223" t="s">
        <v>3345</v>
      </c>
      <c r="D6" s="3223">
        <v>19979</v>
      </c>
      <c r="E6" s="3223" t="s">
        <v>3341</v>
      </c>
      <c r="F6" s="3223" t="s">
        <v>3342</v>
      </c>
      <c r="G6" s="3223" t="s">
        <v>3367</v>
      </c>
      <c r="H6">
        <f t="shared" ref="H6:H12" si="2">ROUND(D6/$D$19*225211.2,2)</f>
        <v>19219.41</v>
      </c>
      <c r="I6">
        <f>ROUND(D6/$D$19*125956.8,2)</f>
        <v>10749.09</v>
      </c>
      <c r="J6">
        <f t="shared" si="0"/>
        <v>29968.5</v>
      </c>
      <c r="K6">
        <f ca="1">ROUND(H6*'剩余法-待开发'!$D$8/10000+I6*'剩余法-待开发'!$C$8/10000,0)</f>
        <v>33624</v>
      </c>
      <c r="L6">
        <f t="shared" ca="1" si="1"/>
        <v>2076</v>
      </c>
      <c r="N6" s="3223" t="s">
        <v>3367</v>
      </c>
      <c r="O6">
        <v>11199</v>
      </c>
      <c r="P6">
        <v>0</v>
      </c>
      <c r="Q6">
        <v>584.87</v>
      </c>
      <c r="R6">
        <v>186.86</v>
      </c>
      <c r="S6">
        <v>7888.22</v>
      </c>
      <c r="T6">
        <v>600.26</v>
      </c>
      <c r="U6">
        <f>SUM(O6:R6)</f>
        <v>11970.730000000001</v>
      </c>
    </row>
    <row r="7" spans="1:21">
      <c r="A7">
        <v>5</v>
      </c>
      <c r="B7" s="3224" t="s">
        <v>3328</v>
      </c>
      <c r="C7" s="3223" t="s">
        <v>3346</v>
      </c>
      <c r="D7" s="3223">
        <v>57510</v>
      </c>
      <c r="E7" s="3223" t="s">
        <v>3341</v>
      </c>
      <c r="F7" s="3223" t="s">
        <v>3342</v>
      </c>
      <c r="H7">
        <f t="shared" si="2"/>
        <v>55323.5</v>
      </c>
      <c r="I7">
        <f t="shared" ref="I7:I12" si="3">ROUND(D7/$D$19*125956.8,2)</f>
        <v>30941.5</v>
      </c>
      <c r="J7">
        <f t="shared" si="0"/>
        <v>86265</v>
      </c>
      <c r="K7">
        <f ca="1">ROUND(H7*'剩余法-待开发'!$D$8/10000+I7*'剩余法-待开发'!$C$8/10000,0)</f>
        <v>96786</v>
      </c>
      <c r="L7">
        <f t="shared" ca="1" si="1"/>
        <v>5975</v>
      </c>
    </row>
    <row r="8" spans="1:21">
      <c r="A8">
        <v>6</v>
      </c>
      <c r="B8" s="3224" t="s">
        <v>3329</v>
      </c>
      <c r="C8" s="3223" t="s">
        <v>3347</v>
      </c>
      <c r="D8" s="3223">
        <v>6409</v>
      </c>
      <c r="E8" s="3223" t="s">
        <v>3341</v>
      </c>
      <c r="F8" s="3223" t="s">
        <v>3342</v>
      </c>
      <c r="H8">
        <f t="shared" si="2"/>
        <v>6165.33</v>
      </c>
      <c r="I8">
        <f t="shared" si="3"/>
        <v>3448.17</v>
      </c>
      <c r="J8">
        <f t="shared" si="0"/>
        <v>9613.5</v>
      </c>
      <c r="K8">
        <f ca="1">ROUND(H8*'剩余法-待开发'!$D$8/10000+I8*'剩余法-待开发'!$C$8/10000,0)</f>
        <v>10786</v>
      </c>
      <c r="L8">
        <f t="shared" ca="1" si="1"/>
        <v>666</v>
      </c>
    </row>
    <row r="9" spans="1:21">
      <c r="A9">
        <v>7</v>
      </c>
      <c r="B9" s="3224" t="s">
        <v>3330</v>
      </c>
      <c r="C9" s="3223" t="s">
        <v>3348</v>
      </c>
      <c r="D9" s="3223">
        <v>2698</v>
      </c>
      <c r="E9" s="3223" t="s">
        <v>3341</v>
      </c>
      <c r="F9" s="3223" t="s">
        <v>3342</v>
      </c>
      <c r="H9">
        <f t="shared" si="2"/>
        <v>2595.42</v>
      </c>
      <c r="I9">
        <f t="shared" si="3"/>
        <v>1451.58</v>
      </c>
      <c r="J9">
        <f t="shared" si="0"/>
        <v>4047</v>
      </c>
      <c r="K9">
        <f ca="1">ROUND(H9*'剩余法-待开发'!$D$8/10000+I9*'剩余法-待开发'!$C$8/10000,0)</f>
        <v>4541</v>
      </c>
      <c r="L9">
        <f t="shared" ca="1" si="1"/>
        <v>280</v>
      </c>
    </row>
    <row r="10" spans="1:21">
      <c r="A10">
        <v>8</v>
      </c>
      <c r="B10" s="3224" t="s">
        <v>3331</v>
      </c>
      <c r="C10" s="3223" t="s">
        <v>3349</v>
      </c>
      <c r="D10" s="3223">
        <v>3785</v>
      </c>
      <c r="E10" s="3223" t="s">
        <v>3341</v>
      </c>
      <c r="F10" s="3223" t="s">
        <v>3342</v>
      </c>
      <c r="H10">
        <f t="shared" si="2"/>
        <v>3641.1</v>
      </c>
      <c r="I10">
        <f t="shared" si="3"/>
        <v>2036.4</v>
      </c>
      <c r="J10">
        <f t="shared" si="0"/>
        <v>5677.5</v>
      </c>
      <c r="K10">
        <f ca="1">ROUND(H10*'剩余法-待开发'!$D$8/10000+I10*'剩余法-待开发'!$C$8/10000,0)</f>
        <v>6370</v>
      </c>
      <c r="L10">
        <f t="shared" ca="1" si="1"/>
        <v>393</v>
      </c>
    </row>
    <row r="11" spans="1:21">
      <c r="A11">
        <v>9</v>
      </c>
      <c r="B11" s="3224" t="s">
        <v>3332</v>
      </c>
      <c r="C11" s="3223" t="s">
        <v>3350</v>
      </c>
      <c r="D11" s="3223">
        <v>7017</v>
      </c>
      <c r="E11" s="3223" t="s">
        <v>3341</v>
      </c>
      <c r="F11" s="3223" t="s">
        <v>3342</v>
      </c>
      <c r="H11">
        <f t="shared" si="2"/>
        <v>6750.22</v>
      </c>
      <c r="I11">
        <f t="shared" si="3"/>
        <v>3775.28</v>
      </c>
      <c r="J11">
        <f t="shared" si="0"/>
        <v>10525.5</v>
      </c>
      <c r="K11">
        <f ca="1">ROUND(H11*'剩余法-待开发'!$D$8/10000+I11*'剩余法-待开发'!$C$8/10000,0)</f>
        <v>11809</v>
      </c>
      <c r="L11">
        <f t="shared" ca="1" si="1"/>
        <v>729</v>
      </c>
    </row>
    <row r="12" spans="1:21">
      <c r="A12">
        <v>10</v>
      </c>
      <c r="B12" s="3224" t="s">
        <v>3333</v>
      </c>
      <c r="C12" s="3223" t="s">
        <v>3351</v>
      </c>
      <c r="D12" s="3223">
        <v>3970</v>
      </c>
      <c r="E12" s="3223" t="s">
        <v>3341</v>
      </c>
      <c r="F12" s="3223" t="s">
        <v>3342</v>
      </c>
      <c r="H12">
        <f t="shared" si="2"/>
        <v>3819.06</v>
      </c>
      <c r="I12">
        <f t="shared" si="3"/>
        <v>2135.94</v>
      </c>
      <c r="J12">
        <f t="shared" si="0"/>
        <v>5955</v>
      </c>
      <c r="K12">
        <f ca="1">ROUND(H12*'剩余法-待开发'!$D$8/10000+I12*'剩余法-待开发'!$C$8/10000,0)</f>
        <v>6681</v>
      </c>
      <c r="L12">
        <f t="shared" ca="1" si="1"/>
        <v>412</v>
      </c>
    </row>
    <row r="13" spans="1:21" s="3230" customFormat="1">
      <c r="A13" s="3230">
        <v>11</v>
      </c>
      <c r="B13" s="3229" t="s">
        <v>3334</v>
      </c>
      <c r="C13" s="3229" t="s">
        <v>3352</v>
      </c>
      <c r="D13" s="3229">
        <v>31812</v>
      </c>
      <c r="E13" s="3229" t="s">
        <v>3341</v>
      </c>
      <c r="F13" s="3229" t="s">
        <v>3342</v>
      </c>
      <c r="H13" s="3230">
        <f>D13/$D$20*169368</f>
        <v>38174.400000000001</v>
      </c>
      <c r="I13" s="3230">
        <f>D13/$D$20*42342</f>
        <v>9543.6</v>
      </c>
      <c r="J13" s="3230">
        <f t="shared" si="0"/>
        <v>47718</v>
      </c>
      <c r="K13" s="3230">
        <f ca="1">ROUND(H13*'剩余法-待开发'!$D$8/10000+I13*'剩余法-待开发'!$C$8/10000,0)</f>
        <v>52952</v>
      </c>
      <c r="L13" s="3230">
        <f t="shared" ca="1" si="1"/>
        <v>3269</v>
      </c>
    </row>
    <row r="14" spans="1:21">
      <c r="A14">
        <v>12</v>
      </c>
      <c r="B14" s="3224" t="s">
        <v>3335</v>
      </c>
      <c r="C14" s="3223" t="s">
        <v>3353</v>
      </c>
      <c r="D14" s="3223">
        <v>22557</v>
      </c>
      <c r="E14" s="3223" t="s">
        <v>3341</v>
      </c>
      <c r="F14" s="3223" t="s">
        <v>3342</v>
      </c>
      <c r="H14">
        <f>ROUND(D14/$D$19*225211.2,2)</f>
        <v>21699.4</v>
      </c>
      <c r="I14">
        <f>ROUND(D14/$D$19*125956.8,2)</f>
        <v>12136.1</v>
      </c>
      <c r="J14">
        <f>H14+I14</f>
        <v>33835.5</v>
      </c>
      <c r="K14">
        <f ca="1">ROUND(H14*'剩余法-待开发'!$D$8/10000+I14*'剩余法-待开发'!$C$8/10000,0)</f>
        <v>37962</v>
      </c>
      <c r="L14">
        <f t="shared" ca="1" si="1"/>
        <v>2344</v>
      </c>
    </row>
    <row r="15" spans="1:21">
      <c r="A15" s="3489" t="s">
        <v>3354</v>
      </c>
      <c r="B15" s="3489"/>
      <c r="C15" s="3489"/>
      <c r="D15" s="3223">
        <f>SUM(D3:D14)</f>
        <v>375252</v>
      </c>
      <c r="E15" s="3223"/>
      <c r="F15" s="3223"/>
      <c r="H15" s="3223">
        <f>SUM(H3:H14)</f>
        <v>394579.20000000001</v>
      </c>
      <c r="I15" s="3223">
        <f>SUM(I3:I14)</f>
        <v>168298.8</v>
      </c>
      <c r="J15" s="3223">
        <f>SUM(J3:J14)</f>
        <v>562878</v>
      </c>
      <c r="K15" s="3223">
        <f ca="1">SUM(K3:K14)</f>
        <v>628928</v>
      </c>
      <c r="L15" s="3223">
        <f ca="1">结果表!G19</f>
        <v>38827</v>
      </c>
    </row>
    <row r="18" spans="1:9">
      <c r="A18" s="3225" t="s">
        <v>3356</v>
      </c>
      <c r="B18" s="3226" t="s">
        <v>3336</v>
      </c>
      <c r="C18" s="3225" t="s">
        <v>3357</v>
      </c>
      <c r="D18" s="3226" t="s">
        <v>2949</v>
      </c>
      <c r="E18" s="1793"/>
      <c r="F18" s="3226" t="s">
        <v>3362</v>
      </c>
      <c r="G18" s="3226" t="s">
        <v>3361</v>
      </c>
      <c r="H18" s="3226" t="s">
        <v>3365</v>
      </c>
      <c r="I18" s="3226"/>
    </row>
    <row r="19" spans="1:9" s="1793" customFormat="1">
      <c r="B19" s="3227" t="s">
        <v>3359</v>
      </c>
      <c r="C19" s="3225" t="s">
        <v>3358</v>
      </c>
      <c r="D19" s="1793">
        <v>234112</v>
      </c>
      <c r="E19" s="3225" t="s">
        <v>3360</v>
      </c>
      <c r="F19" s="3225" t="s">
        <v>3363</v>
      </c>
      <c r="G19" s="1793">
        <v>46590</v>
      </c>
      <c r="H19" s="3228" t="s">
        <v>3364</v>
      </c>
      <c r="I19" s="3228"/>
    </row>
    <row r="20" spans="1:9" s="1793" customFormat="1">
      <c r="B20" s="3225" t="s">
        <v>3376</v>
      </c>
      <c r="C20" s="3225" t="s">
        <v>3375</v>
      </c>
      <c r="D20" s="1793">
        <v>141140</v>
      </c>
      <c r="E20" s="3225" t="s">
        <v>3360</v>
      </c>
      <c r="F20" s="3225" t="s">
        <v>3378</v>
      </c>
      <c r="G20" s="1793">
        <v>27469</v>
      </c>
      <c r="H20" s="3225" t="s">
        <v>3377</v>
      </c>
      <c r="I20" s="3225"/>
    </row>
    <row r="25" spans="1:9">
      <c r="F25">
        <f>42342/169368</f>
        <v>0.25</v>
      </c>
    </row>
  </sheetData>
  <mergeCells count="1">
    <mergeCell ref="A15:C15"/>
  </mergeCells>
  <phoneticPr fontId="233" type="noConversion"/>
  <pageMargins left="0.7" right="0.7" top="0.75" bottom="0.75" header="0.3" footer="0.3"/>
  <ignoredErrors>
    <ignoredError sqref="H13:I1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54" customWidth="1"/>
    <col min="2" max="2" width="10.77734375" style="1654" customWidth="1"/>
    <col min="3" max="4" width="11.6640625" style="1654" customWidth="1"/>
    <col min="5" max="5" width="6.6640625" style="1654" customWidth="1"/>
    <col min="6" max="16384" width="9" style="1654"/>
  </cols>
  <sheetData>
    <row r="36" spans="1:9">
      <c r="A36" s="1653" t="s">
        <v>1900</v>
      </c>
      <c r="B36" s="1653" t="s">
        <v>1901</v>
      </c>
    </row>
    <row r="37" spans="1:9" ht="28.5" customHeight="1">
      <c r="A37" s="1653"/>
      <c r="B37" s="3281" t="str">
        <f>项目基本情况!B1</f>
        <v>重庆两江新区航悦项目E01-04-02出让国有建设用地使用权抵押价格预评估</v>
      </c>
      <c r="C37" s="3281"/>
      <c r="D37" s="3281"/>
      <c r="E37" s="3281"/>
      <c r="F37" s="3281"/>
      <c r="G37" s="3281"/>
      <c r="H37" s="3281"/>
      <c r="I37" s="3281"/>
    </row>
    <row r="38" spans="1:9">
      <c r="A38" s="1655"/>
      <c r="B38" s="1655"/>
    </row>
    <row r="39" spans="1:9">
      <c r="A39" s="1653" t="s">
        <v>1900</v>
      </c>
      <c r="B39" s="1653" t="s">
        <v>2047</v>
      </c>
    </row>
    <row r="40" spans="1:9">
      <c r="A40" s="1653"/>
      <c r="B40" s="1653" t="str">
        <f>项目基本情况!B5</f>
        <v>重庆航龙置业有限公司</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workbookViewId="0">
      <selection activeCell="G20" sqref="G20"/>
    </sheetView>
  </sheetViews>
  <sheetFormatPr defaultRowHeight="14.4"/>
  <cols>
    <col min="2" max="2" width="14.21875" customWidth="1"/>
    <col min="8" max="8" width="9.88671875" customWidth="1"/>
    <col min="9" max="9" width="13.44140625" customWidth="1"/>
    <col min="10" max="10" width="29.77734375" customWidth="1"/>
  </cols>
  <sheetData>
    <row r="1" spans="1:10">
      <c r="A1" s="3490" t="s">
        <v>2375</v>
      </c>
      <c r="B1" s="3490" t="s">
        <v>3382</v>
      </c>
      <c r="C1" s="3490" t="s">
        <v>3383</v>
      </c>
      <c r="D1" s="3490" t="s">
        <v>3384</v>
      </c>
      <c r="E1" s="3490" t="s">
        <v>2945</v>
      </c>
      <c r="F1" s="3490"/>
      <c r="G1" s="3490"/>
      <c r="H1" s="3232"/>
      <c r="I1" s="3491" t="s">
        <v>3409</v>
      </c>
    </row>
    <row r="2" spans="1:10">
      <c r="A2" s="3490"/>
      <c r="B2" s="3490"/>
      <c r="C2" s="3490"/>
      <c r="D2" s="3490"/>
      <c r="E2" s="3232" t="s">
        <v>922</v>
      </c>
      <c r="F2" s="3232" t="s">
        <v>3024</v>
      </c>
      <c r="G2" s="3232" t="s">
        <v>24</v>
      </c>
      <c r="H2" s="3231" t="s">
        <v>3411</v>
      </c>
      <c r="I2" s="3491"/>
    </row>
    <row r="3" spans="1:10">
      <c r="A3" s="3232">
        <v>1</v>
      </c>
      <c r="B3" s="3232" t="s">
        <v>3385</v>
      </c>
      <c r="C3" s="3232" t="s">
        <v>3386</v>
      </c>
      <c r="D3" s="3232">
        <v>110187</v>
      </c>
      <c r="E3" s="3232">
        <v>105997.75999999999</v>
      </c>
      <c r="F3" s="3232">
        <v>59282.74</v>
      </c>
      <c r="G3" s="3232">
        <v>165280.5</v>
      </c>
      <c r="H3" s="3232">
        <f>ROUND(I3/G3*10000,0)</f>
        <v>3509</v>
      </c>
      <c r="I3" s="3232">
        <v>57997</v>
      </c>
    </row>
    <row r="4" spans="1:10">
      <c r="A4" s="3232">
        <v>2</v>
      </c>
      <c r="B4" s="3232" t="s">
        <v>3387</v>
      </c>
      <c r="C4" s="3232" t="s">
        <v>3388</v>
      </c>
      <c r="D4" s="3232">
        <v>68029</v>
      </c>
      <c r="E4" s="3232">
        <v>81634.8</v>
      </c>
      <c r="F4" s="3232">
        <v>20408.7</v>
      </c>
      <c r="G4" s="3232">
        <v>102043.5</v>
      </c>
      <c r="H4" s="3232">
        <f t="shared" ref="H4:H15" si="0">ROUND(I4/G4*10000,0)</f>
        <v>3762</v>
      </c>
      <c r="I4" s="3232">
        <v>38390</v>
      </c>
    </row>
    <row r="5" spans="1:10">
      <c r="A5" s="3232">
        <v>3</v>
      </c>
      <c r="B5" s="3232" t="s">
        <v>3389</v>
      </c>
      <c r="C5" s="3232" t="s">
        <v>3390</v>
      </c>
      <c r="D5" s="3232">
        <v>41299</v>
      </c>
      <c r="E5" s="3232">
        <v>49558.8</v>
      </c>
      <c r="F5" s="3232">
        <v>12389.7</v>
      </c>
      <c r="G5" s="3232">
        <v>61948.5</v>
      </c>
      <c r="H5" s="3232">
        <f t="shared" si="0"/>
        <v>3762</v>
      </c>
      <c r="I5" s="3232">
        <v>23306</v>
      </c>
    </row>
    <row r="6" spans="1:10">
      <c r="A6" s="3232">
        <v>4</v>
      </c>
      <c r="B6" s="3232" t="s">
        <v>3391</v>
      </c>
      <c r="C6" s="3232" t="s">
        <v>3392</v>
      </c>
      <c r="D6" s="3232">
        <v>19979</v>
      </c>
      <c r="E6" s="3232">
        <v>19219.41</v>
      </c>
      <c r="F6" s="3232">
        <v>10749.09</v>
      </c>
      <c r="G6" s="3232">
        <v>29968.5</v>
      </c>
      <c r="H6" s="3232">
        <f t="shared" si="0"/>
        <v>3509</v>
      </c>
      <c r="I6" s="3232">
        <v>10516</v>
      </c>
      <c r="J6" s="3220" t="s">
        <v>3410</v>
      </c>
    </row>
    <row r="7" spans="1:10">
      <c r="A7" s="3232">
        <v>5</v>
      </c>
      <c r="B7" s="3232" t="s">
        <v>3393</v>
      </c>
      <c r="C7" s="3232" t="s">
        <v>3394</v>
      </c>
      <c r="D7" s="3232">
        <v>57510</v>
      </c>
      <c r="E7" s="3232">
        <v>55323.5</v>
      </c>
      <c r="F7" s="3232">
        <v>30941.5</v>
      </c>
      <c r="G7" s="3232">
        <v>86265</v>
      </c>
      <c r="H7" s="3232">
        <f t="shared" si="0"/>
        <v>3509</v>
      </c>
      <c r="I7" s="3232">
        <v>30270</v>
      </c>
    </row>
    <row r="8" spans="1:10">
      <c r="A8" s="3232">
        <v>6</v>
      </c>
      <c r="B8" s="3232" t="s">
        <v>3395</v>
      </c>
      <c r="C8" s="3232" t="s">
        <v>3396</v>
      </c>
      <c r="D8" s="3232">
        <v>6409</v>
      </c>
      <c r="E8" s="3232">
        <v>6165.33</v>
      </c>
      <c r="F8" s="3232">
        <v>3448.17</v>
      </c>
      <c r="G8" s="3232">
        <v>9613.5</v>
      </c>
      <c r="H8" s="3232">
        <f t="shared" si="0"/>
        <v>3509</v>
      </c>
      <c r="I8" s="3232">
        <v>3373</v>
      </c>
    </row>
    <row r="9" spans="1:10">
      <c r="A9" s="3232">
        <v>7</v>
      </c>
      <c r="B9" s="3232" t="s">
        <v>3397</v>
      </c>
      <c r="C9" s="3232" t="s">
        <v>3398</v>
      </c>
      <c r="D9" s="3232">
        <v>2698</v>
      </c>
      <c r="E9" s="3232">
        <v>2595.42</v>
      </c>
      <c r="F9" s="3232">
        <v>1451.58</v>
      </c>
      <c r="G9" s="3232">
        <v>4047</v>
      </c>
      <c r="H9" s="3232">
        <f t="shared" si="0"/>
        <v>3509</v>
      </c>
      <c r="I9" s="3232">
        <v>1420</v>
      </c>
    </row>
    <row r="10" spans="1:10">
      <c r="A10" s="3232">
        <v>8</v>
      </c>
      <c r="B10" s="3232" t="s">
        <v>3399</v>
      </c>
      <c r="C10" s="3232" t="s">
        <v>3400</v>
      </c>
      <c r="D10" s="3232">
        <v>3785</v>
      </c>
      <c r="E10" s="3232">
        <v>3641.1</v>
      </c>
      <c r="F10" s="3232">
        <v>2036.4</v>
      </c>
      <c r="G10" s="3232">
        <v>5677.5</v>
      </c>
      <c r="H10" s="3232">
        <f t="shared" si="0"/>
        <v>3509</v>
      </c>
      <c r="I10" s="3232">
        <v>1992</v>
      </c>
    </row>
    <row r="11" spans="1:10">
      <c r="A11" s="3232">
        <v>9</v>
      </c>
      <c r="B11" s="3232" t="s">
        <v>3401</v>
      </c>
      <c r="C11" s="3232" t="s">
        <v>3402</v>
      </c>
      <c r="D11" s="3232">
        <v>7017</v>
      </c>
      <c r="E11" s="3232">
        <v>6750.22</v>
      </c>
      <c r="F11" s="3232">
        <v>3775.28</v>
      </c>
      <c r="G11" s="3232">
        <v>10525.5</v>
      </c>
      <c r="H11" s="3232">
        <f t="shared" si="0"/>
        <v>3510</v>
      </c>
      <c r="I11" s="3232">
        <v>3694</v>
      </c>
    </row>
    <row r="12" spans="1:10">
      <c r="A12" s="3232">
        <v>10</v>
      </c>
      <c r="B12" s="3232" t="s">
        <v>3403</v>
      </c>
      <c r="C12" s="3232" t="s">
        <v>3404</v>
      </c>
      <c r="D12" s="3232">
        <v>3970</v>
      </c>
      <c r="E12" s="3232">
        <v>3819.06</v>
      </c>
      <c r="F12" s="3232">
        <v>2135.94</v>
      </c>
      <c r="G12" s="3232">
        <v>5955</v>
      </c>
      <c r="H12" s="3232">
        <f t="shared" si="0"/>
        <v>3510</v>
      </c>
      <c r="I12" s="3232">
        <v>2090</v>
      </c>
    </row>
    <row r="13" spans="1:10">
      <c r="A13" s="3232">
        <v>11</v>
      </c>
      <c r="B13" s="3232" t="s">
        <v>3405</v>
      </c>
      <c r="C13" s="3232" t="s">
        <v>3406</v>
      </c>
      <c r="D13" s="3232">
        <v>31812</v>
      </c>
      <c r="E13" s="3232">
        <v>38174.400000000001</v>
      </c>
      <c r="F13" s="3232">
        <v>9543.6</v>
      </c>
      <c r="G13" s="3232">
        <v>47718</v>
      </c>
      <c r="H13" s="3232">
        <f t="shared" si="0"/>
        <v>3762</v>
      </c>
      <c r="I13" s="3232">
        <v>17952</v>
      </c>
    </row>
    <row r="14" spans="1:10">
      <c r="A14" s="3232">
        <v>12</v>
      </c>
      <c r="B14" s="3232" t="s">
        <v>3407</v>
      </c>
      <c r="C14" s="3232" t="s">
        <v>3408</v>
      </c>
      <c r="D14" s="3232">
        <v>22557</v>
      </c>
      <c r="E14" s="3232">
        <v>21699.4</v>
      </c>
      <c r="F14" s="3232">
        <v>12136.1</v>
      </c>
      <c r="G14" s="3232">
        <v>33835.5</v>
      </c>
      <c r="H14" s="3232">
        <f t="shared" si="0"/>
        <v>3509</v>
      </c>
      <c r="I14" s="3232">
        <v>11873</v>
      </c>
    </row>
    <row r="15" spans="1:10">
      <c r="A15" s="3232" t="s">
        <v>24</v>
      </c>
      <c r="B15" s="3232"/>
      <c r="C15" s="3232"/>
      <c r="D15" s="3232">
        <v>375252</v>
      </c>
      <c r="E15" s="3232">
        <v>394579.20000000001</v>
      </c>
      <c r="F15" s="3232">
        <v>168298.8</v>
      </c>
      <c r="G15" s="3232">
        <v>562878</v>
      </c>
      <c r="H15" s="3232">
        <f t="shared" si="0"/>
        <v>3604</v>
      </c>
      <c r="I15" s="3232">
        <v>202873</v>
      </c>
    </row>
  </sheetData>
  <mergeCells count="6">
    <mergeCell ref="A1:A2"/>
    <mergeCell ref="I1:I2"/>
    <mergeCell ref="E1:G1"/>
    <mergeCell ref="D1:D2"/>
    <mergeCell ref="C1:C2"/>
    <mergeCell ref="B1:B2"/>
  </mergeCells>
  <phoneticPr fontId="23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workbookViewId="0">
      <selection activeCell="H25" sqref="H25"/>
    </sheetView>
  </sheetViews>
  <sheetFormatPr defaultRowHeight="14.4"/>
  <cols>
    <col min="2" max="2" width="17.109375" customWidth="1"/>
    <col min="4" max="4" width="12.77734375" customWidth="1"/>
  </cols>
  <sheetData>
    <row r="1" spans="1:12" ht="15" thickBot="1">
      <c r="A1" s="3242" t="s">
        <v>3438</v>
      </c>
      <c r="B1" s="3253">
        <v>43626</v>
      </c>
      <c r="C1" s="3246"/>
      <c r="D1" s="3246"/>
      <c r="E1" s="3246"/>
      <c r="F1" s="3246"/>
      <c r="G1" s="3246"/>
    </row>
    <row r="2" spans="1:12" ht="43.2">
      <c r="A2" s="3243" t="s">
        <v>3439</v>
      </c>
      <c r="B2" s="1228" t="s">
        <v>3446</v>
      </c>
      <c r="C2" s="3263" t="s">
        <v>3447</v>
      </c>
      <c r="D2" s="1228" t="s">
        <v>3448</v>
      </c>
      <c r="E2" s="3271" t="s">
        <v>3449</v>
      </c>
      <c r="F2" s="3246"/>
      <c r="G2" s="3246"/>
    </row>
    <row r="3" spans="1:12">
      <c r="A3" s="3244">
        <v>40</v>
      </c>
      <c r="B3" s="3254">
        <f>项目基本情况!E17</f>
        <v>56430</v>
      </c>
      <c r="C3" s="174">
        <f>ROUNDDOWN(MIN((B3-$B$1)/365,A3),2)</f>
        <v>35.07</v>
      </c>
      <c r="D3" s="175">
        <f>IF(ISERROR(ROUND(POWER(1+E3,A3-C3)*(POWER(1+E3,C3)-1)/(POWER(1+E3,A3)-1),3)),0,ROUND(POWER(1+E3,A3-C3)*(POWER(1+E3,C3)-1)/(POWER(1+E3,A3)-1),3))</f>
        <v>0.95199999999999996</v>
      </c>
      <c r="E3" s="3272">
        <f>'数据-取费表'!H16</f>
        <v>4.7E-2</v>
      </c>
      <c r="F3" s="3246"/>
      <c r="G3" s="3246"/>
    </row>
    <row r="4" spans="1:12">
      <c r="A4" s="3244">
        <v>50</v>
      </c>
      <c r="B4" s="3254">
        <f>项目基本情况!D17</f>
        <v>60083</v>
      </c>
      <c r="C4" s="174">
        <f>ROUNDDOWN(MIN((B4-$B$1)/365,A4),2)</f>
        <v>45.08</v>
      </c>
      <c r="D4" s="175">
        <f>IF(ISERROR(ROUND(POWER(1+E4,A4-C4)*(POWER(1+E4,C4)-1)/(POWER(1+E4,A4)-1),3)),0,ROUND(POWER(1+E4,A4-C4)*(POWER(1+E4,C4)-1)/(POWER(1+E4,A4)-1),3))</f>
        <v>0.97199999999999998</v>
      </c>
      <c r="E4" s="3272">
        <f>E3</f>
        <v>4.7E-2</v>
      </c>
      <c r="F4" s="3246"/>
      <c r="G4" s="3246"/>
    </row>
    <row r="5" spans="1:12" ht="15" thickBot="1">
      <c r="A5" s="3245">
        <v>70</v>
      </c>
      <c r="B5" s="3254">
        <v>63735</v>
      </c>
      <c r="C5" s="3264">
        <f>ROUNDDOWN(MIN((B5-$B$1)/365,A5),2)</f>
        <v>55.09</v>
      </c>
      <c r="D5" s="3269">
        <f>IF(ISERROR(ROUND(POWER(1+E5,A5-C5)*(POWER(1+E5,C5)-1)/(POWER(1+E5,A5)-1),3)),0,ROUND(POWER(1+E5,A5-C5)*(POWER(1+E5,C5)-1)/(POWER(1+E5,A5)-1),3))</f>
        <v>0.95899999999999996</v>
      </c>
      <c r="E5" s="3273">
        <f>E4</f>
        <v>4.7E-2</v>
      </c>
      <c r="F5" s="3246"/>
      <c r="G5" s="3246"/>
    </row>
    <row r="6" spans="1:12" ht="15" thickBot="1">
      <c r="A6" s="3246"/>
      <c r="B6" s="3246"/>
      <c r="C6" s="3246"/>
      <c r="D6" s="3246"/>
      <c r="E6" s="3246"/>
      <c r="F6" s="3246"/>
      <c r="G6" s="3246"/>
    </row>
    <row r="7" spans="1:12" ht="15" thickBot="1">
      <c r="A7" s="3247" t="s">
        <v>3440</v>
      </c>
      <c r="B7" s="3255"/>
      <c r="C7" s="3265"/>
      <c r="D7" s="3265"/>
      <c r="E7" s="3265"/>
      <c r="F7" s="3265"/>
      <c r="G7" s="3265"/>
    </row>
    <row r="8" spans="1:12" ht="15" thickBot="1">
      <c r="A8" s="3492" t="s">
        <v>3441</v>
      </c>
      <c r="B8" s="3493"/>
      <c r="C8" s="3266"/>
      <c r="D8" s="3270" t="s">
        <v>3449</v>
      </c>
      <c r="E8" s="3266"/>
      <c r="F8" s="3274" t="s">
        <v>3448</v>
      </c>
      <c r="G8" s="3246"/>
    </row>
    <row r="9" spans="1:12">
      <c r="A9" s="3248" t="s">
        <v>3442</v>
      </c>
      <c r="B9" s="3256">
        <v>50</v>
      </c>
      <c r="C9" s="3251" t="s">
        <v>3452</v>
      </c>
      <c r="D9" s="3277">
        <f>E4</f>
        <v>4.7E-2</v>
      </c>
      <c r="E9" s="3251" t="s">
        <v>3450</v>
      </c>
      <c r="F9" s="3275">
        <f>1-(1/(POWER(1+D9,B9)))</f>
        <v>0.89938426222333701</v>
      </c>
      <c r="G9" s="3246"/>
    </row>
    <row r="10" spans="1:12" ht="15" thickBot="1">
      <c r="A10" s="3249" t="s">
        <v>3443</v>
      </c>
      <c r="B10" s="3257">
        <v>40</v>
      </c>
      <c r="C10" s="3252" t="s">
        <v>3453</v>
      </c>
      <c r="D10" s="3278">
        <f>E3</f>
        <v>4.7E-2</v>
      </c>
      <c r="E10" s="3252" t="s">
        <v>3451</v>
      </c>
      <c r="F10" s="3276">
        <f>1-(1/(POWER(1+D10,B10)))</f>
        <v>0.84073045739372287</v>
      </c>
      <c r="G10" s="3279"/>
    </row>
    <row r="11" spans="1:12" ht="15" thickBot="1">
      <c r="A11" s="3250" t="s">
        <v>3444</v>
      </c>
      <c r="B11" s="3258"/>
      <c r="C11" s="3258"/>
      <c r="D11" s="3258"/>
      <c r="E11" s="3258"/>
      <c r="F11" s="3258"/>
      <c r="G11" s="3246"/>
    </row>
    <row r="12" spans="1:12">
      <c r="A12" s="3248" t="s">
        <v>3456</v>
      </c>
      <c r="B12" s="3259">
        <f>L12</f>
        <v>3066.05</v>
      </c>
      <c r="C12" s="3246"/>
      <c r="D12" s="3246"/>
      <c r="E12" s="3268"/>
      <c r="F12" s="3268"/>
      <c r="G12" s="3246"/>
      <c r="H12" s="611">
        <f>土地案例!AK19</f>
        <v>3461.44</v>
      </c>
      <c r="I12" s="612"/>
      <c r="J12" s="613">
        <f>土地案例!AK20</f>
        <v>3653.23</v>
      </c>
      <c r="K12" s="614"/>
      <c r="L12" s="611">
        <f>土地案例!AK25</f>
        <v>3066.05</v>
      </c>
    </row>
    <row r="13" spans="1:12" ht="15" thickBot="1">
      <c r="A13" s="3249" t="s">
        <v>3457</v>
      </c>
      <c r="B13" s="3260">
        <f>ROUND(B12*F10/F9,2)</f>
        <v>2866.1</v>
      </c>
      <c r="C13" s="3267">
        <f>ROUND(F10/F9,4)</f>
        <v>0.93479999999999996</v>
      </c>
      <c r="D13" s="3246"/>
      <c r="E13" s="3268"/>
      <c r="F13" s="3268"/>
      <c r="G13" s="3246"/>
    </row>
    <row r="14" spans="1:12" ht="15" thickBot="1">
      <c r="A14" s="3250" t="s">
        <v>3445</v>
      </c>
      <c r="B14" s="3261"/>
      <c r="C14" s="3268"/>
      <c r="D14" s="3246"/>
      <c r="E14" s="3246"/>
      <c r="F14" s="3246"/>
      <c r="G14" s="3246"/>
      <c r="H14">
        <v>3703</v>
      </c>
      <c r="J14">
        <v>3908</v>
      </c>
      <c r="L14">
        <v>3280</v>
      </c>
    </row>
    <row r="15" spans="1:12">
      <c r="A15" s="3251" t="s">
        <v>3455</v>
      </c>
      <c r="B15" s="3280">
        <f>B12</f>
        <v>3066.05</v>
      </c>
      <c r="C15" s="3268"/>
      <c r="D15" s="3246"/>
      <c r="E15" s="3246"/>
      <c r="F15" s="3246"/>
      <c r="G15" s="3246"/>
    </row>
    <row r="16" spans="1:12" ht="15" thickBot="1">
      <c r="A16" s="3252" t="s">
        <v>3454</v>
      </c>
      <c r="B16" s="3262">
        <f>ROUND(B15*F9/F10,2)</f>
        <v>3279.95</v>
      </c>
      <c r="C16" s="3267">
        <f>ROUND(F9/F10,4)</f>
        <v>1.0698000000000001</v>
      </c>
      <c r="D16" s="3246"/>
      <c r="E16" s="3246"/>
      <c r="F16" s="3246"/>
      <c r="G16" s="3246"/>
    </row>
  </sheetData>
  <mergeCells count="1">
    <mergeCell ref="A8:B8"/>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S31"/>
  <sheetViews>
    <sheetView topLeftCell="AD1" zoomScale="55" zoomScaleNormal="55" workbookViewId="0">
      <selection activeCell="AI52" sqref="AI52"/>
    </sheetView>
  </sheetViews>
  <sheetFormatPr defaultRowHeight="12"/>
  <cols>
    <col min="1" max="1" width="30.77734375" style="3214" customWidth="1"/>
    <col min="2" max="2" width="7.109375" style="3214" customWidth="1"/>
    <col min="3" max="3" width="9" style="3214" customWidth="1"/>
    <col min="4" max="4" width="7.109375" style="3214" customWidth="1"/>
    <col min="5" max="5" width="5.21875" style="3214" customWidth="1"/>
    <col min="6" max="6" width="30.77734375" style="3214" customWidth="1"/>
    <col min="7" max="7" width="9" style="3214" customWidth="1"/>
    <col min="8" max="8" width="10" style="3214" customWidth="1"/>
    <col min="9" max="9" width="20.33203125" style="3214" customWidth="1"/>
    <col min="10" max="11" width="15.88671875" style="3214" customWidth="1"/>
    <col min="12" max="12" width="19" style="3214" customWidth="1"/>
    <col min="13" max="15" width="9" style="3214" customWidth="1"/>
    <col min="16" max="16" width="11" style="3214" hidden="1" customWidth="1"/>
    <col min="17" max="18" width="17.77734375" style="3214" hidden="1" customWidth="1"/>
    <col min="19" max="19" width="14.77734375" style="3214" hidden="1" customWidth="1"/>
    <col min="20" max="21" width="12.88671875" style="3214" hidden="1" customWidth="1"/>
    <col min="22" max="22" width="20.33203125" style="3214" hidden="1" customWidth="1"/>
    <col min="23" max="23" width="9" style="3214" customWidth="1"/>
    <col min="24" max="26" width="10.21875" style="3214" hidden="1" customWidth="1"/>
    <col min="27" max="27" width="10.21875" style="3214" customWidth="1"/>
    <col min="28" max="28" width="22.88671875" style="3214" customWidth="1"/>
    <col min="29" max="29" width="9" style="3214" customWidth="1"/>
    <col min="30" max="30" width="37.33203125" style="3214" customWidth="1"/>
    <col min="31" max="33" width="12.109375" style="3214" customWidth="1"/>
    <col min="34" max="35" width="18.21875" style="3214" customWidth="1"/>
    <col min="36" max="36" width="16.33203125" style="3214" customWidth="1"/>
    <col min="37" max="37" width="16.33203125" style="3217" customWidth="1"/>
    <col min="38" max="39" width="25" style="3214" hidden="1" customWidth="1"/>
    <col min="40" max="40" width="7.109375" style="3214" customWidth="1"/>
    <col min="41" max="41" width="9" style="3214" customWidth="1"/>
    <col min="42" max="42" width="19.21875" style="3214" hidden="1" customWidth="1"/>
    <col min="43" max="44" width="23" style="3214" hidden="1" customWidth="1"/>
    <col min="45" max="45" width="9" style="3214" customWidth="1"/>
    <col min="46" max="256" width="8.88671875" style="3214"/>
    <col min="257" max="257" width="30.77734375" style="3214" customWidth="1"/>
    <col min="258" max="258" width="7.109375" style="3214" customWidth="1"/>
    <col min="259" max="259" width="9" style="3214" customWidth="1"/>
    <col min="260" max="260" width="7.109375" style="3214" customWidth="1"/>
    <col min="261" max="261" width="5.21875" style="3214" customWidth="1"/>
    <col min="262" max="262" width="30.77734375" style="3214" customWidth="1"/>
    <col min="263" max="263" width="9" style="3214" customWidth="1"/>
    <col min="264" max="264" width="48.6640625" style="3214" customWidth="1"/>
    <col min="265" max="265" width="20.33203125" style="3214" customWidth="1"/>
    <col min="266" max="267" width="15.88671875" style="3214" customWidth="1"/>
    <col min="268" max="268" width="22.77734375" style="3214" customWidth="1"/>
    <col min="269" max="271" width="9" style="3214" customWidth="1"/>
    <col min="272" max="272" width="11" style="3214" customWidth="1"/>
    <col min="273" max="274" width="17.77734375" style="3214" customWidth="1"/>
    <col min="275" max="275" width="14.77734375" style="3214" customWidth="1"/>
    <col min="276" max="277" width="12.88671875" style="3214" customWidth="1"/>
    <col min="278" max="278" width="20.33203125" style="3214" customWidth="1"/>
    <col min="279" max="279" width="9" style="3214" customWidth="1"/>
    <col min="280" max="283" width="10.21875" style="3214" customWidth="1"/>
    <col min="284" max="284" width="22.88671875" style="3214" customWidth="1"/>
    <col min="285" max="285" width="9" style="3214" customWidth="1"/>
    <col min="286" max="286" width="37.33203125" style="3214" customWidth="1"/>
    <col min="287" max="289" width="12.109375" style="3214" customWidth="1"/>
    <col min="290" max="291" width="18.21875" style="3214" customWidth="1"/>
    <col min="292" max="293" width="16.33203125" style="3214" customWidth="1"/>
    <col min="294" max="295" width="25" style="3214" customWidth="1"/>
    <col min="296" max="296" width="7.109375" style="3214" customWidth="1"/>
    <col min="297" max="297" width="9" style="3214" customWidth="1"/>
    <col min="298" max="298" width="19.21875" style="3214" customWidth="1"/>
    <col min="299" max="300" width="23" style="3214" customWidth="1"/>
    <col min="301" max="301" width="9" style="3214" customWidth="1"/>
    <col min="302" max="512" width="8.88671875" style="3214"/>
    <col min="513" max="513" width="30.77734375" style="3214" customWidth="1"/>
    <col min="514" max="514" width="7.109375" style="3214" customWidth="1"/>
    <col min="515" max="515" width="9" style="3214" customWidth="1"/>
    <col min="516" max="516" width="7.109375" style="3214" customWidth="1"/>
    <col min="517" max="517" width="5.21875" style="3214" customWidth="1"/>
    <col min="518" max="518" width="30.77734375" style="3214" customWidth="1"/>
    <col min="519" max="519" width="9" style="3214" customWidth="1"/>
    <col min="520" max="520" width="48.6640625" style="3214" customWidth="1"/>
    <col min="521" max="521" width="20.33203125" style="3214" customWidth="1"/>
    <col min="522" max="523" width="15.88671875" style="3214" customWidth="1"/>
    <col min="524" max="524" width="22.77734375" style="3214" customWidth="1"/>
    <col min="525" max="527" width="9" style="3214" customWidth="1"/>
    <col min="528" max="528" width="11" style="3214" customWidth="1"/>
    <col min="529" max="530" width="17.77734375" style="3214" customWidth="1"/>
    <col min="531" max="531" width="14.77734375" style="3214" customWidth="1"/>
    <col min="532" max="533" width="12.88671875" style="3214" customWidth="1"/>
    <col min="534" max="534" width="20.33203125" style="3214" customWidth="1"/>
    <col min="535" max="535" width="9" style="3214" customWidth="1"/>
    <col min="536" max="539" width="10.21875" style="3214" customWidth="1"/>
    <col min="540" max="540" width="22.88671875" style="3214" customWidth="1"/>
    <col min="541" max="541" width="9" style="3214" customWidth="1"/>
    <col min="542" max="542" width="37.33203125" style="3214" customWidth="1"/>
    <col min="543" max="545" width="12.109375" style="3214" customWidth="1"/>
    <col min="546" max="547" width="18.21875" style="3214" customWidth="1"/>
    <col min="548" max="549" width="16.33203125" style="3214" customWidth="1"/>
    <col min="550" max="551" width="25" style="3214" customWidth="1"/>
    <col min="552" max="552" width="7.109375" style="3214" customWidth="1"/>
    <col min="553" max="553" width="9" style="3214" customWidth="1"/>
    <col min="554" max="554" width="19.21875" style="3214" customWidth="1"/>
    <col min="555" max="556" width="23" style="3214" customWidth="1"/>
    <col min="557" max="557" width="9" style="3214" customWidth="1"/>
    <col min="558" max="768" width="8.88671875" style="3214"/>
    <col min="769" max="769" width="30.77734375" style="3214" customWidth="1"/>
    <col min="770" max="770" width="7.109375" style="3214" customWidth="1"/>
    <col min="771" max="771" width="9" style="3214" customWidth="1"/>
    <col min="772" max="772" width="7.109375" style="3214" customWidth="1"/>
    <col min="773" max="773" width="5.21875" style="3214" customWidth="1"/>
    <col min="774" max="774" width="30.77734375" style="3214" customWidth="1"/>
    <col min="775" max="775" width="9" style="3214" customWidth="1"/>
    <col min="776" max="776" width="48.6640625" style="3214" customWidth="1"/>
    <col min="777" max="777" width="20.33203125" style="3214" customWidth="1"/>
    <col min="778" max="779" width="15.88671875" style="3214" customWidth="1"/>
    <col min="780" max="780" width="22.77734375" style="3214" customWidth="1"/>
    <col min="781" max="783" width="9" style="3214" customWidth="1"/>
    <col min="784" max="784" width="11" style="3214" customWidth="1"/>
    <col min="785" max="786" width="17.77734375" style="3214" customWidth="1"/>
    <col min="787" max="787" width="14.77734375" style="3214" customWidth="1"/>
    <col min="788" max="789" width="12.88671875" style="3214" customWidth="1"/>
    <col min="790" max="790" width="20.33203125" style="3214" customWidth="1"/>
    <col min="791" max="791" width="9" style="3214" customWidth="1"/>
    <col min="792" max="795" width="10.21875" style="3214" customWidth="1"/>
    <col min="796" max="796" width="22.88671875" style="3214" customWidth="1"/>
    <col min="797" max="797" width="9" style="3214" customWidth="1"/>
    <col min="798" max="798" width="37.33203125" style="3214" customWidth="1"/>
    <col min="799" max="801" width="12.109375" style="3214" customWidth="1"/>
    <col min="802" max="803" width="18.21875" style="3214" customWidth="1"/>
    <col min="804" max="805" width="16.33203125" style="3214" customWidth="1"/>
    <col min="806" max="807" width="25" style="3214" customWidth="1"/>
    <col min="808" max="808" width="7.109375" style="3214" customWidth="1"/>
    <col min="809" max="809" width="9" style="3214" customWidth="1"/>
    <col min="810" max="810" width="19.21875" style="3214" customWidth="1"/>
    <col min="811" max="812" width="23" style="3214" customWidth="1"/>
    <col min="813" max="813" width="9" style="3214" customWidth="1"/>
    <col min="814" max="1024" width="8.88671875" style="3214"/>
    <col min="1025" max="1025" width="30.77734375" style="3214" customWidth="1"/>
    <col min="1026" max="1026" width="7.109375" style="3214" customWidth="1"/>
    <col min="1027" max="1027" width="9" style="3214" customWidth="1"/>
    <col min="1028" max="1028" width="7.109375" style="3214" customWidth="1"/>
    <col min="1029" max="1029" width="5.21875" style="3214" customWidth="1"/>
    <col min="1030" max="1030" width="30.77734375" style="3214" customWidth="1"/>
    <col min="1031" max="1031" width="9" style="3214" customWidth="1"/>
    <col min="1032" max="1032" width="48.6640625" style="3214" customWidth="1"/>
    <col min="1033" max="1033" width="20.33203125" style="3214" customWidth="1"/>
    <col min="1034" max="1035" width="15.88671875" style="3214" customWidth="1"/>
    <col min="1036" max="1036" width="22.77734375" style="3214" customWidth="1"/>
    <col min="1037" max="1039" width="9" style="3214" customWidth="1"/>
    <col min="1040" max="1040" width="11" style="3214" customWidth="1"/>
    <col min="1041" max="1042" width="17.77734375" style="3214" customWidth="1"/>
    <col min="1043" max="1043" width="14.77734375" style="3214" customWidth="1"/>
    <col min="1044" max="1045" width="12.88671875" style="3214" customWidth="1"/>
    <col min="1046" max="1046" width="20.33203125" style="3214" customWidth="1"/>
    <col min="1047" max="1047" width="9" style="3214" customWidth="1"/>
    <col min="1048" max="1051" width="10.21875" style="3214" customWidth="1"/>
    <col min="1052" max="1052" width="22.88671875" style="3214" customWidth="1"/>
    <col min="1053" max="1053" width="9" style="3214" customWidth="1"/>
    <col min="1054" max="1054" width="37.33203125" style="3214" customWidth="1"/>
    <col min="1055" max="1057" width="12.109375" style="3214" customWidth="1"/>
    <col min="1058" max="1059" width="18.21875" style="3214" customWidth="1"/>
    <col min="1060" max="1061" width="16.33203125" style="3214" customWidth="1"/>
    <col min="1062" max="1063" width="25" style="3214" customWidth="1"/>
    <col min="1064" max="1064" width="7.109375" style="3214" customWidth="1"/>
    <col min="1065" max="1065" width="9" style="3214" customWidth="1"/>
    <col min="1066" max="1066" width="19.21875" style="3214" customWidth="1"/>
    <col min="1067" max="1068" width="23" style="3214" customWidth="1"/>
    <col min="1069" max="1069" width="9" style="3214" customWidth="1"/>
    <col min="1070" max="1280" width="8.88671875" style="3214"/>
    <col min="1281" max="1281" width="30.77734375" style="3214" customWidth="1"/>
    <col min="1282" max="1282" width="7.109375" style="3214" customWidth="1"/>
    <col min="1283" max="1283" width="9" style="3214" customWidth="1"/>
    <col min="1284" max="1284" width="7.109375" style="3214" customWidth="1"/>
    <col min="1285" max="1285" width="5.21875" style="3214" customWidth="1"/>
    <col min="1286" max="1286" width="30.77734375" style="3214" customWidth="1"/>
    <col min="1287" max="1287" width="9" style="3214" customWidth="1"/>
    <col min="1288" max="1288" width="48.6640625" style="3214" customWidth="1"/>
    <col min="1289" max="1289" width="20.33203125" style="3214" customWidth="1"/>
    <col min="1290" max="1291" width="15.88671875" style="3214" customWidth="1"/>
    <col min="1292" max="1292" width="22.77734375" style="3214" customWidth="1"/>
    <col min="1293" max="1295" width="9" style="3214" customWidth="1"/>
    <col min="1296" max="1296" width="11" style="3214" customWidth="1"/>
    <col min="1297" max="1298" width="17.77734375" style="3214" customWidth="1"/>
    <col min="1299" max="1299" width="14.77734375" style="3214" customWidth="1"/>
    <col min="1300" max="1301" width="12.88671875" style="3214" customWidth="1"/>
    <col min="1302" max="1302" width="20.33203125" style="3214" customWidth="1"/>
    <col min="1303" max="1303" width="9" style="3214" customWidth="1"/>
    <col min="1304" max="1307" width="10.21875" style="3214" customWidth="1"/>
    <col min="1308" max="1308" width="22.88671875" style="3214" customWidth="1"/>
    <col min="1309" max="1309" width="9" style="3214" customWidth="1"/>
    <col min="1310" max="1310" width="37.33203125" style="3214" customWidth="1"/>
    <col min="1311" max="1313" width="12.109375" style="3214" customWidth="1"/>
    <col min="1314" max="1315" width="18.21875" style="3214" customWidth="1"/>
    <col min="1316" max="1317" width="16.33203125" style="3214" customWidth="1"/>
    <col min="1318" max="1319" width="25" style="3214" customWidth="1"/>
    <col min="1320" max="1320" width="7.109375" style="3214" customWidth="1"/>
    <col min="1321" max="1321" width="9" style="3214" customWidth="1"/>
    <col min="1322" max="1322" width="19.21875" style="3214" customWidth="1"/>
    <col min="1323" max="1324" width="23" style="3214" customWidth="1"/>
    <col min="1325" max="1325" width="9" style="3214" customWidth="1"/>
    <col min="1326" max="1536" width="8.88671875" style="3214"/>
    <col min="1537" max="1537" width="30.77734375" style="3214" customWidth="1"/>
    <col min="1538" max="1538" width="7.109375" style="3214" customWidth="1"/>
    <col min="1539" max="1539" width="9" style="3214" customWidth="1"/>
    <col min="1540" max="1540" width="7.109375" style="3214" customWidth="1"/>
    <col min="1541" max="1541" width="5.21875" style="3214" customWidth="1"/>
    <col min="1542" max="1542" width="30.77734375" style="3214" customWidth="1"/>
    <col min="1543" max="1543" width="9" style="3214" customWidth="1"/>
    <col min="1544" max="1544" width="48.6640625" style="3214" customWidth="1"/>
    <col min="1545" max="1545" width="20.33203125" style="3214" customWidth="1"/>
    <col min="1546" max="1547" width="15.88671875" style="3214" customWidth="1"/>
    <col min="1548" max="1548" width="22.77734375" style="3214" customWidth="1"/>
    <col min="1549" max="1551" width="9" style="3214" customWidth="1"/>
    <col min="1552" max="1552" width="11" style="3214" customWidth="1"/>
    <col min="1553" max="1554" width="17.77734375" style="3214" customWidth="1"/>
    <col min="1555" max="1555" width="14.77734375" style="3214" customWidth="1"/>
    <col min="1556" max="1557" width="12.88671875" style="3214" customWidth="1"/>
    <col min="1558" max="1558" width="20.33203125" style="3214" customWidth="1"/>
    <col min="1559" max="1559" width="9" style="3214" customWidth="1"/>
    <col min="1560" max="1563" width="10.21875" style="3214" customWidth="1"/>
    <col min="1564" max="1564" width="22.88671875" style="3214" customWidth="1"/>
    <col min="1565" max="1565" width="9" style="3214" customWidth="1"/>
    <col min="1566" max="1566" width="37.33203125" style="3214" customWidth="1"/>
    <col min="1567" max="1569" width="12.109375" style="3214" customWidth="1"/>
    <col min="1570" max="1571" width="18.21875" style="3214" customWidth="1"/>
    <col min="1572" max="1573" width="16.33203125" style="3214" customWidth="1"/>
    <col min="1574" max="1575" width="25" style="3214" customWidth="1"/>
    <col min="1576" max="1576" width="7.109375" style="3214" customWidth="1"/>
    <col min="1577" max="1577" width="9" style="3214" customWidth="1"/>
    <col min="1578" max="1578" width="19.21875" style="3214" customWidth="1"/>
    <col min="1579" max="1580" width="23" style="3214" customWidth="1"/>
    <col min="1581" max="1581" width="9" style="3214" customWidth="1"/>
    <col min="1582" max="1792" width="8.88671875" style="3214"/>
    <col min="1793" max="1793" width="30.77734375" style="3214" customWidth="1"/>
    <col min="1794" max="1794" width="7.109375" style="3214" customWidth="1"/>
    <col min="1795" max="1795" width="9" style="3214" customWidth="1"/>
    <col min="1796" max="1796" width="7.109375" style="3214" customWidth="1"/>
    <col min="1797" max="1797" width="5.21875" style="3214" customWidth="1"/>
    <col min="1798" max="1798" width="30.77734375" style="3214" customWidth="1"/>
    <col min="1799" max="1799" width="9" style="3214" customWidth="1"/>
    <col min="1800" max="1800" width="48.6640625" style="3214" customWidth="1"/>
    <col min="1801" max="1801" width="20.33203125" style="3214" customWidth="1"/>
    <col min="1802" max="1803" width="15.88671875" style="3214" customWidth="1"/>
    <col min="1804" max="1804" width="22.77734375" style="3214" customWidth="1"/>
    <col min="1805" max="1807" width="9" style="3214" customWidth="1"/>
    <col min="1808" max="1808" width="11" style="3214" customWidth="1"/>
    <col min="1809" max="1810" width="17.77734375" style="3214" customWidth="1"/>
    <col min="1811" max="1811" width="14.77734375" style="3214" customWidth="1"/>
    <col min="1812" max="1813" width="12.88671875" style="3214" customWidth="1"/>
    <col min="1814" max="1814" width="20.33203125" style="3214" customWidth="1"/>
    <col min="1815" max="1815" width="9" style="3214" customWidth="1"/>
    <col min="1816" max="1819" width="10.21875" style="3214" customWidth="1"/>
    <col min="1820" max="1820" width="22.88671875" style="3214" customWidth="1"/>
    <col min="1821" max="1821" width="9" style="3214" customWidth="1"/>
    <col min="1822" max="1822" width="37.33203125" style="3214" customWidth="1"/>
    <col min="1823" max="1825" width="12.109375" style="3214" customWidth="1"/>
    <col min="1826" max="1827" width="18.21875" style="3214" customWidth="1"/>
    <col min="1828" max="1829" width="16.33203125" style="3214" customWidth="1"/>
    <col min="1830" max="1831" width="25" style="3214" customWidth="1"/>
    <col min="1832" max="1832" width="7.109375" style="3214" customWidth="1"/>
    <col min="1833" max="1833" width="9" style="3214" customWidth="1"/>
    <col min="1834" max="1834" width="19.21875" style="3214" customWidth="1"/>
    <col min="1835" max="1836" width="23" style="3214" customWidth="1"/>
    <col min="1837" max="1837" width="9" style="3214" customWidth="1"/>
    <col min="1838" max="2048" width="8.88671875" style="3214"/>
    <col min="2049" max="2049" width="30.77734375" style="3214" customWidth="1"/>
    <col min="2050" max="2050" width="7.109375" style="3214" customWidth="1"/>
    <col min="2051" max="2051" width="9" style="3214" customWidth="1"/>
    <col min="2052" max="2052" width="7.109375" style="3214" customWidth="1"/>
    <col min="2053" max="2053" width="5.21875" style="3214" customWidth="1"/>
    <col min="2054" max="2054" width="30.77734375" style="3214" customWidth="1"/>
    <col min="2055" max="2055" width="9" style="3214" customWidth="1"/>
    <col min="2056" max="2056" width="48.6640625" style="3214" customWidth="1"/>
    <col min="2057" max="2057" width="20.33203125" style="3214" customWidth="1"/>
    <col min="2058" max="2059" width="15.88671875" style="3214" customWidth="1"/>
    <col min="2060" max="2060" width="22.77734375" style="3214" customWidth="1"/>
    <col min="2061" max="2063" width="9" style="3214" customWidth="1"/>
    <col min="2064" max="2064" width="11" style="3214" customWidth="1"/>
    <col min="2065" max="2066" width="17.77734375" style="3214" customWidth="1"/>
    <col min="2067" max="2067" width="14.77734375" style="3214" customWidth="1"/>
    <col min="2068" max="2069" width="12.88671875" style="3214" customWidth="1"/>
    <col min="2070" max="2070" width="20.33203125" style="3214" customWidth="1"/>
    <col min="2071" max="2071" width="9" style="3214" customWidth="1"/>
    <col min="2072" max="2075" width="10.21875" style="3214" customWidth="1"/>
    <col min="2076" max="2076" width="22.88671875" style="3214" customWidth="1"/>
    <col min="2077" max="2077" width="9" style="3214" customWidth="1"/>
    <col min="2078" max="2078" width="37.33203125" style="3214" customWidth="1"/>
    <col min="2079" max="2081" width="12.109375" style="3214" customWidth="1"/>
    <col min="2082" max="2083" width="18.21875" style="3214" customWidth="1"/>
    <col min="2084" max="2085" width="16.33203125" style="3214" customWidth="1"/>
    <col min="2086" max="2087" width="25" style="3214" customWidth="1"/>
    <col min="2088" max="2088" width="7.109375" style="3214" customWidth="1"/>
    <col min="2089" max="2089" width="9" style="3214" customWidth="1"/>
    <col min="2090" max="2090" width="19.21875" style="3214" customWidth="1"/>
    <col min="2091" max="2092" width="23" style="3214" customWidth="1"/>
    <col min="2093" max="2093" width="9" style="3214" customWidth="1"/>
    <col min="2094" max="2304" width="8.88671875" style="3214"/>
    <col min="2305" max="2305" width="30.77734375" style="3214" customWidth="1"/>
    <col min="2306" max="2306" width="7.109375" style="3214" customWidth="1"/>
    <col min="2307" max="2307" width="9" style="3214" customWidth="1"/>
    <col min="2308" max="2308" width="7.109375" style="3214" customWidth="1"/>
    <col min="2309" max="2309" width="5.21875" style="3214" customWidth="1"/>
    <col min="2310" max="2310" width="30.77734375" style="3214" customWidth="1"/>
    <col min="2311" max="2311" width="9" style="3214" customWidth="1"/>
    <col min="2312" max="2312" width="48.6640625" style="3214" customWidth="1"/>
    <col min="2313" max="2313" width="20.33203125" style="3214" customWidth="1"/>
    <col min="2314" max="2315" width="15.88671875" style="3214" customWidth="1"/>
    <col min="2316" max="2316" width="22.77734375" style="3214" customWidth="1"/>
    <col min="2317" max="2319" width="9" style="3214" customWidth="1"/>
    <col min="2320" max="2320" width="11" style="3214" customWidth="1"/>
    <col min="2321" max="2322" width="17.77734375" style="3214" customWidth="1"/>
    <col min="2323" max="2323" width="14.77734375" style="3214" customWidth="1"/>
    <col min="2324" max="2325" width="12.88671875" style="3214" customWidth="1"/>
    <col min="2326" max="2326" width="20.33203125" style="3214" customWidth="1"/>
    <col min="2327" max="2327" width="9" style="3214" customWidth="1"/>
    <col min="2328" max="2331" width="10.21875" style="3214" customWidth="1"/>
    <col min="2332" max="2332" width="22.88671875" style="3214" customWidth="1"/>
    <col min="2333" max="2333" width="9" style="3214" customWidth="1"/>
    <col min="2334" max="2334" width="37.33203125" style="3214" customWidth="1"/>
    <col min="2335" max="2337" width="12.109375" style="3214" customWidth="1"/>
    <col min="2338" max="2339" width="18.21875" style="3214" customWidth="1"/>
    <col min="2340" max="2341" width="16.33203125" style="3214" customWidth="1"/>
    <col min="2342" max="2343" width="25" style="3214" customWidth="1"/>
    <col min="2344" max="2344" width="7.109375" style="3214" customWidth="1"/>
    <col min="2345" max="2345" width="9" style="3214" customWidth="1"/>
    <col min="2346" max="2346" width="19.21875" style="3214" customWidth="1"/>
    <col min="2347" max="2348" width="23" style="3214" customWidth="1"/>
    <col min="2349" max="2349" width="9" style="3214" customWidth="1"/>
    <col min="2350" max="2560" width="8.88671875" style="3214"/>
    <col min="2561" max="2561" width="30.77734375" style="3214" customWidth="1"/>
    <col min="2562" max="2562" width="7.109375" style="3214" customWidth="1"/>
    <col min="2563" max="2563" width="9" style="3214" customWidth="1"/>
    <col min="2564" max="2564" width="7.109375" style="3214" customWidth="1"/>
    <col min="2565" max="2565" width="5.21875" style="3214" customWidth="1"/>
    <col min="2566" max="2566" width="30.77734375" style="3214" customWidth="1"/>
    <col min="2567" max="2567" width="9" style="3214" customWidth="1"/>
    <col min="2568" max="2568" width="48.6640625" style="3214" customWidth="1"/>
    <col min="2569" max="2569" width="20.33203125" style="3214" customWidth="1"/>
    <col min="2570" max="2571" width="15.88671875" style="3214" customWidth="1"/>
    <col min="2572" max="2572" width="22.77734375" style="3214" customWidth="1"/>
    <col min="2573" max="2575" width="9" style="3214" customWidth="1"/>
    <col min="2576" max="2576" width="11" style="3214" customWidth="1"/>
    <col min="2577" max="2578" width="17.77734375" style="3214" customWidth="1"/>
    <col min="2579" max="2579" width="14.77734375" style="3214" customWidth="1"/>
    <col min="2580" max="2581" width="12.88671875" style="3214" customWidth="1"/>
    <col min="2582" max="2582" width="20.33203125" style="3214" customWidth="1"/>
    <col min="2583" max="2583" width="9" style="3214" customWidth="1"/>
    <col min="2584" max="2587" width="10.21875" style="3214" customWidth="1"/>
    <col min="2588" max="2588" width="22.88671875" style="3214" customWidth="1"/>
    <col min="2589" max="2589" width="9" style="3214" customWidth="1"/>
    <col min="2590" max="2590" width="37.33203125" style="3214" customWidth="1"/>
    <col min="2591" max="2593" width="12.109375" style="3214" customWidth="1"/>
    <col min="2594" max="2595" width="18.21875" style="3214" customWidth="1"/>
    <col min="2596" max="2597" width="16.33203125" style="3214" customWidth="1"/>
    <col min="2598" max="2599" width="25" style="3214" customWidth="1"/>
    <col min="2600" max="2600" width="7.109375" style="3214" customWidth="1"/>
    <col min="2601" max="2601" width="9" style="3214" customWidth="1"/>
    <col min="2602" max="2602" width="19.21875" style="3214" customWidth="1"/>
    <col min="2603" max="2604" width="23" style="3214" customWidth="1"/>
    <col min="2605" max="2605" width="9" style="3214" customWidth="1"/>
    <col min="2606" max="2816" width="8.88671875" style="3214"/>
    <col min="2817" max="2817" width="30.77734375" style="3214" customWidth="1"/>
    <col min="2818" max="2818" width="7.109375" style="3214" customWidth="1"/>
    <col min="2819" max="2819" width="9" style="3214" customWidth="1"/>
    <col min="2820" max="2820" width="7.109375" style="3214" customWidth="1"/>
    <col min="2821" max="2821" width="5.21875" style="3214" customWidth="1"/>
    <col min="2822" max="2822" width="30.77734375" style="3214" customWidth="1"/>
    <col min="2823" max="2823" width="9" style="3214" customWidth="1"/>
    <col min="2824" max="2824" width="48.6640625" style="3214" customWidth="1"/>
    <col min="2825" max="2825" width="20.33203125" style="3214" customWidth="1"/>
    <col min="2826" max="2827" width="15.88671875" style="3214" customWidth="1"/>
    <col min="2828" max="2828" width="22.77734375" style="3214" customWidth="1"/>
    <col min="2829" max="2831" width="9" style="3214" customWidth="1"/>
    <col min="2832" max="2832" width="11" style="3214" customWidth="1"/>
    <col min="2833" max="2834" width="17.77734375" style="3214" customWidth="1"/>
    <col min="2835" max="2835" width="14.77734375" style="3214" customWidth="1"/>
    <col min="2836" max="2837" width="12.88671875" style="3214" customWidth="1"/>
    <col min="2838" max="2838" width="20.33203125" style="3214" customWidth="1"/>
    <col min="2839" max="2839" width="9" style="3214" customWidth="1"/>
    <col min="2840" max="2843" width="10.21875" style="3214" customWidth="1"/>
    <col min="2844" max="2844" width="22.88671875" style="3214" customWidth="1"/>
    <col min="2845" max="2845" width="9" style="3214" customWidth="1"/>
    <col min="2846" max="2846" width="37.33203125" style="3214" customWidth="1"/>
    <col min="2847" max="2849" width="12.109375" style="3214" customWidth="1"/>
    <col min="2850" max="2851" width="18.21875" style="3214" customWidth="1"/>
    <col min="2852" max="2853" width="16.33203125" style="3214" customWidth="1"/>
    <col min="2854" max="2855" width="25" style="3214" customWidth="1"/>
    <col min="2856" max="2856" width="7.109375" style="3214" customWidth="1"/>
    <col min="2857" max="2857" width="9" style="3214" customWidth="1"/>
    <col min="2858" max="2858" width="19.21875" style="3214" customWidth="1"/>
    <col min="2859" max="2860" width="23" style="3214" customWidth="1"/>
    <col min="2861" max="2861" width="9" style="3214" customWidth="1"/>
    <col min="2862" max="3072" width="8.88671875" style="3214"/>
    <col min="3073" max="3073" width="30.77734375" style="3214" customWidth="1"/>
    <col min="3074" max="3074" width="7.109375" style="3214" customWidth="1"/>
    <col min="3075" max="3075" width="9" style="3214" customWidth="1"/>
    <col min="3076" max="3076" width="7.109375" style="3214" customWidth="1"/>
    <col min="3077" max="3077" width="5.21875" style="3214" customWidth="1"/>
    <col min="3078" max="3078" width="30.77734375" style="3214" customWidth="1"/>
    <col min="3079" max="3079" width="9" style="3214" customWidth="1"/>
    <col min="3080" max="3080" width="48.6640625" style="3214" customWidth="1"/>
    <col min="3081" max="3081" width="20.33203125" style="3214" customWidth="1"/>
    <col min="3082" max="3083" width="15.88671875" style="3214" customWidth="1"/>
    <col min="3084" max="3084" width="22.77734375" style="3214" customWidth="1"/>
    <col min="3085" max="3087" width="9" style="3214" customWidth="1"/>
    <col min="3088" max="3088" width="11" style="3214" customWidth="1"/>
    <col min="3089" max="3090" width="17.77734375" style="3214" customWidth="1"/>
    <col min="3091" max="3091" width="14.77734375" style="3214" customWidth="1"/>
    <col min="3092" max="3093" width="12.88671875" style="3214" customWidth="1"/>
    <col min="3094" max="3094" width="20.33203125" style="3214" customWidth="1"/>
    <col min="3095" max="3095" width="9" style="3214" customWidth="1"/>
    <col min="3096" max="3099" width="10.21875" style="3214" customWidth="1"/>
    <col min="3100" max="3100" width="22.88671875" style="3214" customWidth="1"/>
    <col min="3101" max="3101" width="9" style="3214" customWidth="1"/>
    <col min="3102" max="3102" width="37.33203125" style="3214" customWidth="1"/>
    <col min="3103" max="3105" width="12.109375" style="3214" customWidth="1"/>
    <col min="3106" max="3107" width="18.21875" style="3214" customWidth="1"/>
    <col min="3108" max="3109" width="16.33203125" style="3214" customWidth="1"/>
    <col min="3110" max="3111" width="25" style="3214" customWidth="1"/>
    <col min="3112" max="3112" width="7.109375" style="3214" customWidth="1"/>
    <col min="3113" max="3113" width="9" style="3214" customWidth="1"/>
    <col min="3114" max="3114" width="19.21875" style="3214" customWidth="1"/>
    <col min="3115" max="3116" width="23" style="3214" customWidth="1"/>
    <col min="3117" max="3117" width="9" style="3214" customWidth="1"/>
    <col min="3118" max="3328" width="8.88671875" style="3214"/>
    <col min="3329" max="3329" width="30.77734375" style="3214" customWidth="1"/>
    <col min="3330" max="3330" width="7.109375" style="3214" customWidth="1"/>
    <col min="3331" max="3331" width="9" style="3214" customWidth="1"/>
    <col min="3332" max="3332" width="7.109375" style="3214" customWidth="1"/>
    <col min="3333" max="3333" width="5.21875" style="3214" customWidth="1"/>
    <col min="3334" max="3334" width="30.77734375" style="3214" customWidth="1"/>
    <col min="3335" max="3335" width="9" style="3214" customWidth="1"/>
    <col min="3336" max="3336" width="48.6640625" style="3214" customWidth="1"/>
    <col min="3337" max="3337" width="20.33203125" style="3214" customWidth="1"/>
    <col min="3338" max="3339" width="15.88671875" style="3214" customWidth="1"/>
    <col min="3340" max="3340" width="22.77734375" style="3214" customWidth="1"/>
    <col min="3341" max="3343" width="9" style="3214" customWidth="1"/>
    <col min="3344" max="3344" width="11" style="3214" customWidth="1"/>
    <col min="3345" max="3346" width="17.77734375" style="3214" customWidth="1"/>
    <col min="3347" max="3347" width="14.77734375" style="3214" customWidth="1"/>
    <col min="3348" max="3349" width="12.88671875" style="3214" customWidth="1"/>
    <col min="3350" max="3350" width="20.33203125" style="3214" customWidth="1"/>
    <col min="3351" max="3351" width="9" style="3214" customWidth="1"/>
    <col min="3352" max="3355" width="10.21875" style="3214" customWidth="1"/>
    <col min="3356" max="3356" width="22.88671875" style="3214" customWidth="1"/>
    <col min="3357" max="3357" width="9" style="3214" customWidth="1"/>
    <col min="3358" max="3358" width="37.33203125" style="3214" customWidth="1"/>
    <col min="3359" max="3361" width="12.109375" style="3214" customWidth="1"/>
    <col min="3362" max="3363" width="18.21875" style="3214" customWidth="1"/>
    <col min="3364" max="3365" width="16.33203125" style="3214" customWidth="1"/>
    <col min="3366" max="3367" width="25" style="3214" customWidth="1"/>
    <col min="3368" max="3368" width="7.109375" style="3214" customWidth="1"/>
    <col min="3369" max="3369" width="9" style="3214" customWidth="1"/>
    <col min="3370" max="3370" width="19.21875" style="3214" customWidth="1"/>
    <col min="3371" max="3372" width="23" style="3214" customWidth="1"/>
    <col min="3373" max="3373" width="9" style="3214" customWidth="1"/>
    <col min="3374" max="3584" width="8.88671875" style="3214"/>
    <col min="3585" max="3585" width="30.77734375" style="3214" customWidth="1"/>
    <col min="3586" max="3586" width="7.109375" style="3214" customWidth="1"/>
    <col min="3587" max="3587" width="9" style="3214" customWidth="1"/>
    <col min="3588" max="3588" width="7.109375" style="3214" customWidth="1"/>
    <col min="3589" max="3589" width="5.21875" style="3214" customWidth="1"/>
    <col min="3590" max="3590" width="30.77734375" style="3214" customWidth="1"/>
    <col min="3591" max="3591" width="9" style="3214" customWidth="1"/>
    <col min="3592" max="3592" width="48.6640625" style="3214" customWidth="1"/>
    <col min="3593" max="3593" width="20.33203125" style="3214" customWidth="1"/>
    <col min="3594" max="3595" width="15.88671875" style="3214" customWidth="1"/>
    <col min="3596" max="3596" width="22.77734375" style="3214" customWidth="1"/>
    <col min="3597" max="3599" width="9" style="3214" customWidth="1"/>
    <col min="3600" max="3600" width="11" style="3214" customWidth="1"/>
    <col min="3601" max="3602" width="17.77734375" style="3214" customWidth="1"/>
    <col min="3603" max="3603" width="14.77734375" style="3214" customWidth="1"/>
    <col min="3604" max="3605" width="12.88671875" style="3214" customWidth="1"/>
    <col min="3606" max="3606" width="20.33203125" style="3214" customWidth="1"/>
    <col min="3607" max="3607" width="9" style="3214" customWidth="1"/>
    <col min="3608" max="3611" width="10.21875" style="3214" customWidth="1"/>
    <col min="3612" max="3612" width="22.88671875" style="3214" customWidth="1"/>
    <col min="3613" max="3613" width="9" style="3214" customWidth="1"/>
    <col min="3614" max="3614" width="37.33203125" style="3214" customWidth="1"/>
    <col min="3615" max="3617" width="12.109375" style="3214" customWidth="1"/>
    <col min="3618" max="3619" width="18.21875" style="3214" customWidth="1"/>
    <col min="3620" max="3621" width="16.33203125" style="3214" customWidth="1"/>
    <col min="3622" max="3623" width="25" style="3214" customWidth="1"/>
    <col min="3624" max="3624" width="7.109375" style="3214" customWidth="1"/>
    <col min="3625" max="3625" width="9" style="3214" customWidth="1"/>
    <col min="3626" max="3626" width="19.21875" style="3214" customWidth="1"/>
    <col min="3627" max="3628" width="23" style="3214" customWidth="1"/>
    <col min="3629" max="3629" width="9" style="3214" customWidth="1"/>
    <col min="3630" max="3840" width="8.88671875" style="3214"/>
    <col min="3841" max="3841" width="30.77734375" style="3214" customWidth="1"/>
    <col min="3842" max="3842" width="7.109375" style="3214" customWidth="1"/>
    <col min="3843" max="3843" width="9" style="3214" customWidth="1"/>
    <col min="3844" max="3844" width="7.109375" style="3214" customWidth="1"/>
    <col min="3845" max="3845" width="5.21875" style="3214" customWidth="1"/>
    <col min="3846" max="3846" width="30.77734375" style="3214" customWidth="1"/>
    <col min="3847" max="3847" width="9" style="3214" customWidth="1"/>
    <col min="3848" max="3848" width="48.6640625" style="3214" customWidth="1"/>
    <col min="3849" max="3849" width="20.33203125" style="3214" customWidth="1"/>
    <col min="3850" max="3851" width="15.88671875" style="3214" customWidth="1"/>
    <col min="3852" max="3852" width="22.77734375" style="3214" customWidth="1"/>
    <col min="3853" max="3855" width="9" style="3214" customWidth="1"/>
    <col min="3856" max="3856" width="11" style="3214" customWidth="1"/>
    <col min="3857" max="3858" width="17.77734375" style="3214" customWidth="1"/>
    <col min="3859" max="3859" width="14.77734375" style="3214" customWidth="1"/>
    <col min="3860" max="3861" width="12.88671875" style="3214" customWidth="1"/>
    <col min="3862" max="3862" width="20.33203125" style="3214" customWidth="1"/>
    <col min="3863" max="3863" width="9" style="3214" customWidth="1"/>
    <col min="3864" max="3867" width="10.21875" style="3214" customWidth="1"/>
    <col min="3868" max="3868" width="22.88671875" style="3214" customWidth="1"/>
    <col min="3869" max="3869" width="9" style="3214" customWidth="1"/>
    <col min="3870" max="3870" width="37.33203125" style="3214" customWidth="1"/>
    <col min="3871" max="3873" width="12.109375" style="3214" customWidth="1"/>
    <col min="3874" max="3875" width="18.21875" style="3214" customWidth="1"/>
    <col min="3876" max="3877" width="16.33203125" style="3214" customWidth="1"/>
    <col min="3878" max="3879" width="25" style="3214" customWidth="1"/>
    <col min="3880" max="3880" width="7.109375" style="3214" customWidth="1"/>
    <col min="3881" max="3881" width="9" style="3214" customWidth="1"/>
    <col min="3882" max="3882" width="19.21875" style="3214" customWidth="1"/>
    <col min="3883" max="3884" width="23" style="3214" customWidth="1"/>
    <col min="3885" max="3885" width="9" style="3214" customWidth="1"/>
    <col min="3886" max="4096" width="8.88671875" style="3214"/>
    <col min="4097" max="4097" width="30.77734375" style="3214" customWidth="1"/>
    <col min="4098" max="4098" width="7.109375" style="3214" customWidth="1"/>
    <col min="4099" max="4099" width="9" style="3214" customWidth="1"/>
    <col min="4100" max="4100" width="7.109375" style="3214" customWidth="1"/>
    <col min="4101" max="4101" width="5.21875" style="3214" customWidth="1"/>
    <col min="4102" max="4102" width="30.77734375" style="3214" customWidth="1"/>
    <col min="4103" max="4103" width="9" style="3214" customWidth="1"/>
    <col min="4104" max="4104" width="48.6640625" style="3214" customWidth="1"/>
    <col min="4105" max="4105" width="20.33203125" style="3214" customWidth="1"/>
    <col min="4106" max="4107" width="15.88671875" style="3214" customWidth="1"/>
    <col min="4108" max="4108" width="22.77734375" style="3214" customWidth="1"/>
    <col min="4109" max="4111" width="9" style="3214" customWidth="1"/>
    <col min="4112" max="4112" width="11" style="3214" customWidth="1"/>
    <col min="4113" max="4114" width="17.77734375" style="3214" customWidth="1"/>
    <col min="4115" max="4115" width="14.77734375" style="3214" customWidth="1"/>
    <col min="4116" max="4117" width="12.88671875" style="3214" customWidth="1"/>
    <col min="4118" max="4118" width="20.33203125" style="3214" customWidth="1"/>
    <col min="4119" max="4119" width="9" style="3214" customWidth="1"/>
    <col min="4120" max="4123" width="10.21875" style="3214" customWidth="1"/>
    <col min="4124" max="4124" width="22.88671875" style="3214" customWidth="1"/>
    <col min="4125" max="4125" width="9" style="3214" customWidth="1"/>
    <col min="4126" max="4126" width="37.33203125" style="3214" customWidth="1"/>
    <col min="4127" max="4129" width="12.109375" style="3214" customWidth="1"/>
    <col min="4130" max="4131" width="18.21875" style="3214" customWidth="1"/>
    <col min="4132" max="4133" width="16.33203125" style="3214" customWidth="1"/>
    <col min="4134" max="4135" width="25" style="3214" customWidth="1"/>
    <col min="4136" max="4136" width="7.109375" style="3214" customWidth="1"/>
    <col min="4137" max="4137" width="9" style="3214" customWidth="1"/>
    <col min="4138" max="4138" width="19.21875" style="3214" customWidth="1"/>
    <col min="4139" max="4140" width="23" style="3214" customWidth="1"/>
    <col min="4141" max="4141" width="9" style="3214" customWidth="1"/>
    <col min="4142" max="4352" width="8.88671875" style="3214"/>
    <col min="4353" max="4353" width="30.77734375" style="3214" customWidth="1"/>
    <col min="4354" max="4354" width="7.109375" style="3214" customWidth="1"/>
    <col min="4355" max="4355" width="9" style="3214" customWidth="1"/>
    <col min="4356" max="4356" width="7.109375" style="3214" customWidth="1"/>
    <col min="4357" max="4357" width="5.21875" style="3214" customWidth="1"/>
    <col min="4358" max="4358" width="30.77734375" style="3214" customWidth="1"/>
    <col min="4359" max="4359" width="9" style="3214" customWidth="1"/>
    <col min="4360" max="4360" width="48.6640625" style="3214" customWidth="1"/>
    <col min="4361" max="4361" width="20.33203125" style="3214" customWidth="1"/>
    <col min="4362" max="4363" width="15.88671875" style="3214" customWidth="1"/>
    <col min="4364" max="4364" width="22.77734375" style="3214" customWidth="1"/>
    <col min="4365" max="4367" width="9" style="3214" customWidth="1"/>
    <col min="4368" max="4368" width="11" style="3214" customWidth="1"/>
    <col min="4369" max="4370" width="17.77734375" style="3214" customWidth="1"/>
    <col min="4371" max="4371" width="14.77734375" style="3214" customWidth="1"/>
    <col min="4372" max="4373" width="12.88671875" style="3214" customWidth="1"/>
    <col min="4374" max="4374" width="20.33203125" style="3214" customWidth="1"/>
    <col min="4375" max="4375" width="9" style="3214" customWidth="1"/>
    <col min="4376" max="4379" width="10.21875" style="3214" customWidth="1"/>
    <col min="4380" max="4380" width="22.88671875" style="3214" customWidth="1"/>
    <col min="4381" max="4381" width="9" style="3214" customWidth="1"/>
    <col min="4382" max="4382" width="37.33203125" style="3214" customWidth="1"/>
    <col min="4383" max="4385" width="12.109375" style="3214" customWidth="1"/>
    <col min="4386" max="4387" width="18.21875" style="3214" customWidth="1"/>
    <col min="4388" max="4389" width="16.33203125" style="3214" customWidth="1"/>
    <col min="4390" max="4391" width="25" style="3214" customWidth="1"/>
    <col min="4392" max="4392" width="7.109375" style="3214" customWidth="1"/>
    <col min="4393" max="4393" width="9" style="3214" customWidth="1"/>
    <col min="4394" max="4394" width="19.21875" style="3214" customWidth="1"/>
    <col min="4395" max="4396" width="23" style="3214" customWidth="1"/>
    <col min="4397" max="4397" width="9" style="3214" customWidth="1"/>
    <col min="4398" max="4608" width="8.88671875" style="3214"/>
    <col min="4609" max="4609" width="30.77734375" style="3214" customWidth="1"/>
    <col min="4610" max="4610" width="7.109375" style="3214" customWidth="1"/>
    <col min="4611" max="4611" width="9" style="3214" customWidth="1"/>
    <col min="4612" max="4612" width="7.109375" style="3214" customWidth="1"/>
    <col min="4613" max="4613" width="5.21875" style="3214" customWidth="1"/>
    <col min="4614" max="4614" width="30.77734375" style="3214" customWidth="1"/>
    <col min="4615" max="4615" width="9" style="3214" customWidth="1"/>
    <col min="4616" max="4616" width="48.6640625" style="3214" customWidth="1"/>
    <col min="4617" max="4617" width="20.33203125" style="3214" customWidth="1"/>
    <col min="4618" max="4619" width="15.88671875" style="3214" customWidth="1"/>
    <col min="4620" max="4620" width="22.77734375" style="3214" customWidth="1"/>
    <col min="4621" max="4623" width="9" style="3214" customWidth="1"/>
    <col min="4624" max="4624" width="11" style="3214" customWidth="1"/>
    <col min="4625" max="4626" width="17.77734375" style="3214" customWidth="1"/>
    <col min="4627" max="4627" width="14.77734375" style="3214" customWidth="1"/>
    <col min="4628" max="4629" width="12.88671875" style="3214" customWidth="1"/>
    <col min="4630" max="4630" width="20.33203125" style="3214" customWidth="1"/>
    <col min="4631" max="4631" width="9" style="3214" customWidth="1"/>
    <col min="4632" max="4635" width="10.21875" style="3214" customWidth="1"/>
    <col min="4636" max="4636" width="22.88671875" style="3214" customWidth="1"/>
    <col min="4637" max="4637" width="9" style="3214" customWidth="1"/>
    <col min="4638" max="4638" width="37.33203125" style="3214" customWidth="1"/>
    <col min="4639" max="4641" width="12.109375" style="3214" customWidth="1"/>
    <col min="4642" max="4643" width="18.21875" style="3214" customWidth="1"/>
    <col min="4644" max="4645" width="16.33203125" style="3214" customWidth="1"/>
    <col min="4646" max="4647" width="25" style="3214" customWidth="1"/>
    <col min="4648" max="4648" width="7.109375" style="3214" customWidth="1"/>
    <col min="4649" max="4649" width="9" style="3214" customWidth="1"/>
    <col min="4650" max="4650" width="19.21875" style="3214" customWidth="1"/>
    <col min="4651" max="4652" width="23" style="3214" customWidth="1"/>
    <col min="4653" max="4653" width="9" style="3214" customWidth="1"/>
    <col min="4654" max="4864" width="8.88671875" style="3214"/>
    <col min="4865" max="4865" width="30.77734375" style="3214" customWidth="1"/>
    <col min="4866" max="4866" width="7.109375" style="3214" customWidth="1"/>
    <col min="4867" max="4867" width="9" style="3214" customWidth="1"/>
    <col min="4868" max="4868" width="7.109375" style="3214" customWidth="1"/>
    <col min="4869" max="4869" width="5.21875" style="3214" customWidth="1"/>
    <col min="4870" max="4870" width="30.77734375" style="3214" customWidth="1"/>
    <col min="4871" max="4871" width="9" style="3214" customWidth="1"/>
    <col min="4872" max="4872" width="48.6640625" style="3214" customWidth="1"/>
    <col min="4873" max="4873" width="20.33203125" style="3214" customWidth="1"/>
    <col min="4874" max="4875" width="15.88671875" style="3214" customWidth="1"/>
    <col min="4876" max="4876" width="22.77734375" style="3214" customWidth="1"/>
    <col min="4877" max="4879" width="9" style="3214" customWidth="1"/>
    <col min="4880" max="4880" width="11" style="3214" customWidth="1"/>
    <col min="4881" max="4882" width="17.77734375" style="3214" customWidth="1"/>
    <col min="4883" max="4883" width="14.77734375" style="3214" customWidth="1"/>
    <col min="4884" max="4885" width="12.88671875" style="3214" customWidth="1"/>
    <col min="4886" max="4886" width="20.33203125" style="3214" customWidth="1"/>
    <col min="4887" max="4887" width="9" style="3214" customWidth="1"/>
    <col min="4888" max="4891" width="10.21875" style="3214" customWidth="1"/>
    <col min="4892" max="4892" width="22.88671875" style="3214" customWidth="1"/>
    <col min="4893" max="4893" width="9" style="3214" customWidth="1"/>
    <col min="4894" max="4894" width="37.33203125" style="3214" customWidth="1"/>
    <col min="4895" max="4897" width="12.109375" style="3214" customWidth="1"/>
    <col min="4898" max="4899" width="18.21875" style="3214" customWidth="1"/>
    <col min="4900" max="4901" width="16.33203125" style="3214" customWidth="1"/>
    <col min="4902" max="4903" width="25" style="3214" customWidth="1"/>
    <col min="4904" max="4904" width="7.109375" style="3214" customWidth="1"/>
    <col min="4905" max="4905" width="9" style="3214" customWidth="1"/>
    <col min="4906" max="4906" width="19.21875" style="3214" customWidth="1"/>
    <col min="4907" max="4908" width="23" style="3214" customWidth="1"/>
    <col min="4909" max="4909" width="9" style="3214" customWidth="1"/>
    <col min="4910" max="5120" width="8.88671875" style="3214"/>
    <col min="5121" max="5121" width="30.77734375" style="3214" customWidth="1"/>
    <col min="5122" max="5122" width="7.109375" style="3214" customWidth="1"/>
    <col min="5123" max="5123" width="9" style="3214" customWidth="1"/>
    <col min="5124" max="5124" width="7.109375" style="3214" customWidth="1"/>
    <col min="5125" max="5125" width="5.21875" style="3214" customWidth="1"/>
    <col min="5126" max="5126" width="30.77734375" style="3214" customWidth="1"/>
    <col min="5127" max="5127" width="9" style="3214" customWidth="1"/>
    <col min="5128" max="5128" width="48.6640625" style="3214" customWidth="1"/>
    <col min="5129" max="5129" width="20.33203125" style="3214" customWidth="1"/>
    <col min="5130" max="5131" width="15.88671875" style="3214" customWidth="1"/>
    <col min="5132" max="5132" width="22.77734375" style="3214" customWidth="1"/>
    <col min="5133" max="5135" width="9" style="3214" customWidth="1"/>
    <col min="5136" max="5136" width="11" style="3214" customWidth="1"/>
    <col min="5137" max="5138" width="17.77734375" style="3214" customWidth="1"/>
    <col min="5139" max="5139" width="14.77734375" style="3214" customWidth="1"/>
    <col min="5140" max="5141" width="12.88671875" style="3214" customWidth="1"/>
    <col min="5142" max="5142" width="20.33203125" style="3214" customWidth="1"/>
    <col min="5143" max="5143" width="9" style="3214" customWidth="1"/>
    <col min="5144" max="5147" width="10.21875" style="3214" customWidth="1"/>
    <col min="5148" max="5148" width="22.88671875" style="3214" customWidth="1"/>
    <col min="5149" max="5149" width="9" style="3214" customWidth="1"/>
    <col min="5150" max="5150" width="37.33203125" style="3214" customWidth="1"/>
    <col min="5151" max="5153" width="12.109375" style="3214" customWidth="1"/>
    <col min="5154" max="5155" width="18.21875" style="3214" customWidth="1"/>
    <col min="5156" max="5157" width="16.33203125" style="3214" customWidth="1"/>
    <col min="5158" max="5159" width="25" style="3214" customWidth="1"/>
    <col min="5160" max="5160" width="7.109375" style="3214" customWidth="1"/>
    <col min="5161" max="5161" width="9" style="3214" customWidth="1"/>
    <col min="5162" max="5162" width="19.21875" style="3214" customWidth="1"/>
    <col min="5163" max="5164" width="23" style="3214" customWidth="1"/>
    <col min="5165" max="5165" width="9" style="3214" customWidth="1"/>
    <col min="5166" max="5376" width="8.88671875" style="3214"/>
    <col min="5377" max="5377" width="30.77734375" style="3214" customWidth="1"/>
    <col min="5378" max="5378" width="7.109375" style="3214" customWidth="1"/>
    <col min="5379" max="5379" width="9" style="3214" customWidth="1"/>
    <col min="5380" max="5380" width="7.109375" style="3214" customWidth="1"/>
    <col min="5381" max="5381" width="5.21875" style="3214" customWidth="1"/>
    <col min="5382" max="5382" width="30.77734375" style="3214" customWidth="1"/>
    <col min="5383" max="5383" width="9" style="3214" customWidth="1"/>
    <col min="5384" max="5384" width="48.6640625" style="3214" customWidth="1"/>
    <col min="5385" max="5385" width="20.33203125" style="3214" customWidth="1"/>
    <col min="5386" max="5387" width="15.88671875" style="3214" customWidth="1"/>
    <col min="5388" max="5388" width="22.77734375" style="3214" customWidth="1"/>
    <col min="5389" max="5391" width="9" style="3214" customWidth="1"/>
    <col min="5392" max="5392" width="11" style="3214" customWidth="1"/>
    <col min="5393" max="5394" width="17.77734375" style="3214" customWidth="1"/>
    <col min="5395" max="5395" width="14.77734375" style="3214" customWidth="1"/>
    <col min="5396" max="5397" width="12.88671875" style="3214" customWidth="1"/>
    <col min="5398" max="5398" width="20.33203125" style="3214" customWidth="1"/>
    <col min="5399" max="5399" width="9" style="3214" customWidth="1"/>
    <col min="5400" max="5403" width="10.21875" style="3214" customWidth="1"/>
    <col min="5404" max="5404" width="22.88671875" style="3214" customWidth="1"/>
    <col min="5405" max="5405" width="9" style="3214" customWidth="1"/>
    <col min="5406" max="5406" width="37.33203125" style="3214" customWidth="1"/>
    <col min="5407" max="5409" width="12.109375" style="3214" customWidth="1"/>
    <col min="5410" max="5411" width="18.21875" style="3214" customWidth="1"/>
    <col min="5412" max="5413" width="16.33203125" style="3214" customWidth="1"/>
    <col min="5414" max="5415" width="25" style="3214" customWidth="1"/>
    <col min="5416" max="5416" width="7.109375" style="3214" customWidth="1"/>
    <col min="5417" max="5417" width="9" style="3214" customWidth="1"/>
    <col min="5418" max="5418" width="19.21875" style="3214" customWidth="1"/>
    <col min="5419" max="5420" width="23" style="3214" customWidth="1"/>
    <col min="5421" max="5421" width="9" style="3214" customWidth="1"/>
    <col min="5422" max="5632" width="8.88671875" style="3214"/>
    <col min="5633" max="5633" width="30.77734375" style="3214" customWidth="1"/>
    <col min="5634" max="5634" width="7.109375" style="3214" customWidth="1"/>
    <col min="5635" max="5635" width="9" style="3214" customWidth="1"/>
    <col min="5636" max="5636" width="7.109375" style="3214" customWidth="1"/>
    <col min="5637" max="5637" width="5.21875" style="3214" customWidth="1"/>
    <col min="5638" max="5638" width="30.77734375" style="3214" customWidth="1"/>
    <col min="5639" max="5639" width="9" style="3214" customWidth="1"/>
    <col min="5640" max="5640" width="48.6640625" style="3214" customWidth="1"/>
    <col min="5641" max="5641" width="20.33203125" style="3214" customWidth="1"/>
    <col min="5642" max="5643" width="15.88671875" style="3214" customWidth="1"/>
    <col min="5644" max="5644" width="22.77734375" style="3214" customWidth="1"/>
    <col min="5645" max="5647" width="9" style="3214" customWidth="1"/>
    <col min="5648" max="5648" width="11" style="3214" customWidth="1"/>
    <col min="5649" max="5650" width="17.77734375" style="3214" customWidth="1"/>
    <col min="5651" max="5651" width="14.77734375" style="3214" customWidth="1"/>
    <col min="5652" max="5653" width="12.88671875" style="3214" customWidth="1"/>
    <col min="5654" max="5654" width="20.33203125" style="3214" customWidth="1"/>
    <col min="5655" max="5655" width="9" style="3214" customWidth="1"/>
    <col min="5656" max="5659" width="10.21875" style="3214" customWidth="1"/>
    <col min="5660" max="5660" width="22.88671875" style="3214" customWidth="1"/>
    <col min="5661" max="5661" width="9" style="3214" customWidth="1"/>
    <col min="5662" max="5662" width="37.33203125" style="3214" customWidth="1"/>
    <col min="5663" max="5665" width="12.109375" style="3214" customWidth="1"/>
    <col min="5666" max="5667" width="18.21875" style="3214" customWidth="1"/>
    <col min="5668" max="5669" width="16.33203125" style="3214" customWidth="1"/>
    <col min="5670" max="5671" width="25" style="3214" customWidth="1"/>
    <col min="5672" max="5672" width="7.109375" style="3214" customWidth="1"/>
    <col min="5673" max="5673" width="9" style="3214" customWidth="1"/>
    <col min="5674" max="5674" width="19.21875" style="3214" customWidth="1"/>
    <col min="5675" max="5676" width="23" style="3214" customWidth="1"/>
    <col min="5677" max="5677" width="9" style="3214" customWidth="1"/>
    <col min="5678" max="5888" width="8.88671875" style="3214"/>
    <col min="5889" max="5889" width="30.77734375" style="3214" customWidth="1"/>
    <col min="5890" max="5890" width="7.109375" style="3214" customWidth="1"/>
    <col min="5891" max="5891" width="9" style="3214" customWidth="1"/>
    <col min="5892" max="5892" width="7.109375" style="3214" customWidth="1"/>
    <col min="5893" max="5893" width="5.21875" style="3214" customWidth="1"/>
    <col min="5894" max="5894" width="30.77734375" style="3214" customWidth="1"/>
    <col min="5895" max="5895" width="9" style="3214" customWidth="1"/>
    <col min="5896" max="5896" width="48.6640625" style="3214" customWidth="1"/>
    <col min="5897" max="5897" width="20.33203125" style="3214" customWidth="1"/>
    <col min="5898" max="5899" width="15.88671875" style="3214" customWidth="1"/>
    <col min="5900" max="5900" width="22.77734375" style="3214" customWidth="1"/>
    <col min="5901" max="5903" width="9" style="3214" customWidth="1"/>
    <col min="5904" max="5904" width="11" style="3214" customWidth="1"/>
    <col min="5905" max="5906" width="17.77734375" style="3214" customWidth="1"/>
    <col min="5907" max="5907" width="14.77734375" style="3214" customWidth="1"/>
    <col min="5908" max="5909" width="12.88671875" style="3214" customWidth="1"/>
    <col min="5910" max="5910" width="20.33203125" style="3214" customWidth="1"/>
    <col min="5911" max="5911" width="9" style="3214" customWidth="1"/>
    <col min="5912" max="5915" width="10.21875" style="3214" customWidth="1"/>
    <col min="5916" max="5916" width="22.88671875" style="3214" customWidth="1"/>
    <col min="5917" max="5917" width="9" style="3214" customWidth="1"/>
    <col min="5918" max="5918" width="37.33203125" style="3214" customWidth="1"/>
    <col min="5919" max="5921" width="12.109375" style="3214" customWidth="1"/>
    <col min="5922" max="5923" width="18.21875" style="3214" customWidth="1"/>
    <col min="5924" max="5925" width="16.33203125" style="3214" customWidth="1"/>
    <col min="5926" max="5927" width="25" style="3214" customWidth="1"/>
    <col min="5928" max="5928" width="7.109375" style="3214" customWidth="1"/>
    <col min="5929" max="5929" width="9" style="3214" customWidth="1"/>
    <col min="5930" max="5930" width="19.21875" style="3214" customWidth="1"/>
    <col min="5931" max="5932" width="23" style="3214" customWidth="1"/>
    <col min="5933" max="5933" width="9" style="3214" customWidth="1"/>
    <col min="5934" max="6144" width="8.88671875" style="3214"/>
    <col min="6145" max="6145" width="30.77734375" style="3214" customWidth="1"/>
    <col min="6146" max="6146" width="7.109375" style="3214" customWidth="1"/>
    <col min="6147" max="6147" width="9" style="3214" customWidth="1"/>
    <col min="6148" max="6148" width="7.109375" style="3214" customWidth="1"/>
    <col min="6149" max="6149" width="5.21875" style="3214" customWidth="1"/>
    <col min="6150" max="6150" width="30.77734375" style="3214" customWidth="1"/>
    <col min="6151" max="6151" width="9" style="3214" customWidth="1"/>
    <col min="6152" max="6152" width="48.6640625" style="3214" customWidth="1"/>
    <col min="6153" max="6153" width="20.33203125" style="3214" customWidth="1"/>
    <col min="6154" max="6155" width="15.88671875" style="3214" customWidth="1"/>
    <col min="6156" max="6156" width="22.77734375" style="3214" customWidth="1"/>
    <col min="6157" max="6159" width="9" style="3214" customWidth="1"/>
    <col min="6160" max="6160" width="11" style="3214" customWidth="1"/>
    <col min="6161" max="6162" width="17.77734375" style="3214" customWidth="1"/>
    <col min="6163" max="6163" width="14.77734375" style="3214" customWidth="1"/>
    <col min="6164" max="6165" width="12.88671875" style="3214" customWidth="1"/>
    <col min="6166" max="6166" width="20.33203125" style="3214" customWidth="1"/>
    <col min="6167" max="6167" width="9" style="3214" customWidth="1"/>
    <col min="6168" max="6171" width="10.21875" style="3214" customWidth="1"/>
    <col min="6172" max="6172" width="22.88671875" style="3214" customWidth="1"/>
    <col min="6173" max="6173" width="9" style="3214" customWidth="1"/>
    <col min="6174" max="6174" width="37.33203125" style="3214" customWidth="1"/>
    <col min="6175" max="6177" width="12.109375" style="3214" customWidth="1"/>
    <col min="6178" max="6179" width="18.21875" style="3214" customWidth="1"/>
    <col min="6180" max="6181" width="16.33203125" style="3214" customWidth="1"/>
    <col min="6182" max="6183" width="25" style="3214" customWidth="1"/>
    <col min="6184" max="6184" width="7.109375" style="3214" customWidth="1"/>
    <col min="6185" max="6185" width="9" style="3214" customWidth="1"/>
    <col min="6186" max="6186" width="19.21875" style="3214" customWidth="1"/>
    <col min="6187" max="6188" width="23" style="3214" customWidth="1"/>
    <col min="6189" max="6189" width="9" style="3214" customWidth="1"/>
    <col min="6190" max="6400" width="8.88671875" style="3214"/>
    <col min="6401" max="6401" width="30.77734375" style="3214" customWidth="1"/>
    <col min="6402" max="6402" width="7.109375" style="3214" customWidth="1"/>
    <col min="6403" max="6403" width="9" style="3214" customWidth="1"/>
    <col min="6404" max="6404" width="7.109375" style="3214" customWidth="1"/>
    <col min="6405" max="6405" width="5.21875" style="3214" customWidth="1"/>
    <col min="6406" max="6406" width="30.77734375" style="3214" customWidth="1"/>
    <col min="6407" max="6407" width="9" style="3214" customWidth="1"/>
    <col min="6408" max="6408" width="48.6640625" style="3214" customWidth="1"/>
    <col min="6409" max="6409" width="20.33203125" style="3214" customWidth="1"/>
    <col min="6410" max="6411" width="15.88671875" style="3214" customWidth="1"/>
    <col min="6412" max="6412" width="22.77734375" style="3214" customWidth="1"/>
    <col min="6413" max="6415" width="9" style="3214" customWidth="1"/>
    <col min="6416" max="6416" width="11" style="3214" customWidth="1"/>
    <col min="6417" max="6418" width="17.77734375" style="3214" customWidth="1"/>
    <col min="6419" max="6419" width="14.77734375" style="3214" customWidth="1"/>
    <col min="6420" max="6421" width="12.88671875" style="3214" customWidth="1"/>
    <col min="6422" max="6422" width="20.33203125" style="3214" customWidth="1"/>
    <col min="6423" max="6423" width="9" style="3214" customWidth="1"/>
    <col min="6424" max="6427" width="10.21875" style="3214" customWidth="1"/>
    <col min="6428" max="6428" width="22.88671875" style="3214" customWidth="1"/>
    <col min="6429" max="6429" width="9" style="3214" customWidth="1"/>
    <col min="6430" max="6430" width="37.33203125" style="3214" customWidth="1"/>
    <col min="6431" max="6433" width="12.109375" style="3214" customWidth="1"/>
    <col min="6434" max="6435" width="18.21875" style="3214" customWidth="1"/>
    <col min="6436" max="6437" width="16.33203125" style="3214" customWidth="1"/>
    <col min="6438" max="6439" width="25" style="3214" customWidth="1"/>
    <col min="6440" max="6440" width="7.109375" style="3214" customWidth="1"/>
    <col min="6441" max="6441" width="9" style="3214" customWidth="1"/>
    <col min="6442" max="6442" width="19.21875" style="3214" customWidth="1"/>
    <col min="6443" max="6444" width="23" style="3214" customWidth="1"/>
    <col min="6445" max="6445" width="9" style="3214" customWidth="1"/>
    <col min="6446" max="6656" width="8.88671875" style="3214"/>
    <col min="6657" max="6657" width="30.77734375" style="3214" customWidth="1"/>
    <col min="6658" max="6658" width="7.109375" style="3214" customWidth="1"/>
    <col min="6659" max="6659" width="9" style="3214" customWidth="1"/>
    <col min="6660" max="6660" width="7.109375" style="3214" customWidth="1"/>
    <col min="6661" max="6661" width="5.21875" style="3214" customWidth="1"/>
    <col min="6662" max="6662" width="30.77734375" style="3214" customWidth="1"/>
    <col min="6663" max="6663" width="9" style="3214" customWidth="1"/>
    <col min="6664" max="6664" width="48.6640625" style="3214" customWidth="1"/>
    <col min="6665" max="6665" width="20.33203125" style="3214" customWidth="1"/>
    <col min="6666" max="6667" width="15.88671875" style="3214" customWidth="1"/>
    <col min="6668" max="6668" width="22.77734375" style="3214" customWidth="1"/>
    <col min="6669" max="6671" width="9" style="3214" customWidth="1"/>
    <col min="6672" max="6672" width="11" style="3214" customWidth="1"/>
    <col min="6673" max="6674" width="17.77734375" style="3214" customWidth="1"/>
    <col min="6675" max="6675" width="14.77734375" style="3214" customWidth="1"/>
    <col min="6676" max="6677" width="12.88671875" style="3214" customWidth="1"/>
    <col min="6678" max="6678" width="20.33203125" style="3214" customWidth="1"/>
    <col min="6679" max="6679" width="9" style="3214" customWidth="1"/>
    <col min="6680" max="6683" width="10.21875" style="3214" customWidth="1"/>
    <col min="6684" max="6684" width="22.88671875" style="3214" customWidth="1"/>
    <col min="6685" max="6685" width="9" style="3214" customWidth="1"/>
    <col min="6686" max="6686" width="37.33203125" style="3214" customWidth="1"/>
    <col min="6687" max="6689" width="12.109375" style="3214" customWidth="1"/>
    <col min="6690" max="6691" width="18.21875" style="3214" customWidth="1"/>
    <col min="6692" max="6693" width="16.33203125" style="3214" customWidth="1"/>
    <col min="6694" max="6695" width="25" style="3214" customWidth="1"/>
    <col min="6696" max="6696" width="7.109375" style="3214" customWidth="1"/>
    <col min="6697" max="6697" width="9" style="3214" customWidth="1"/>
    <col min="6698" max="6698" width="19.21875" style="3214" customWidth="1"/>
    <col min="6699" max="6700" width="23" style="3214" customWidth="1"/>
    <col min="6701" max="6701" width="9" style="3214" customWidth="1"/>
    <col min="6702" max="6912" width="8.88671875" style="3214"/>
    <col min="6913" max="6913" width="30.77734375" style="3214" customWidth="1"/>
    <col min="6914" max="6914" width="7.109375" style="3214" customWidth="1"/>
    <col min="6915" max="6915" width="9" style="3214" customWidth="1"/>
    <col min="6916" max="6916" width="7.109375" style="3214" customWidth="1"/>
    <col min="6917" max="6917" width="5.21875" style="3214" customWidth="1"/>
    <col min="6918" max="6918" width="30.77734375" style="3214" customWidth="1"/>
    <col min="6919" max="6919" width="9" style="3214" customWidth="1"/>
    <col min="6920" max="6920" width="48.6640625" style="3214" customWidth="1"/>
    <col min="6921" max="6921" width="20.33203125" style="3214" customWidth="1"/>
    <col min="6922" max="6923" width="15.88671875" style="3214" customWidth="1"/>
    <col min="6924" max="6924" width="22.77734375" style="3214" customWidth="1"/>
    <col min="6925" max="6927" width="9" style="3214" customWidth="1"/>
    <col min="6928" max="6928" width="11" style="3214" customWidth="1"/>
    <col min="6929" max="6930" width="17.77734375" style="3214" customWidth="1"/>
    <col min="6931" max="6931" width="14.77734375" style="3214" customWidth="1"/>
    <col min="6932" max="6933" width="12.88671875" style="3214" customWidth="1"/>
    <col min="6934" max="6934" width="20.33203125" style="3214" customWidth="1"/>
    <col min="6935" max="6935" width="9" style="3214" customWidth="1"/>
    <col min="6936" max="6939" width="10.21875" style="3214" customWidth="1"/>
    <col min="6940" max="6940" width="22.88671875" style="3214" customWidth="1"/>
    <col min="6941" max="6941" width="9" style="3214" customWidth="1"/>
    <col min="6942" max="6942" width="37.33203125" style="3214" customWidth="1"/>
    <col min="6943" max="6945" width="12.109375" style="3214" customWidth="1"/>
    <col min="6946" max="6947" width="18.21875" style="3214" customWidth="1"/>
    <col min="6948" max="6949" width="16.33203125" style="3214" customWidth="1"/>
    <col min="6950" max="6951" width="25" style="3214" customWidth="1"/>
    <col min="6952" max="6952" width="7.109375" style="3214" customWidth="1"/>
    <col min="6953" max="6953" width="9" style="3214" customWidth="1"/>
    <col min="6954" max="6954" width="19.21875" style="3214" customWidth="1"/>
    <col min="6955" max="6956" width="23" style="3214" customWidth="1"/>
    <col min="6957" max="6957" width="9" style="3214" customWidth="1"/>
    <col min="6958" max="7168" width="8.88671875" style="3214"/>
    <col min="7169" max="7169" width="30.77734375" style="3214" customWidth="1"/>
    <col min="7170" max="7170" width="7.109375" style="3214" customWidth="1"/>
    <col min="7171" max="7171" width="9" style="3214" customWidth="1"/>
    <col min="7172" max="7172" width="7.109375" style="3214" customWidth="1"/>
    <col min="7173" max="7173" width="5.21875" style="3214" customWidth="1"/>
    <col min="7174" max="7174" width="30.77734375" style="3214" customWidth="1"/>
    <col min="7175" max="7175" width="9" style="3214" customWidth="1"/>
    <col min="7176" max="7176" width="48.6640625" style="3214" customWidth="1"/>
    <col min="7177" max="7177" width="20.33203125" style="3214" customWidth="1"/>
    <col min="7178" max="7179" width="15.88671875" style="3214" customWidth="1"/>
    <col min="7180" max="7180" width="22.77734375" style="3214" customWidth="1"/>
    <col min="7181" max="7183" width="9" style="3214" customWidth="1"/>
    <col min="7184" max="7184" width="11" style="3214" customWidth="1"/>
    <col min="7185" max="7186" width="17.77734375" style="3214" customWidth="1"/>
    <col min="7187" max="7187" width="14.77734375" style="3214" customWidth="1"/>
    <col min="7188" max="7189" width="12.88671875" style="3214" customWidth="1"/>
    <col min="7190" max="7190" width="20.33203125" style="3214" customWidth="1"/>
    <col min="7191" max="7191" width="9" style="3214" customWidth="1"/>
    <col min="7192" max="7195" width="10.21875" style="3214" customWidth="1"/>
    <col min="7196" max="7196" width="22.88671875" style="3214" customWidth="1"/>
    <col min="7197" max="7197" width="9" style="3214" customWidth="1"/>
    <col min="7198" max="7198" width="37.33203125" style="3214" customWidth="1"/>
    <col min="7199" max="7201" width="12.109375" style="3214" customWidth="1"/>
    <col min="7202" max="7203" width="18.21875" style="3214" customWidth="1"/>
    <col min="7204" max="7205" width="16.33203125" style="3214" customWidth="1"/>
    <col min="7206" max="7207" width="25" style="3214" customWidth="1"/>
    <col min="7208" max="7208" width="7.109375" style="3214" customWidth="1"/>
    <col min="7209" max="7209" width="9" style="3214" customWidth="1"/>
    <col min="7210" max="7210" width="19.21875" style="3214" customWidth="1"/>
    <col min="7211" max="7212" width="23" style="3214" customWidth="1"/>
    <col min="7213" max="7213" width="9" style="3214" customWidth="1"/>
    <col min="7214" max="7424" width="8.88671875" style="3214"/>
    <col min="7425" max="7425" width="30.77734375" style="3214" customWidth="1"/>
    <col min="7426" max="7426" width="7.109375" style="3214" customWidth="1"/>
    <col min="7427" max="7427" width="9" style="3214" customWidth="1"/>
    <col min="7428" max="7428" width="7.109375" style="3214" customWidth="1"/>
    <col min="7429" max="7429" width="5.21875" style="3214" customWidth="1"/>
    <col min="7430" max="7430" width="30.77734375" style="3214" customWidth="1"/>
    <col min="7431" max="7431" width="9" style="3214" customWidth="1"/>
    <col min="7432" max="7432" width="48.6640625" style="3214" customWidth="1"/>
    <col min="7433" max="7433" width="20.33203125" style="3214" customWidth="1"/>
    <col min="7434" max="7435" width="15.88671875" style="3214" customWidth="1"/>
    <col min="7436" max="7436" width="22.77734375" style="3214" customWidth="1"/>
    <col min="7437" max="7439" width="9" style="3214" customWidth="1"/>
    <col min="7440" max="7440" width="11" style="3214" customWidth="1"/>
    <col min="7441" max="7442" width="17.77734375" style="3214" customWidth="1"/>
    <col min="7443" max="7443" width="14.77734375" style="3214" customWidth="1"/>
    <col min="7444" max="7445" width="12.88671875" style="3214" customWidth="1"/>
    <col min="7446" max="7446" width="20.33203125" style="3214" customWidth="1"/>
    <col min="7447" max="7447" width="9" style="3214" customWidth="1"/>
    <col min="7448" max="7451" width="10.21875" style="3214" customWidth="1"/>
    <col min="7452" max="7452" width="22.88671875" style="3214" customWidth="1"/>
    <col min="7453" max="7453" width="9" style="3214" customWidth="1"/>
    <col min="7454" max="7454" width="37.33203125" style="3214" customWidth="1"/>
    <col min="7455" max="7457" width="12.109375" style="3214" customWidth="1"/>
    <col min="7458" max="7459" width="18.21875" style="3214" customWidth="1"/>
    <col min="7460" max="7461" width="16.33203125" style="3214" customWidth="1"/>
    <col min="7462" max="7463" width="25" style="3214" customWidth="1"/>
    <col min="7464" max="7464" width="7.109375" style="3214" customWidth="1"/>
    <col min="7465" max="7465" width="9" style="3214" customWidth="1"/>
    <col min="7466" max="7466" width="19.21875" style="3214" customWidth="1"/>
    <col min="7467" max="7468" width="23" style="3214" customWidth="1"/>
    <col min="7469" max="7469" width="9" style="3214" customWidth="1"/>
    <col min="7470" max="7680" width="8.88671875" style="3214"/>
    <col min="7681" max="7681" width="30.77734375" style="3214" customWidth="1"/>
    <col min="7682" max="7682" width="7.109375" style="3214" customWidth="1"/>
    <col min="7683" max="7683" width="9" style="3214" customWidth="1"/>
    <col min="7684" max="7684" width="7.109375" style="3214" customWidth="1"/>
    <col min="7685" max="7685" width="5.21875" style="3214" customWidth="1"/>
    <col min="7686" max="7686" width="30.77734375" style="3214" customWidth="1"/>
    <col min="7687" max="7687" width="9" style="3214" customWidth="1"/>
    <col min="7688" max="7688" width="48.6640625" style="3214" customWidth="1"/>
    <col min="7689" max="7689" width="20.33203125" style="3214" customWidth="1"/>
    <col min="7690" max="7691" width="15.88671875" style="3214" customWidth="1"/>
    <col min="7692" max="7692" width="22.77734375" style="3214" customWidth="1"/>
    <col min="7693" max="7695" width="9" style="3214" customWidth="1"/>
    <col min="7696" max="7696" width="11" style="3214" customWidth="1"/>
    <col min="7697" max="7698" width="17.77734375" style="3214" customWidth="1"/>
    <col min="7699" max="7699" width="14.77734375" style="3214" customWidth="1"/>
    <col min="7700" max="7701" width="12.88671875" style="3214" customWidth="1"/>
    <col min="7702" max="7702" width="20.33203125" style="3214" customWidth="1"/>
    <col min="7703" max="7703" width="9" style="3214" customWidth="1"/>
    <col min="7704" max="7707" width="10.21875" style="3214" customWidth="1"/>
    <col min="7708" max="7708" width="22.88671875" style="3214" customWidth="1"/>
    <col min="7709" max="7709" width="9" style="3214" customWidth="1"/>
    <col min="7710" max="7710" width="37.33203125" style="3214" customWidth="1"/>
    <col min="7711" max="7713" width="12.109375" style="3214" customWidth="1"/>
    <col min="7714" max="7715" width="18.21875" style="3214" customWidth="1"/>
    <col min="7716" max="7717" width="16.33203125" style="3214" customWidth="1"/>
    <col min="7718" max="7719" width="25" style="3214" customWidth="1"/>
    <col min="7720" max="7720" width="7.109375" style="3214" customWidth="1"/>
    <col min="7721" max="7721" width="9" style="3214" customWidth="1"/>
    <col min="7722" max="7722" width="19.21875" style="3214" customWidth="1"/>
    <col min="7723" max="7724" width="23" style="3214" customWidth="1"/>
    <col min="7725" max="7725" width="9" style="3214" customWidth="1"/>
    <col min="7726" max="7936" width="8.88671875" style="3214"/>
    <col min="7937" max="7937" width="30.77734375" style="3214" customWidth="1"/>
    <col min="7938" max="7938" width="7.109375" style="3214" customWidth="1"/>
    <col min="7939" max="7939" width="9" style="3214" customWidth="1"/>
    <col min="7940" max="7940" width="7.109375" style="3214" customWidth="1"/>
    <col min="7941" max="7941" width="5.21875" style="3214" customWidth="1"/>
    <col min="7942" max="7942" width="30.77734375" style="3214" customWidth="1"/>
    <col min="7943" max="7943" width="9" style="3214" customWidth="1"/>
    <col min="7944" max="7944" width="48.6640625" style="3214" customWidth="1"/>
    <col min="7945" max="7945" width="20.33203125" style="3214" customWidth="1"/>
    <col min="7946" max="7947" width="15.88671875" style="3214" customWidth="1"/>
    <col min="7948" max="7948" width="22.77734375" style="3214" customWidth="1"/>
    <col min="7949" max="7951" width="9" style="3214" customWidth="1"/>
    <col min="7952" max="7952" width="11" style="3214" customWidth="1"/>
    <col min="7953" max="7954" width="17.77734375" style="3214" customWidth="1"/>
    <col min="7955" max="7955" width="14.77734375" style="3214" customWidth="1"/>
    <col min="7956" max="7957" width="12.88671875" style="3214" customWidth="1"/>
    <col min="7958" max="7958" width="20.33203125" style="3214" customWidth="1"/>
    <col min="7959" max="7959" width="9" style="3214" customWidth="1"/>
    <col min="7960" max="7963" width="10.21875" style="3214" customWidth="1"/>
    <col min="7964" max="7964" width="22.88671875" style="3214" customWidth="1"/>
    <col min="7965" max="7965" width="9" style="3214" customWidth="1"/>
    <col min="7966" max="7966" width="37.33203125" style="3214" customWidth="1"/>
    <col min="7967" max="7969" width="12.109375" style="3214" customWidth="1"/>
    <col min="7970" max="7971" width="18.21875" style="3214" customWidth="1"/>
    <col min="7972" max="7973" width="16.33203125" style="3214" customWidth="1"/>
    <col min="7974" max="7975" width="25" style="3214" customWidth="1"/>
    <col min="7976" max="7976" width="7.109375" style="3214" customWidth="1"/>
    <col min="7977" max="7977" width="9" style="3214" customWidth="1"/>
    <col min="7978" max="7978" width="19.21875" style="3214" customWidth="1"/>
    <col min="7979" max="7980" width="23" style="3214" customWidth="1"/>
    <col min="7981" max="7981" width="9" style="3214" customWidth="1"/>
    <col min="7982" max="8192" width="8.88671875" style="3214"/>
    <col min="8193" max="8193" width="30.77734375" style="3214" customWidth="1"/>
    <col min="8194" max="8194" width="7.109375" style="3214" customWidth="1"/>
    <col min="8195" max="8195" width="9" style="3214" customWidth="1"/>
    <col min="8196" max="8196" width="7.109375" style="3214" customWidth="1"/>
    <col min="8197" max="8197" width="5.21875" style="3214" customWidth="1"/>
    <col min="8198" max="8198" width="30.77734375" style="3214" customWidth="1"/>
    <col min="8199" max="8199" width="9" style="3214" customWidth="1"/>
    <col min="8200" max="8200" width="48.6640625" style="3214" customWidth="1"/>
    <col min="8201" max="8201" width="20.33203125" style="3214" customWidth="1"/>
    <col min="8202" max="8203" width="15.88671875" style="3214" customWidth="1"/>
    <col min="8204" max="8204" width="22.77734375" style="3214" customWidth="1"/>
    <col min="8205" max="8207" width="9" style="3214" customWidth="1"/>
    <col min="8208" max="8208" width="11" style="3214" customWidth="1"/>
    <col min="8209" max="8210" width="17.77734375" style="3214" customWidth="1"/>
    <col min="8211" max="8211" width="14.77734375" style="3214" customWidth="1"/>
    <col min="8212" max="8213" width="12.88671875" style="3214" customWidth="1"/>
    <col min="8214" max="8214" width="20.33203125" style="3214" customWidth="1"/>
    <col min="8215" max="8215" width="9" style="3214" customWidth="1"/>
    <col min="8216" max="8219" width="10.21875" style="3214" customWidth="1"/>
    <col min="8220" max="8220" width="22.88671875" style="3214" customWidth="1"/>
    <col min="8221" max="8221" width="9" style="3214" customWidth="1"/>
    <col min="8222" max="8222" width="37.33203125" style="3214" customWidth="1"/>
    <col min="8223" max="8225" width="12.109375" style="3214" customWidth="1"/>
    <col min="8226" max="8227" width="18.21875" style="3214" customWidth="1"/>
    <col min="8228" max="8229" width="16.33203125" style="3214" customWidth="1"/>
    <col min="8230" max="8231" width="25" style="3214" customWidth="1"/>
    <col min="8232" max="8232" width="7.109375" style="3214" customWidth="1"/>
    <col min="8233" max="8233" width="9" style="3214" customWidth="1"/>
    <col min="8234" max="8234" width="19.21875" style="3214" customWidth="1"/>
    <col min="8235" max="8236" width="23" style="3214" customWidth="1"/>
    <col min="8237" max="8237" width="9" style="3214" customWidth="1"/>
    <col min="8238" max="8448" width="8.88671875" style="3214"/>
    <col min="8449" max="8449" width="30.77734375" style="3214" customWidth="1"/>
    <col min="8450" max="8450" width="7.109375" style="3214" customWidth="1"/>
    <col min="8451" max="8451" width="9" style="3214" customWidth="1"/>
    <col min="8452" max="8452" width="7.109375" style="3214" customWidth="1"/>
    <col min="8453" max="8453" width="5.21875" style="3214" customWidth="1"/>
    <col min="8454" max="8454" width="30.77734375" style="3214" customWidth="1"/>
    <col min="8455" max="8455" width="9" style="3214" customWidth="1"/>
    <col min="8456" max="8456" width="48.6640625" style="3214" customWidth="1"/>
    <col min="8457" max="8457" width="20.33203125" style="3214" customWidth="1"/>
    <col min="8458" max="8459" width="15.88671875" style="3214" customWidth="1"/>
    <col min="8460" max="8460" width="22.77734375" style="3214" customWidth="1"/>
    <col min="8461" max="8463" width="9" style="3214" customWidth="1"/>
    <col min="8464" max="8464" width="11" style="3214" customWidth="1"/>
    <col min="8465" max="8466" width="17.77734375" style="3214" customWidth="1"/>
    <col min="8467" max="8467" width="14.77734375" style="3214" customWidth="1"/>
    <col min="8468" max="8469" width="12.88671875" style="3214" customWidth="1"/>
    <col min="8470" max="8470" width="20.33203125" style="3214" customWidth="1"/>
    <col min="8471" max="8471" width="9" style="3214" customWidth="1"/>
    <col min="8472" max="8475" width="10.21875" style="3214" customWidth="1"/>
    <col min="8476" max="8476" width="22.88671875" style="3214" customWidth="1"/>
    <col min="8477" max="8477" width="9" style="3214" customWidth="1"/>
    <col min="8478" max="8478" width="37.33203125" style="3214" customWidth="1"/>
    <col min="8479" max="8481" width="12.109375" style="3214" customWidth="1"/>
    <col min="8482" max="8483" width="18.21875" style="3214" customWidth="1"/>
    <col min="8484" max="8485" width="16.33203125" style="3214" customWidth="1"/>
    <col min="8486" max="8487" width="25" style="3214" customWidth="1"/>
    <col min="8488" max="8488" width="7.109375" style="3214" customWidth="1"/>
    <col min="8489" max="8489" width="9" style="3214" customWidth="1"/>
    <col min="8490" max="8490" width="19.21875" style="3214" customWidth="1"/>
    <col min="8491" max="8492" width="23" style="3214" customWidth="1"/>
    <col min="8493" max="8493" width="9" style="3214" customWidth="1"/>
    <col min="8494" max="8704" width="8.88671875" style="3214"/>
    <col min="8705" max="8705" width="30.77734375" style="3214" customWidth="1"/>
    <col min="8706" max="8706" width="7.109375" style="3214" customWidth="1"/>
    <col min="8707" max="8707" width="9" style="3214" customWidth="1"/>
    <col min="8708" max="8708" width="7.109375" style="3214" customWidth="1"/>
    <col min="8709" max="8709" width="5.21875" style="3214" customWidth="1"/>
    <col min="8710" max="8710" width="30.77734375" style="3214" customWidth="1"/>
    <col min="8711" max="8711" width="9" style="3214" customWidth="1"/>
    <col min="8712" max="8712" width="48.6640625" style="3214" customWidth="1"/>
    <col min="8713" max="8713" width="20.33203125" style="3214" customWidth="1"/>
    <col min="8714" max="8715" width="15.88671875" style="3214" customWidth="1"/>
    <col min="8716" max="8716" width="22.77734375" style="3214" customWidth="1"/>
    <col min="8717" max="8719" width="9" style="3214" customWidth="1"/>
    <col min="8720" max="8720" width="11" style="3214" customWidth="1"/>
    <col min="8721" max="8722" width="17.77734375" style="3214" customWidth="1"/>
    <col min="8723" max="8723" width="14.77734375" style="3214" customWidth="1"/>
    <col min="8724" max="8725" width="12.88671875" style="3214" customWidth="1"/>
    <col min="8726" max="8726" width="20.33203125" style="3214" customWidth="1"/>
    <col min="8727" max="8727" width="9" style="3214" customWidth="1"/>
    <col min="8728" max="8731" width="10.21875" style="3214" customWidth="1"/>
    <col min="8732" max="8732" width="22.88671875" style="3214" customWidth="1"/>
    <col min="8733" max="8733" width="9" style="3214" customWidth="1"/>
    <col min="8734" max="8734" width="37.33203125" style="3214" customWidth="1"/>
    <col min="8735" max="8737" width="12.109375" style="3214" customWidth="1"/>
    <col min="8738" max="8739" width="18.21875" style="3214" customWidth="1"/>
    <col min="8740" max="8741" width="16.33203125" style="3214" customWidth="1"/>
    <col min="8742" max="8743" width="25" style="3214" customWidth="1"/>
    <col min="8744" max="8744" width="7.109375" style="3214" customWidth="1"/>
    <col min="8745" max="8745" width="9" style="3214" customWidth="1"/>
    <col min="8746" max="8746" width="19.21875" style="3214" customWidth="1"/>
    <col min="8747" max="8748" width="23" style="3214" customWidth="1"/>
    <col min="8749" max="8749" width="9" style="3214" customWidth="1"/>
    <col min="8750" max="8960" width="8.88671875" style="3214"/>
    <col min="8961" max="8961" width="30.77734375" style="3214" customWidth="1"/>
    <col min="8962" max="8962" width="7.109375" style="3214" customWidth="1"/>
    <col min="8963" max="8963" width="9" style="3214" customWidth="1"/>
    <col min="8964" max="8964" width="7.109375" style="3214" customWidth="1"/>
    <col min="8965" max="8965" width="5.21875" style="3214" customWidth="1"/>
    <col min="8966" max="8966" width="30.77734375" style="3214" customWidth="1"/>
    <col min="8967" max="8967" width="9" style="3214" customWidth="1"/>
    <col min="8968" max="8968" width="48.6640625" style="3214" customWidth="1"/>
    <col min="8969" max="8969" width="20.33203125" style="3214" customWidth="1"/>
    <col min="8970" max="8971" width="15.88671875" style="3214" customWidth="1"/>
    <col min="8972" max="8972" width="22.77734375" style="3214" customWidth="1"/>
    <col min="8973" max="8975" width="9" style="3214" customWidth="1"/>
    <col min="8976" max="8976" width="11" style="3214" customWidth="1"/>
    <col min="8977" max="8978" width="17.77734375" style="3214" customWidth="1"/>
    <col min="8979" max="8979" width="14.77734375" style="3214" customWidth="1"/>
    <col min="8980" max="8981" width="12.88671875" style="3214" customWidth="1"/>
    <col min="8982" max="8982" width="20.33203125" style="3214" customWidth="1"/>
    <col min="8983" max="8983" width="9" style="3214" customWidth="1"/>
    <col min="8984" max="8987" width="10.21875" style="3214" customWidth="1"/>
    <col min="8988" max="8988" width="22.88671875" style="3214" customWidth="1"/>
    <col min="8989" max="8989" width="9" style="3214" customWidth="1"/>
    <col min="8990" max="8990" width="37.33203125" style="3214" customWidth="1"/>
    <col min="8991" max="8993" width="12.109375" style="3214" customWidth="1"/>
    <col min="8994" max="8995" width="18.21875" style="3214" customWidth="1"/>
    <col min="8996" max="8997" width="16.33203125" style="3214" customWidth="1"/>
    <col min="8998" max="8999" width="25" style="3214" customWidth="1"/>
    <col min="9000" max="9000" width="7.109375" style="3214" customWidth="1"/>
    <col min="9001" max="9001" width="9" style="3214" customWidth="1"/>
    <col min="9002" max="9002" width="19.21875" style="3214" customWidth="1"/>
    <col min="9003" max="9004" width="23" style="3214" customWidth="1"/>
    <col min="9005" max="9005" width="9" style="3214" customWidth="1"/>
    <col min="9006" max="9216" width="8.88671875" style="3214"/>
    <col min="9217" max="9217" width="30.77734375" style="3214" customWidth="1"/>
    <col min="9218" max="9218" width="7.109375" style="3214" customWidth="1"/>
    <col min="9219" max="9219" width="9" style="3214" customWidth="1"/>
    <col min="9220" max="9220" width="7.109375" style="3214" customWidth="1"/>
    <col min="9221" max="9221" width="5.21875" style="3214" customWidth="1"/>
    <col min="9222" max="9222" width="30.77734375" style="3214" customWidth="1"/>
    <col min="9223" max="9223" width="9" style="3214" customWidth="1"/>
    <col min="9224" max="9224" width="48.6640625" style="3214" customWidth="1"/>
    <col min="9225" max="9225" width="20.33203125" style="3214" customWidth="1"/>
    <col min="9226" max="9227" width="15.88671875" style="3214" customWidth="1"/>
    <col min="9228" max="9228" width="22.77734375" style="3214" customWidth="1"/>
    <col min="9229" max="9231" width="9" style="3214" customWidth="1"/>
    <col min="9232" max="9232" width="11" style="3214" customWidth="1"/>
    <col min="9233" max="9234" width="17.77734375" style="3214" customWidth="1"/>
    <col min="9235" max="9235" width="14.77734375" style="3214" customWidth="1"/>
    <col min="9236" max="9237" width="12.88671875" style="3214" customWidth="1"/>
    <col min="9238" max="9238" width="20.33203125" style="3214" customWidth="1"/>
    <col min="9239" max="9239" width="9" style="3214" customWidth="1"/>
    <col min="9240" max="9243" width="10.21875" style="3214" customWidth="1"/>
    <col min="9244" max="9244" width="22.88671875" style="3214" customWidth="1"/>
    <col min="9245" max="9245" width="9" style="3214" customWidth="1"/>
    <col min="9246" max="9246" width="37.33203125" style="3214" customWidth="1"/>
    <col min="9247" max="9249" width="12.109375" style="3214" customWidth="1"/>
    <col min="9250" max="9251" width="18.21875" style="3214" customWidth="1"/>
    <col min="9252" max="9253" width="16.33203125" style="3214" customWidth="1"/>
    <col min="9254" max="9255" width="25" style="3214" customWidth="1"/>
    <col min="9256" max="9256" width="7.109375" style="3214" customWidth="1"/>
    <col min="9257" max="9257" width="9" style="3214" customWidth="1"/>
    <col min="9258" max="9258" width="19.21875" style="3214" customWidth="1"/>
    <col min="9259" max="9260" width="23" style="3214" customWidth="1"/>
    <col min="9261" max="9261" width="9" style="3214" customWidth="1"/>
    <col min="9262" max="9472" width="8.88671875" style="3214"/>
    <col min="9473" max="9473" width="30.77734375" style="3214" customWidth="1"/>
    <col min="9474" max="9474" width="7.109375" style="3214" customWidth="1"/>
    <col min="9475" max="9475" width="9" style="3214" customWidth="1"/>
    <col min="9476" max="9476" width="7.109375" style="3214" customWidth="1"/>
    <col min="9477" max="9477" width="5.21875" style="3214" customWidth="1"/>
    <col min="9478" max="9478" width="30.77734375" style="3214" customWidth="1"/>
    <col min="9479" max="9479" width="9" style="3214" customWidth="1"/>
    <col min="9480" max="9480" width="48.6640625" style="3214" customWidth="1"/>
    <col min="9481" max="9481" width="20.33203125" style="3214" customWidth="1"/>
    <col min="9482" max="9483" width="15.88671875" style="3214" customWidth="1"/>
    <col min="9484" max="9484" width="22.77734375" style="3214" customWidth="1"/>
    <col min="9485" max="9487" width="9" style="3214" customWidth="1"/>
    <col min="9488" max="9488" width="11" style="3214" customWidth="1"/>
    <col min="9489" max="9490" width="17.77734375" style="3214" customWidth="1"/>
    <col min="9491" max="9491" width="14.77734375" style="3214" customWidth="1"/>
    <col min="9492" max="9493" width="12.88671875" style="3214" customWidth="1"/>
    <col min="9494" max="9494" width="20.33203125" style="3214" customWidth="1"/>
    <col min="9495" max="9495" width="9" style="3214" customWidth="1"/>
    <col min="9496" max="9499" width="10.21875" style="3214" customWidth="1"/>
    <col min="9500" max="9500" width="22.88671875" style="3214" customWidth="1"/>
    <col min="9501" max="9501" width="9" style="3214" customWidth="1"/>
    <col min="9502" max="9502" width="37.33203125" style="3214" customWidth="1"/>
    <col min="9503" max="9505" width="12.109375" style="3214" customWidth="1"/>
    <col min="9506" max="9507" width="18.21875" style="3214" customWidth="1"/>
    <col min="9508" max="9509" width="16.33203125" style="3214" customWidth="1"/>
    <col min="9510" max="9511" width="25" style="3214" customWidth="1"/>
    <col min="9512" max="9512" width="7.109375" style="3214" customWidth="1"/>
    <col min="9513" max="9513" width="9" style="3214" customWidth="1"/>
    <col min="9514" max="9514" width="19.21875" style="3214" customWidth="1"/>
    <col min="9515" max="9516" width="23" style="3214" customWidth="1"/>
    <col min="9517" max="9517" width="9" style="3214" customWidth="1"/>
    <col min="9518" max="9728" width="8.88671875" style="3214"/>
    <col min="9729" max="9729" width="30.77734375" style="3214" customWidth="1"/>
    <col min="9730" max="9730" width="7.109375" style="3214" customWidth="1"/>
    <col min="9731" max="9731" width="9" style="3214" customWidth="1"/>
    <col min="9732" max="9732" width="7.109375" style="3214" customWidth="1"/>
    <col min="9733" max="9733" width="5.21875" style="3214" customWidth="1"/>
    <col min="9734" max="9734" width="30.77734375" style="3214" customWidth="1"/>
    <col min="9735" max="9735" width="9" style="3214" customWidth="1"/>
    <col min="9736" max="9736" width="48.6640625" style="3214" customWidth="1"/>
    <col min="9737" max="9737" width="20.33203125" style="3214" customWidth="1"/>
    <col min="9738" max="9739" width="15.88671875" style="3214" customWidth="1"/>
    <col min="9740" max="9740" width="22.77734375" style="3214" customWidth="1"/>
    <col min="9741" max="9743" width="9" style="3214" customWidth="1"/>
    <col min="9744" max="9744" width="11" style="3214" customWidth="1"/>
    <col min="9745" max="9746" width="17.77734375" style="3214" customWidth="1"/>
    <col min="9747" max="9747" width="14.77734375" style="3214" customWidth="1"/>
    <col min="9748" max="9749" width="12.88671875" style="3214" customWidth="1"/>
    <col min="9750" max="9750" width="20.33203125" style="3214" customWidth="1"/>
    <col min="9751" max="9751" width="9" style="3214" customWidth="1"/>
    <col min="9752" max="9755" width="10.21875" style="3214" customWidth="1"/>
    <col min="9756" max="9756" width="22.88671875" style="3214" customWidth="1"/>
    <col min="9757" max="9757" width="9" style="3214" customWidth="1"/>
    <col min="9758" max="9758" width="37.33203125" style="3214" customWidth="1"/>
    <col min="9759" max="9761" width="12.109375" style="3214" customWidth="1"/>
    <col min="9762" max="9763" width="18.21875" style="3214" customWidth="1"/>
    <col min="9764" max="9765" width="16.33203125" style="3214" customWidth="1"/>
    <col min="9766" max="9767" width="25" style="3214" customWidth="1"/>
    <col min="9768" max="9768" width="7.109375" style="3214" customWidth="1"/>
    <col min="9769" max="9769" width="9" style="3214" customWidth="1"/>
    <col min="9770" max="9770" width="19.21875" style="3214" customWidth="1"/>
    <col min="9771" max="9772" width="23" style="3214" customWidth="1"/>
    <col min="9773" max="9773" width="9" style="3214" customWidth="1"/>
    <col min="9774" max="9984" width="8.88671875" style="3214"/>
    <col min="9985" max="9985" width="30.77734375" style="3214" customWidth="1"/>
    <col min="9986" max="9986" width="7.109375" style="3214" customWidth="1"/>
    <col min="9987" max="9987" width="9" style="3214" customWidth="1"/>
    <col min="9988" max="9988" width="7.109375" style="3214" customWidth="1"/>
    <col min="9989" max="9989" width="5.21875" style="3214" customWidth="1"/>
    <col min="9990" max="9990" width="30.77734375" style="3214" customWidth="1"/>
    <col min="9991" max="9991" width="9" style="3214" customWidth="1"/>
    <col min="9992" max="9992" width="48.6640625" style="3214" customWidth="1"/>
    <col min="9993" max="9993" width="20.33203125" style="3214" customWidth="1"/>
    <col min="9994" max="9995" width="15.88671875" style="3214" customWidth="1"/>
    <col min="9996" max="9996" width="22.77734375" style="3214" customWidth="1"/>
    <col min="9997" max="9999" width="9" style="3214" customWidth="1"/>
    <col min="10000" max="10000" width="11" style="3214" customWidth="1"/>
    <col min="10001" max="10002" width="17.77734375" style="3214" customWidth="1"/>
    <col min="10003" max="10003" width="14.77734375" style="3214" customWidth="1"/>
    <col min="10004" max="10005" width="12.88671875" style="3214" customWidth="1"/>
    <col min="10006" max="10006" width="20.33203125" style="3214" customWidth="1"/>
    <col min="10007" max="10007" width="9" style="3214" customWidth="1"/>
    <col min="10008" max="10011" width="10.21875" style="3214" customWidth="1"/>
    <col min="10012" max="10012" width="22.88671875" style="3214" customWidth="1"/>
    <col min="10013" max="10013" width="9" style="3214" customWidth="1"/>
    <col min="10014" max="10014" width="37.33203125" style="3214" customWidth="1"/>
    <col min="10015" max="10017" width="12.109375" style="3214" customWidth="1"/>
    <col min="10018" max="10019" width="18.21875" style="3214" customWidth="1"/>
    <col min="10020" max="10021" width="16.33203125" style="3214" customWidth="1"/>
    <col min="10022" max="10023" width="25" style="3214" customWidth="1"/>
    <col min="10024" max="10024" width="7.109375" style="3214" customWidth="1"/>
    <col min="10025" max="10025" width="9" style="3214" customWidth="1"/>
    <col min="10026" max="10026" width="19.21875" style="3214" customWidth="1"/>
    <col min="10027" max="10028" width="23" style="3214" customWidth="1"/>
    <col min="10029" max="10029" width="9" style="3214" customWidth="1"/>
    <col min="10030" max="10240" width="8.88671875" style="3214"/>
    <col min="10241" max="10241" width="30.77734375" style="3214" customWidth="1"/>
    <col min="10242" max="10242" width="7.109375" style="3214" customWidth="1"/>
    <col min="10243" max="10243" width="9" style="3214" customWidth="1"/>
    <col min="10244" max="10244" width="7.109375" style="3214" customWidth="1"/>
    <col min="10245" max="10245" width="5.21875" style="3214" customWidth="1"/>
    <col min="10246" max="10246" width="30.77734375" style="3214" customWidth="1"/>
    <col min="10247" max="10247" width="9" style="3214" customWidth="1"/>
    <col min="10248" max="10248" width="48.6640625" style="3214" customWidth="1"/>
    <col min="10249" max="10249" width="20.33203125" style="3214" customWidth="1"/>
    <col min="10250" max="10251" width="15.88671875" style="3214" customWidth="1"/>
    <col min="10252" max="10252" width="22.77734375" style="3214" customWidth="1"/>
    <col min="10253" max="10255" width="9" style="3214" customWidth="1"/>
    <col min="10256" max="10256" width="11" style="3214" customWidth="1"/>
    <col min="10257" max="10258" width="17.77734375" style="3214" customWidth="1"/>
    <col min="10259" max="10259" width="14.77734375" style="3214" customWidth="1"/>
    <col min="10260" max="10261" width="12.88671875" style="3214" customWidth="1"/>
    <col min="10262" max="10262" width="20.33203125" style="3214" customWidth="1"/>
    <col min="10263" max="10263" width="9" style="3214" customWidth="1"/>
    <col min="10264" max="10267" width="10.21875" style="3214" customWidth="1"/>
    <col min="10268" max="10268" width="22.88671875" style="3214" customWidth="1"/>
    <col min="10269" max="10269" width="9" style="3214" customWidth="1"/>
    <col min="10270" max="10270" width="37.33203125" style="3214" customWidth="1"/>
    <col min="10271" max="10273" width="12.109375" style="3214" customWidth="1"/>
    <col min="10274" max="10275" width="18.21875" style="3214" customWidth="1"/>
    <col min="10276" max="10277" width="16.33203125" style="3214" customWidth="1"/>
    <col min="10278" max="10279" width="25" style="3214" customWidth="1"/>
    <col min="10280" max="10280" width="7.109375" style="3214" customWidth="1"/>
    <col min="10281" max="10281" width="9" style="3214" customWidth="1"/>
    <col min="10282" max="10282" width="19.21875" style="3214" customWidth="1"/>
    <col min="10283" max="10284" width="23" style="3214" customWidth="1"/>
    <col min="10285" max="10285" width="9" style="3214" customWidth="1"/>
    <col min="10286" max="10496" width="8.88671875" style="3214"/>
    <col min="10497" max="10497" width="30.77734375" style="3214" customWidth="1"/>
    <col min="10498" max="10498" width="7.109375" style="3214" customWidth="1"/>
    <col min="10499" max="10499" width="9" style="3214" customWidth="1"/>
    <col min="10500" max="10500" width="7.109375" style="3214" customWidth="1"/>
    <col min="10501" max="10501" width="5.21875" style="3214" customWidth="1"/>
    <col min="10502" max="10502" width="30.77734375" style="3214" customWidth="1"/>
    <col min="10503" max="10503" width="9" style="3214" customWidth="1"/>
    <col min="10504" max="10504" width="48.6640625" style="3214" customWidth="1"/>
    <col min="10505" max="10505" width="20.33203125" style="3214" customWidth="1"/>
    <col min="10506" max="10507" width="15.88671875" style="3214" customWidth="1"/>
    <col min="10508" max="10508" width="22.77734375" style="3214" customWidth="1"/>
    <col min="10509" max="10511" width="9" style="3214" customWidth="1"/>
    <col min="10512" max="10512" width="11" style="3214" customWidth="1"/>
    <col min="10513" max="10514" width="17.77734375" style="3214" customWidth="1"/>
    <col min="10515" max="10515" width="14.77734375" style="3214" customWidth="1"/>
    <col min="10516" max="10517" width="12.88671875" style="3214" customWidth="1"/>
    <col min="10518" max="10518" width="20.33203125" style="3214" customWidth="1"/>
    <col min="10519" max="10519" width="9" style="3214" customWidth="1"/>
    <col min="10520" max="10523" width="10.21875" style="3214" customWidth="1"/>
    <col min="10524" max="10524" width="22.88671875" style="3214" customWidth="1"/>
    <col min="10525" max="10525" width="9" style="3214" customWidth="1"/>
    <col min="10526" max="10526" width="37.33203125" style="3214" customWidth="1"/>
    <col min="10527" max="10529" width="12.109375" style="3214" customWidth="1"/>
    <col min="10530" max="10531" width="18.21875" style="3214" customWidth="1"/>
    <col min="10532" max="10533" width="16.33203125" style="3214" customWidth="1"/>
    <col min="10534" max="10535" width="25" style="3214" customWidth="1"/>
    <col min="10536" max="10536" width="7.109375" style="3214" customWidth="1"/>
    <col min="10537" max="10537" width="9" style="3214" customWidth="1"/>
    <col min="10538" max="10538" width="19.21875" style="3214" customWidth="1"/>
    <col min="10539" max="10540" width="23" style="3214" customWidth="1"/>
    <col min="10541" max="10541" width="9" style="3214" customWidth="1"/>
    <col min="10542" max="10752" width="8.88671875" style="3214"/>
    <col min="10753" max="10753" width="30.77734375" style="3214" customWidth="1"/>
    <col min="10754" max="10754" width="7.109375" style="3214" customWidth="1"/>
    <col min="10755" max="10755" width="9" style="3214" customWidth="1"/>
    <col min="10756" max="10756" width="7.109375" style="3214" customWidth="1"/>
    <col min="10757" max="10757" width="5.21875" style="3214" customWidth="1"/>
    <col min="10758" max="10758" width="30.77734375" style="3214" customWidth="1"/>
    <col min="10759" max="10759" width="9" style="3214" customWidth="1"/>
    <col min="10760" max="10760" width="48.6640625" style="3214" customWidth="1"/>
    <col min="10761" max="10761" width="20.33203125" style="3214" customWidth="1"/>
    <col min="10762" max="10763" width="15.88671875" style="3214" customWidth="1"/>
    <col min="10764" max="10764" width="22.77734375" style="3214" customWidth="1"/>
    <col min="10765" max="10767" width="9" style="3214" customWidth="1"/>
    <col min="10768" max="10768" width="11" style="3214" customWidth="1"/>
    <col min="10769" max="10770" width="17.77734375" style="3214" customWidth="1"/>
    <col min="10771" max="10771" width="14.77734375" style="3214" customWidth="1"/>
    <col min="10772" max="10773" width="12.88671875" style="3214" customWidth="1"/>
    <col min="10774" max="10774" width="20.33203125" style="3214" customWidth="1"/>
    <col min="10775" max="10775" width="9" style="3214" customWidth="1"/>
    <col min="10776" max="10779" width="10.21875" style="3214" customWidth="1"/>
    <col min="10780" max="10780" width="22.88671875" style="3214" customWidth="1"/>
    <col min="10781" max="10781" width="9" style="3214" customWidth="1"/>
    <col min="10782" max="10782" width="37.33203125" style="3214" customWidth="1"/>
    <col min="10783" max="10785" width="12.109375" style="3214" customWidth="1"/>
    <col min="10786" max="10787" width="18.21875" style="3214" customWidth="1"/>
    <col min="10788" max="10789" width="16.33203125" style="3214" customWidth="1"/>
    <col min="10790" max="10791" width="25" style="3214" customWidth="1"/>
    <col min="10792" max="10792" width="7.109375" style="3214" customWidth="1"/>
    <col min="10793" max="10793" width="9" style="3214" customWidth="1"/>
    <col min="10794" max="10794" width="19.21875" style="3214" customWidth="1"/>
    <col min="10795" max="10796" width="23" style="3214" customWidth="1"/>
    <col min="10797" max="10797" width="9" style="3214" customWidth="1"/>
    <col min="10798" max="11008" width="8.88671875" style="3214"/>
    <col min="11009" max="11009" width="30.77734375" style="3214" customWidth="1"/>
    <col min="11010" max="11010" width="7.109375" style="3214" customWidth="1"/>
    <col min="11011" max="11011" width="9" style="3214" customWidth="1"/>
    <col min="11012" max="11012" width="7.109375" style="3214" customWidth="1"/>
    <col min="11013" max="11013" width="5.21875" style="3214" customWidth="1"/>
    <col min="11014" max="11014" width="30.77734375" style="3214" customWidth="1"/>
    <col min="11015" max="11015" width="9" style="3214" customWidth="1"/>
    <col min="11016" max="11016" width="48.6640625" style="3214" customWidth="1"/>
    <col min="11017" max="11017" width="20.33203125" style="3214" customWidth="1"/>
    <col min="11018" max="11019" width="15.88671875" style="3214" customWidth="1"/>
    <col min="11020" max="11020" width="22.77734375" style="3214" customWidth="1"/>
    <col min="11021" max="11023" width="9" style="3214" customWidth="1"/>
    <col min="11024" max="11024" width="11" style="3214" customWidth="1"/>
    <col min="11025" max="11026" width="17.77734375" style="3214" customWidth="1"/>
    <col min="11027" max="11027" width="14.77734375" style="3214" customWidth="1"/>
    <col min="11028" max="11029" width="12.88671875" style="3214" customWidth="1"/>
    <col min="11030" max="11030" width="20.33203125" style="3214" customWidth="1"/>
    <col min="11031" max="11031" width="9" style="3214" customWidth="1"/>
    <col min="11032" max="11035" width="10.21875" style="3214" customWidth="1"/>
    <col min="11036" max="11036" width="22.88671875" style="3214" customWidth="1"/>
    <col min="11037" max="11037" width="9" style="3214" customWidth="1"/>
    <col min="11038" max="11038" width="37.33203125" style="3214" customWidth="1"/>
    <col min="11039" max="11041" width="12.109375" style="3214" customWidth="1"/>
    <col min="11042" max="11043" width="18.21875" style="3214" customWidth="1"/>
    <col min="11044" max="11045" width="16.33203125" style="3214" customWidth="1"/>
    <col min="11046" max="11047" width="25" style="3214" customWidth="1"/>
    <col min="11048" max="11048" width="7.109375" style="3214" customWidth="1"/>
    <col min="11049" max="11049" width="9" style="3214" customWidth="1"/>
    <col min="11050" max="11050" width="19.21875" style="3214" customWidth="1"/>
    <col min="11051" max="11052" width="23" style="3214" customWidth="1"/>
    <col min="11053" max="11053" width="9" style="3214" customWidth="1"/>
    <col min="11054" max="11264" width="8.88671875" style="3214"/>
    <col min="11265" max="11265" width="30.77734375" style="3214" customWidth="1"/>
    <col min="11266" max="11266" width="7.109375" style="3214" customWidth="1"/>
    <col min="11267" max="11267" width="9" style="3214" customWidth="1"/>
    <col min="11268" max="11268" width="7.109375" style="3214" customWidth="1"/>
    <col min="11269" max="11269" width="5.21875" style="3214" customWidth="1"/>
    <col min="11270" max="11270" width="30.77734375" style="3214" customWidth="1"/>
    <col min="11271" max="11271" width="9" style="3214" customWidth="1"/>
    <col min="11272" max="11272" width="48.6640625" style="3214" customWidth="1"/>
    <col min="11273" max="11273" width="20.33203125" style="3214" customWidth="1"/>
    <col min="11274" max="11275" width="15.88671875" style="3214" customWidth="1"/>
    <col min="11276" max="11276" width="22.77734375" style="3214" customWidth="1"/>
    <col min="11277" max="11279" width="9" style="3214" customWidth="1"/>
    <col min="11280" max="11280" width="11" style="3214" customWidth="1"/>
    <col min="11281" max="11282" width="17.77734375" style="3214" customWidth="1"/>
    <col min="11283" max="11283" width="14.77734375" style="3214" customWidth="1"/>
    <col min="11284" max="11285" width="12.88671875" style="3214" customWidth="1"/>
    <col min="11286" max="11286" width="20.33203125" style="3214" customWidth="1"/>
    <col min="11287" max="11287" width="9" style="3214" customWidth="1"/>
    <col min="11288" max="11291" width="10.21875" style="3214" customWidth="1"/>
    <col min="11292" max="11292" width="22.88671875" style="3214" customWidth="1"/>
    <col min="11293" max="11293" width="9" style="3214" customWidth="1"/>
    <col min="11294" max="11294" width="37.33203125" style="3214" customWidth="1"/>
    <col min="11295" max="11297" width="12.109375" style="3214" customWidth="1"/>
    <col min="11298" max="11299" width="18.21875" style="3214" customWidth="1"/>
    <col min="11300" max="11301" width="16.33203125" style="3214" customWidth="1"/>
    <col min="11302" max="11303" width="25" style="3214" customWidth="1"/>
    <col min="11304" max="11304" width="7.109375" style="3214" customWidth="1"/>
    <col min="11305" max="11305" width="9" style="3214" customWidth="1"/>
    <col min="11306" max="11306" width="19.21875" style="3214" customWidth="1"/>
    <col min="11307" max="11308" width="23" style="3214" customWidth="1"/>
    <col min="11309" max="11309" width="9" style="3214" customWidth="1"/>
    <col min="11310" max="11520" width="8.88671875" style="3214"/>
    <col min="11521" max="11521" width="30.77734375" style="3214" customWidth="1"/>
    <col min="11522" max="11522" width="7.109375" style="3214" customWidth="1"/>
    <col min="11523" max="11523" width="9" style="3214" customWidth="1"/>
    <col min="11524" max="11524" width="7.109375" style="3214" customWidth="1"/>
    <col min="11525" max="11525" width="5.21875" style="3214" customWidth="1"/>
    <col min="11526" max="11526" width="30.77734375" style="3214" customWidth="1"/>
    <col min="11527" max="11527" width="9" style="3214" customWidth="1"/>
    <col min="11528" max="11528" width="48.6640625" style="3214" customWidth="1"/>
    <col min="11529" max="11529" width="20.33203125" style="3214" customWidth="1"/>
    <col min="11530" max="11531" width="15.88671875" style="3214" customWidth="1"/>
    <col min="11532" max="11532" width="22.77734375" style="3214" customWidth="1"/>
    <col min="11533" max="11535" width="9" style="3214" customWidth="1"/>
    <col min="11536" max="11536" width="11" style="3214" customWidth="1"/>
    <col min="11537" max="11538" width="17.77734375" style="3214" customWidth="1"/>
    <col min="11539" max="11539" width="14.77734375" style="3214" customWidth="1"/>
    <col min="11540" max="11541" width="12.88671875" style="3214" customWidth="1"/>
    <col min="11542" max="11542" width="20.33203125" style="3214" customWidth="1"/>
    <col min="11543" max="11543" width="9" style="3214" customWidth="1"/>
    <col min="11544" max="11547" width="10.21875" style="3214" customWidth="1"/>
    <col min="11548" max="11548" width="22.88671875" style="3214" customWidth="1"/>
    <col min="11549" max="11549" width="9" style="3214" customWidth="1"/>
    <col min="11550" max="11550" width="37.33203125" style="3214" customWidth="1"/>
    <col min="11551" max="11553" width="12.109375" style="3214" customWidth="1"/>
    <col min="11554" max="11555" width="18.21875" style="3214" customWidth="1"/>
    <col min="11556" max="11557" width="16.33203125" style="3214" customWidth="1"/>
    <col min="11558" max="11559" width="25" style="3214" customWidth="1"/>
    <col min="11560" max="11560" width="7.109375" style="3214" customWidth="1"/>
    <col min="11561" max="11561" width="9" style="3214" customWidth="1"/>
    <col min="11562" max="11562" width="19.21875" style="3214" customWidth="1"/>
    <col min="11563" max="11564" width="23" style="3214" customWidth="1"/>
    <col min="11565" max="11565" width="9" style="3214" customWidth="1"/>
    <col min="11566" max="11776" width="8.88671875" style="3214"/>
    <col min="11777" max="11777" width="30.77734375" style="3214" customWidth="1"/>
    <col min="11778" max="11778" width="7.109375" style="3214" customWidth="1"/>
    <col min="11779" max="11779" width="9" style="3214" customWidth="1"/>
    <col min="11780" max="11780" width="7.109375" style="3214" customWidth="1"/>
    <col min="11781" max="11781" width="5.21875" style="3214" customWidth="1"/>
    <col min="11782" max="11782" width="30.77734375" style="3214" customWidth="1"/>
    <col min="11783" max="11783" width="9" style="3214" customWidth="1"/>
    <col min="11784" max="11784" width="48.6640625" style="3214" customWidth="1"/>
    <col min="11785" max="11785" width="20.33203125" style="3214" customWidth="1"/>
    <col min="11786" max="11787" width="15.88671875" style="3214" customWidth="1"/>
    <col min="11788" max="11788" width="22.77734375" style="3214" customWidth="1"/>
    <col min="11789" max="11791" width="9" style="3214" customWidth="1"/>
    <col min="11792" max="11792" width="11" style="3214" customWidth="1"/>
    <col min="11793" max="11794" width="17.77734375" style="3214" customWidth="1"/>
    <col min="11795" max="11795" width="14.77734375" style="3214" customWidth="1"/>
    <col min="11796" max="11797" width="12.88671875" style="3214" customWidth="1"/>
    <col min="11798" max="11798" width="20.33203125" style="3214" customWidth="1"/>
    <col min="11799" max="11799" width="9" style="3214" customWidth="1"/>
    <col min="11800" max="11803" width="10.21875" style="3214" customWidth="1"/>
    <col min="11804" max="11804" width="22.88671875" style="3214" customWidth="1"/>
    <col min="11805" max="11805" width="9" style="3214" customWidth="1"/>
    <col min="11806" max="11806" width="37.33203125" style="3214" customWidth="1"/>
    <col min="11807" max="11809" width="12.109375" style="3214" customWidth="1"/>
    <col min="11810" max="11811" width="18.21875" style="3214" customWidth="1"/>
    <col min="11812" max="11813" width="16.33203125" style="3214" customWidth="1"/>
    <col min="11814" max="11815" width="25" style="3214" customWidth="1"/>
    <col min="11816" max="11816" width="7.109375" style="3214" customWidth="1"/>
    <col min="11817" max="11817" width="9" style="3214" customWidth="1"/>
    <col min="11818" max="11818" width="19.21875" style="3214" customWidth="1"/>
    <col min="11819" max="11820" width="23" style="3214" customWidth="1"/>
    <col min="11821" max="11821" width="9" style="3214" customWidth="1"/>
    <col min="11822" max="12032" width="8.88671875" style="3214"/>
    <col min="12033" max="12033" width="30.77734375" style="3214" customWidth="1"/>
    <col min="12034" max="12034" width="7.109375" style="3214" customWidth="1"/>
    <col min="12035" max="12035" width="9" style="3214" customWidth="1"/>
    <col min="12036" max="12036" width="7.109375" style="3214" customWidth="1"/>
    <col min="12037" max="12037" width="5.21875" style="3214" customWidth="1"/>
    <col min="12038" max="12038" width="30.77734375" style="3214" customWidth="1"/>
    <col min="12039" max="12039" width="9" style="3214" customWidth="1"/>
    <col min="12040" max="12040" width="48.6640625" style="3214" customWidth="1"/>
    <col min="12041" max="12041" width="20.33203125" style="3214" customWidth="1"/>
    <col min="12042" max="12043" width="15.88671875" style="3214" customWidth="1"/>
    <col min="12044" max="12044" width="22.77734375" style="3214" customWidth="1"/>
    <col min="12045" max="12047" width="9" style="3214" customWidth="1"/>
    <col min="12048" max="12048" width="11" style="3214" customWidth="1"/>
    <col min="12049" max="12050" width="17.77734375" style="3214" customWidth="1"/>
    <col min="12051" max="12051" width="14.77734375" style="3214" customWidth="1"/>
    <col min="12052" max="12053" width="12.88671875" style="3214" customWidth="1"/>
    <col min="12054" max="12054" width="20.33203125" style="3214" customWidth="1"/>
    <col min="12055" max="12055" width="9" style="3214" customWidth="1"/>
    <col min="12056" max="12059" width="10.21875" style="3214" customWidth="1"/>
    <col min="12060" max="12060" width="22.88671875" style="3214" customWidth="1"/>
    <col min="12061" max="12061" width="9" style="3214" customWidth="1"/>
    <col min="12062" max="12062" width="37.33203125" style="3214" customWidth="1"/>
    <col min="12063" max="12065" width="12.109375" style="3214" customWidth="1"/>
    <col min="12066" max="12067" width="18.21875" style="3214" customWidth="1"/>
    <col min="12068" max="12069" width="16.33203125" style="3214" customWidth="1"/>
    <col min="12070" max="12071" width="25" style="3214" customWidth="1"/>
    <col min="12072" max="12072" width="7.109375" style="3214" customWidth="1"/>
    <col min="12073" max="12073" width="9" style="3214" customWidth="1"/>
    <col min="12074" max="12074" width="19.21875" style="3214" customWidth="1"/>
    <col min="12075" max="12076" width="23" style="3214" customWidth="1"/>
    <col min="12077" max="12077" width="9" style="3214" customWidth="1"/>
    <col min="12078" max="12288" width="8.88671875" style="3214"/>
    <col min="12289" max="12289" width="30.77734375" style="3214" customWidth="1"/>
    <col min="12290" max="12290" width="7.109375" style="3214" customWidth="1"/>
    <col min="12291" max="12291" width="9" style="3214" customWidth="1"/>
    <col min="12292" max="12292" width="7.109375" style="3214" customWidth="1"/>
    <col min="12293" max="12293" width="5.21875" style="3214" customWidth="1"/>
    <col min="12294" max="12294" width="30.77734375" style="3214" customWidth="1"/>
    <col min="12295" max="12295" width="9" style="3214" customWidth="1"/>
    <col min="12296" max="12296" width="48.6640625" style="3214" customWidth="1"/>
    <col min="12297" max="12297" width="20.33203125" style="3214" customWidth="1"/>
    <col min="12298" max="12299" width="15.88671875" style="3214" customWidth="1"/>
    <col min="12300" max="12300" width="22.77734375" style="3214" customWidth="1"/>
    <col min="12301" max="12303" width="9" style="3214" customWidth="1"/>
    <col min="12304" max="12304" width="11" style="3214" customWidth="1"/>
    <col min="12305" max="12306" width="17.77734375" style="3214" customWidth="1"/>
    <col min="12307" max="12307" width="14.77734375" style="3214" customWidth="1"/>
    <col min="12308" max="12309" width="12.88671875" style="3214" customWidth="1"/>
    <col min="12310" max="12310" width="20.33203125" style="3214" customWidth="1"/>
    <col min="12311" max="12311" width="9" style="3214" customWidth="1"/>
    <col min="12312" max="12315" width="10.21875" style="3214" customWidth="1"/>
    <col min="12316" max="12316" width="22.88671875" style="3214" customWidth="1"/>
    <col min="12317" max="12317" width="9" style="3214" customWidth="1"/>
    <col min="12318" max="12318" width="37.33203125" style="3214" customWidth="1"/>
    <col min="12319" max="12321" width="12.109375" style="3214" customWidth="1"/>
    <col min="12322" max="12323" width="18.21875" style="3214" customWidth="1"/>
    <col min="12324" max="12325" width="16.33203125" style="3214" customWidth="1"/>
    <col min="12326" max="12327" width="25" style="3214" customWidth="1"/>
    <col min="12328" max="12328" width="7.109375" style="3214" customWidth="1"/>
    <col min="12329" max="12329" width="9" style="3214" customWidth="1"/>
    <col min="12330" max="12330" width="19.21875" style="3214" customWidth="1"/>
    <col min="12331" max="12332" width="23" style="3214" customWidth="1"/>
    <col min="12333" max="12333" width="9" style="3214" customWidth="1"/>
    <col min="12334" max="12544" width="8.88671875" style="3214"/>
    <col min="12545" max="12545" width="30.77734375" style="3214" customWidth="1"/>
    <col min="12546" max="12546" width="7.109375" style="3214" customWidth="1"/>
    <col min="12547" max="12547" width="9" style="3214" customWidth="1"/>
    <col min="12548" max="12548" width="7.109375" style="3214" customWidth="1"/>
    <col min="12549" max="12549" width="5.21875" style="3214" customWidth="1"/>
    <col min="12550" max="12550" width="30.77734375" style="3214" customWidth="1"/>
    <col min="12551" max="12551" width="9" style="3214" customWidth="1"/>
    <col min="12552" max="12552" width="48.6640625" style="3214" customWidth="1"/>
    <col min="12553" max="12553" width="20.33203125" style="3214" customWidth="1"/>
    <col min="12554" max="12555" width="15.88671875" style="3214" customWidth="1"/>
    <col min="12556" max="12556" width="22.77734375" style="3214" customWidth="1"/>
    <col min="12557" max="12559" width="9" style="3214" customWidth="1"/>
    <col min="12560" max="12560" width="11" style="3214" customWidth="1"/>
    <col min="12561" max="12562" width="17.77734375" style="3214" customWidth="1"/>
    <col min="12563" max="12563" width="14.77734375" style="3214" customWidth="1"/>
    <col min="12564" max="12565" width="12.88671875" style="3214" customWidth="1"/>
    <col min="12566" max="12566" width="20.33203125" style="3214" customWidth="1"/>
    <col min="12567" max="12567" width="9" style="3214" customWidth="1"/>
    <col min="12568" max="12571" width="10.21875" style="3214" customWidth="1"/>
    <col min="12572" max="12572" width="22.88671875" style="3214" customWidth="1"/>
    <col min="12573" max="12573" width="9" style="3214" customWidth="1"/>
    <col min="12574" max="12574" width="37.33203125" style="3214" customWidth="1"/>
    <col min="12575" max="12577" width="12.109375" style="3214" customWidth="1"/>
    <col min="12578" max="12579" width="18.21875" style="3214" customWidth="1"/>
    <col min="12580" max="12581" width="16.33203125" style="3214" customWidth="1"/>
    <col min="12582" max="12583" width="25" style="3214" customWidth="1"/>
    <col min="12584" max="12584" width="7.109375" style="3214" customWidth="1"/>
    <col min="12585" max="12585" width="9" style="3214" customWidth="1"/>
    <col min="12586" max="12586" width="19.21875" style="3214" customWidth="1"/>
    <col min="12587" max="12588" width="23" style="3214" customWidth="1"/>
    <col min="12589" max="12589" width="9" style="3214" customWidth="1"/>
    <col min="12590" max="12800" width="8.88671875" style="3214"/>
    <col min="12801" max="12801" width="30.77734375" style="3214" customWidth="1"/>
    <col min="12802" max="12802" width="7.109375" style="3214" customWidth="1"/>
    <col min="12803" max="12803" width="9" style="3214" customWidth="1"/>
    <col min="12804" max="12804" width="7.109375" style="3214" customWidth="1"/>
    <col min="12805" max="12805" width="5.21875" style="3214" customWidth="1"/>
    <col min="12806" max="12806" width="30.77734375" style="3214" customWidth="1"/>
    <col min="12807" max="12807" width="9" style="3214" customWidth="1"/>
    <col min="12808" max="12808" width="48.6640625" style="3214" customWidth="1"/>
    <col min="12809" max="12809" width="20.33203125" style="3214" customWidth="1"/>
    <col min="12810" max="12811" width="15.88671875" style="3214" customWidth="1"/>
    <col min="12812" max="12812" width="22.77734375" style="3214" customWidth="1"/>
    <col min="12813" max="12815" width="9" style="3214" customWidth="1"/>
    <col min="12816" max="12816" width="11" style="3214" customWidth="1"/>
    <col min="12817" max="12818" width="17.77734375" style="3214" customWidth="1"/>
    <col min="12819" max="12819" width="14.77734375" style="3214" customWidth="1"/>
    <col min="12820" max="12821" width="12.88671875" style="3214" customWidth="1"/>
    <col min="12822" max="12822" width="20.33203125" style="3214" customWidth="1"/>
    <col min="12823" max="12823" width="9" style="3214" customWidth="1"/>
    <col min="12824" max="12827" width="10.21875" style="3214" customWidth="1"/>
    <col min="12828" max="12828" width="22.88671875" style="3214" customWidth="1"/>
    <col min="12829" max="12829" width="9" style="3214" customWidth="1"/>
    <col min="12830" max="12830" width="37.33203125" style="3214" customWidth="1"/>
    <col min="12831" max="12833" width="12.109375" style="3214" customWidth="1"/>
    <col min="12834" max="12835" width="18.21875" style="3214" customWidth="1"/>
    <col min="12836" max="12837" width="16.33203125" style="3214" customWidth="1"/>
    <col min="12838" max="12839" width="25" style="3214" customWidth="1"/>
    <col min="12840" max="12840" width="7.109375" style="3214" customWidth="1"/>
    <col min="12841" max="12841" width="9" style="3214" customWidth="1"/>
    <col min="12842" max="12842" width="19.21875" style="3214" customWidth="1"/>
    <col min="12843" max="12844" width="23" style="3214" customWidth="1"/>
    <col min="12845" max="12845" width="9" style="3214" customWidth="1"/>
    <col min="12846" max="13056" width="8.88671875" style="3214"/>
    <col min="13057" max="13057" width="30.77734375" style="3214" customWidth="1"/>
    <col min="13058" max="13058" width="7.109375" style="3214" customWidth="1"/>
    <col min="13059" max="13059" width="9" style="3214" customWidth="1"/>
    <col min="13060" max="13060" width="7.109375" style="3214" customWidth="1"/>
    <col min="13061" max="13061" width="5.21875" style="3214" customWidth="1"/>
    <col min="13062" max="13062" width="30.77734375" style="3214" customWidth="1"/>
    <col min="13063" max="13063" width="9" style="3214" customWidth="1"/>
    <col min="13064" max="13064" width="48.6640625" style="3214" customWidth="1"/>
    <col min="13065" max="13065" width="20.33203125" style="3214" customWidth="1"/>
    <col min="13066" max="13067" width="15.88671875" style="3214" customWidth="1"/>
    <col min="13068" max="13068" width="22.77734375" style="3214" customWidth="1"/>
    <col min="13069" max="13071" width="9" style="3214" customWidth="1"/>
    <col min="13072" max="13072" width="11" style="3214" customWidth="1"/>
    <col min="13073" max="13074" width="17.77734375" style="3214" customWidth="1"/>
    <col min="13075" max="13075" width="14.77734375" style="3214" customWidth="1"/>
    <col min="13076" max="13077" width="12.88671875" style="3214" customWidth="1"/>
    <col min="13078" max="13078" width="20.33203125" style="3214" customWidth="1"/>
    <col min="13079" max="13079" width="9" style="3214" customWidth="1"/>
    <col min="13080" max="13083" width="10.21875" style="3214" customWidth="1"/>
    <col min="13084" max="13084" width="22.88671875" style="3214" customWidth="1"/>
    <col min="13085" max="13085" width="9" style="3214" customWidth="1"/>
    <col min="13086" max="13086" width="37.33203125" style="3214" customWidth="1"/>
    <col min="13087" max="13089" width="12.109375" style="3214" customWidth="1"/>
    <col min="13090" max="13091" width="18.21875" style="3214" customWidth="1"/>
    <col min="13092" max="13093" width="16.33203125" style="3214" customWidth="1"/>
    <col min="13094" max="13095" width="25" style="3214" customWidth="1"/>
    <col min="13096" max="13096" width="7.109375" style="3214" customWidth="1"/>
    <col min="13097" max="13097" width="9" style="3214" customWidth="1"/>
    <col min="13098" max="13098" width="19.21875" style="3214" customWidth="1"/>
    <col min="13099" max="13100" width="23" style="3214" customWidth="1"/>
    <col min="13101" max="13101" width="9" style="3214" customWidth="1"/>
    <col min="13102" max="13312" width="8.88671875" style="3214"/>
    <col min="13313" max="13313" width="30.77734375" style="3214" customWidth="1"/>
    <col min="13314" max="13314" width="7.109375" style="3214" customWidth="1"/>
    <col min="13315" max="13315" width="9" style="3214" customWidth="1"/>
    <col min="13316" max="13316" width="7.109375" style="3214" customWidth="1"/>
    <col min="13317" max="13317" width="5.21875" style="3214" customWidth="1"/>
    <col min="13318" max="13318" width="30.77734375" style="3214" customWidth="1"/>
    <col min="13319" max="13319" width="9" style="3214" customWidth="1"/>
    <col min="13320" max="13320" width="48.6640625" style="3214" customWidth="1"/>
    <col min="13321" max="13321" width="20.33203125" style="3214" customWidth="1"/>
    <col min="13322" max="13323" width="15.88671875" style="3214" customWidth="1"/>
    <col min="13324" max="13324" width="22.77734375" style="3214" customWidth="1"/>
    <col min="13325" max="13327" width="9" style="3214" customWidth="1"/>
    <col min="13328" max="13328" width="11" style="3214" customWidth="1"/>
    <col min="13329" max="13330" width="17.77734375" style="3214" customWidth="1"/>
    <col min="13331" max="13331" width="14.77734375" style="3214" customWidth="1"/>
    <col min="13332" max="13333" width="12.88671875" style="3214" customWidth="1"/>
    <col min="13334" max="13334" width="20.33203125" style="3214" customWidth="1"/>
    <col min="13335" max="13335" width="9" style="3214" customWidth="1"/>
    <col min="13336" max="13339" width="10.21875" style="3214" customWidth="1"/>
    <col min="13340" max="13340" width="22.88671875" style="3214" customWidth="1"/>
    <col min="13341" max="13341" width="9" style="3214" customWidth="1"/>
    <col min="13342" max="13342" width="37.33203125" style="3214" customWidth="1"/>
    <col min="13343" max="13345" width="12.109375" style="3214" customWidth="1"/>
    <col min="13346" max="13347" width="18.21875" style="3214" customWidth="1"/>
    <col min="13348" max="13349" width="16.33203125" style="3214" customWidth="1"/>
    <col min="13350" max="13351" width="25" style="3214" customWidth="1"/>
    <col min="13352" max="13352" width="7.109375" style="3214" customWidth="1"/>
    <col min="13353" max="13353" width="9" style="3214" customWidth="1"/>
    <col min="13354" max="13354" width="19.21875" style="3214" customWidth="1"/>
    <col min="13355" max="13356" width="23" style="3214" customWidth="1"/>
    <col min="13357" max="13357" width="9" style="3214" customWidth="1"/>
    <col min="13358" max="13568" width="8.88671875" style="3214"/>
    <col min="13569" max="13569" width="30.77734375" style="3214" customWidth="1"/>
    <col min="13570" max="13570" width="7.109375" style="3214" customWidth="1"/>
    <col min="13571" max="13571" width="9" style="3214" customWidth="1"/>
    <col min="13572" max="13572" width="7.109375" style="3214" customWidth="1"/>
    <col min="13573" max="13573" width="5.21875" style="3214" customWidth="1"/>
    <col min="13574" max="13574" width="30.77734375" style="3214" customWidth="1"/>
    <col min="13575" max="13575" width="9" style="3214" customWidth="1"/>
    <col min="13576" max="13576" width="48.6640625" style="3214" customWidth="1"/>
    <col min="13577" max="13577" width="20.33203125" style="3214" customWidth="1"/>
    <col min="13578" max="13579" width="15.88671875" style="3214" customWidth="1"/>
    <col min="13580" max="13580" width="22.77734375" style="3214" customWidth="1"/>
    <col min="13581" max="13583" width="9" style="3214" customWidth="1"/>
    <col min="13584" max="13584" width="11" style="3214" customWidth="1"/>
    <col min="13585" max="13586" width="17.77734375" style="3214" customWidth="1"/>
    <col min="13587" max="13587" width="14.77734375" style="3214" customWidth="1"/>
    <col min="13588" max="13589" width="12.88671875" style="3214" customWidth="1"/>
    <col min="13590" max="13590" width="20.33203125" style="3214" customWidth="1"/>
    <col min="13591" max="13591" width="9" style="3214" customWidth="1"/>
    <col min="13592" max="13595" width="10.21875" style="3214" customWidth="1"/>
    <col min="13596" max="13596" width="22.88671875" style="3214" customWidth="1"/>
    <col min="13597" max="13597" width="9" style="3214" customWidth="1"/>
    <col min="13598" max="13598" width="37.33203125" style="3214" customWidth="1"/>
    <col min="13599" max="13601" width="12.109375" style="3214" customWidth="1"/>
    <col min="13602" max="13603" width="18.21875" style="3214" customWidth="1"/>
    <col min="13604" max="13605" width="16.33203125" style="3214" customWidth="1"/>
    <col min="13606" max="13607" width="25" style="3214" customWidth="1"/>
    <col min="13608" max="13608" width="7.109375" style="3214" customWidth="1"/>
    <col min="13609" max="13609" width="9" style="3214" customWidth="1"/>
    <col min="13610" max="13610" width="19.21875" style="3214" customWidth="1"/>
    <col min="13611" max="13612" width="23" style="3214" customWidth="1"/>
    <col min="13613" max="13613" width="9" style="3214" customWidth="1"/>
    <col min="13614" max="13824" width="8.88671875" style="3214"/>
    <col min="13825" max="13825" width="30.77734375" style="3214" customWidth="1"/>
    <col min="13826" max="13826" width="7.109375" style="3214" customWidth="1"/>
    <col min="13827" max="13827" width="9" style="3214" customWidth="1"/>
    <col min="13828" max="13828" width="7.109375" style="3214" customWidth="1"/>
    <col min="13829" max="13829" width="5.21875" style="3214" customWidth="1"/>
    <col min="13830" max="13830" width="30.77734375" style="3214" customWidth="1"/>
    <col min="13831" max="13831" width="9" style="3214" customWidth="1"/>
    <col min="13832" max="13832" width="48.6640625" style="3214" customWidth="1"/>
    <col min="13833" max="13833" width="20.33203125" style="3214" customWidth="1"/>
    <col min="13834" max="13835" width="15.88671875" style="3214" customWidth="1"/>
    <col min="13836" max="13836" width="22.77734375" style="3214" customWidth="1"/>
    <col min="13837" max="13839" width="9" style="3214" customWidth="1"/>
    <col min="13840" max="13840" width="11" style="3214" customWidth="1"/>
    <col min="13841" max="13842" width="17.77734375" style="3214" customWidth="1"/>
    <col min="13843" max="13843" width="14.77734375" style="3214" customWidth="1"/>
    <col min="13844" max="13845" width="12.88671875" style="3214" customWidth="1"/>
    <col min="13846" max="13846" width="20.33203125" style="3214" customWidth="1"/>
    <col min="13847" max="13847" width="9" style="3214" customWidth="1"/>
    <col min="13848" max="13851" width="10.21875" style="3214" customWidth="1"/>
    <col min="13852" max="13852" width="22.88671875" style="3214" customWidth="1"/>
    <col min="13853" max="13853" width="9" style="3214" customWidth="1"/>
    <col min="13854" max="13854" width="37.33203125" style="3214" customWidth="1"/>
    <col min="13855" max="13857" width="12.109375" style="3214" customWidth="1"/>
    <col min="13858" max="13859" width="18.21875" style="3214" customWidth="1"/>
    <col min="13860" max="13861" width="16.33203125" style="3214" customWidth="1"/>
    <col min="13862" max="13863" width="25" style="3214" customWidth="1"/>
    <col min="13864" max="13864" width="7.109375" style="3214" customWidth="1"/>
    <col min="13865" max="13865" width="9" style="3214" customWidth="1"/>
    <col min="13866" max="13866" width="19.21875" style="3214" customWidth="1"/>
    <col min="13867" max="13868" width="23" style="3214" customWidth="1"/>
    <col min="13869" max="13869" width="9" style="3214" customWidth="1"/>
    <col min="13870" max="14080" width="8.88671875" style="3214"/>
    <col min="14081" max="14081" width="30.77734375" style="3214" customWidth="1"/>
    <col min="14082" max="14082" width="7.109375" style="3214" customWidth="1"/>
    <col min="14083" max="14083" width="9" style="3214" customWidth="1"/>
    <col min="14084" max="14084" width="7.109375" style="3214" customWidth="1"/>
    <col min="14085" max="14085" width="5.21875" style="3214" customWidth="1"/>
    <col min="14086" max="14086" width="30.77734375" style="3214" customWidth="1"/>
    <col min="14087" max="14087" width="9" style="3214" customWidth="1"/>
    <col min="14088" max="14088" width="48.6640625" style="3214" customWidth="1"/>
    <col min="14089" max="14089" width="20.33203125" style="3214" customWidth="1"/>
    <col min="14090" max="14091" width="15.88671875" style="3214" customWidth="1"/>
    <col min="14092" max="14092" width="22.77734375" style="3214" customWidth="1"/>
    <col min="14093" max="14095" width="9" style="3214" customWidth="1"/>
    <col min="14096" max="14096" width="11" style="3214" customWidth="1"/>
    <col min="14097" max="14098" width="17.77734375" style="3214" customWidth="1"/>
    <col min="14099" max="14099" width="14.77734375" style="3214" customWidth="1"/>
    <col min="14100" max="14101" width="12.88671875" style="3214" customWidth="1"/>
    <col min="14102" max="14102" width="20.33203125" style="3214" customWidth="1"/>
    <col min="14103" max="14103" width="9" style="3214" customWidth="1"/>
    <col min="14104" max="14107" width="10.21875" style="3214" customWidth="1"/>
    <col min="14108" max="14108" width="22.88671875" style="3214" customWidth="1"/>
    <col min="14109" max="14109" width="9" style="3214" customWidth="1"/>
    <col min="14110" max="14110" width="37.33203125" style="3214" customWidth="1"/>
    <col min="14111" max="14113" width="12.109375" style="3214" customWidth="1"/>
    <col min="14114" max="14115" width="18.21875" style="3214" customWidth="1"/>
    <col min="14116" max="14117" width="16.33203125" style="3214" customWidth="1"/>
    <col min="14118" max="14119" width="25" style="3214" customWidth="1"/>
    <col min="14120" max="14120" width="7.109375" style="3214" customWidth="1"/>
    <col min="14121" max="14121" width="9" style="3214" customWidth="1"/>
    <col min="14122" max="14122" width="19.21875" style="3214" customWidth="1"/>
    <col min="14123" max="14124" width="23" style="3214" customWidth="1"/>
    <col min="14125" max="14125" width="9" style="3214" customWidth="1"/>
    <col min="14126" max="14336" width="8.88671875" style="3214"/>
    <col min="14337" max="14337" width="30.77734375" style="3214" customWidth="1"/>
    <col min="14338" max="14338" width="7.109375" style="3214" customWidth="1"/>
    <col min="14339" max="14339" width="9" style="3214" customWidth="1"/>
    <col min="14340" max="14340" width="7.109375" style="3214" customWidth="1"/>
    <col min="14341" max="14341" width="5.21875" style="3214" customWidth="1"/>
    <col min="14342" max="14342" width="30.77734375" style="3214" customWidth="1"/>
    <col min="14343" max="14343" width="9" style="3214" customWidth="1"/>
    <col min="14344" max="14344" width="48.6640625" style="3214" customWidth="1"/>
    <col min="14345" max="14345" width="20.33203125" style="3214" customWidth="1"/>
    <col min="14346" max="14347" width="15.88671875" style="3214" customWidth="1"/>
    <col min="14348" max="14348" width="22.77734375" style="3214" customWidth="1"/>
    <col min="14349" max="14351" width="9" style="3214" customWidth="1"/>
    <col min="14352" max="14352" width="11" style="3214" customWidth="1"/>
    <col min="14353" max="14354" width="17.77734375" style="3214" customWidth="1"/>
    <col min="14355" max="14355" width="14.77734375" style="3214" customWidth="1"/>
    <col min="14356" max="14357" width="12.88671875" style="3214" customWidth="1"/>
    <col min="14358" max="14358" width="20.33203125" style="3214" customWidth="1"/>
    <col min="14359" max="14359" width="9" style="3214" customWidth="1"/>
    <col min="14360" max="14363" width="10.21875" style="3214" customWidth="1"/>
    <col min="14364" max="14364" width="22.88671875" style="3214" customWidth="1"/>
    <col min="14365" max="14365" width="9" style="3214" customWidth="1"/>
    <col min="14366" max="14366" width="37.33203125" style="3214" customWidth="1"/>
    <col min="14367" max="14369" width="12.109375" style="3214" customWidth="1"/>
    <col min="14370" max="14371" width="18.21875" style="3214" customWidth="1"/>
    <col min="14372" max="14373" width="16.33203125" style="3214" customWidth="1"/>
    <col min="14374" max="14375" width="25" style="3214" customWidth="1"/>
    <col min="14376" max="14376" width="7.109375" style="3214" customWidth="1"/>
    <col min="14377" max="14377" width="9" style="3214" customWidth="1"/>
    <col min="14378" max="14378" width="19.21875" style="3214" customWidth="1"/>
    <col min="14379" max="14380" width="23" style="3214" customWidth="1"/>
    <col min="14381" max="14381" width="9" style="3214" customWidth="1"/>
    <col min="14382" max="14592" width="8.88671875" style="3214"/>
    <col min="14593" max="14593" width="30.77734375" style="3214" customWidth="1"/>
    <col min="14594" max="14594" width="7.109375" style="3214" customWidth="1"/>
    <col min="14595" max="14595" width="9" style="3214" customWidth="1"/>
    <col min="14596" max="14596" width="7.109375" style="3214" customWidth="1"/>
    <col min="14597" max="14597" width="5.21875" style="3214" customWidth="1"/>
    <col min="14598" max="14598" width="30.77734375" style="3214" customWidth="1"/>
    <col min="14599" max="14599" width="9" style="3214" customWidth="1"/>
    <col min="14600" max="14600" width="48.6640625" style="3214" customWidth="1"/>
    <col min="14601" max="14601" width="20.33203125" style="3214" customWidth="1"/>
    <col min="14602" max="14603" width="15.88671875" style="3214" customWidth="1"/>
    <col min="14604" max="14604" width="22.77734375" style="3214" customWidth="1"/>
    <col min="14605" max="14607" width="9" style="3214" customWidth="1"/>
    <col min="14608" max="14608" width="11" style="3214" customWidth="1"/>
    <col min="14609" max="14610" width="17.77734375" style="3214" customWidth="1"/>
    <col min="14611" max="14611" width="14.77734375" style="3214" customWidth="1"/>
    <col min="14612" max="14613" width="12.88671875" style="3214" customWidth="1"/>
    <col min="14614" max="14614" width="20.33203125" style="3214" customWidth="1"/>
    <col min="14615" max="14615" width="9" style="3214" customWidth="1"/>
    <col min="14616" max="14619" width="10.21875" style="3214" customWidth="1"/>
    <col min="14620" max="14620" width="22.88671875" style="3214" customWidth="1"/>
    <col min="14621" max="14621" width="9" style="3214" customWidth="1"/>
    <col min="14622" max="14622" width="37.33203125" style="3214" customWidth="1"/>
    <col min="14623" max="14625" width="12.109375" style="3214" customWidth="1"/>
    <col min="14626" max="14627" width="18.21875" style="3214" customWidth="1"/>
    <col min="14628" max="14629" width="16.33203125" style="3214" customWidth="1"/>
    <col min="14630" max="14631" width="25" style="3214" customWidth="1"/>
    <col min="14632" max="14632" width="7.109375" style="3214" customWidth="1"/>
    <col min="14633" max="14633" width="9" style="3214" customWidth="1"/>
    <col min="14634" max="14634" width="19.21875" style="3214" customWidth="1"/>
    <col min="14635" max="14636" width="23" style="3214" customWidth="1"/>
    <col min="14637" max="14637" width="9" style="3214" customWidth="1"/>
    <col min="14638" max="14848" width="8.88671875" style="3214"/>
    <col min="14849" max="14849" width="30.77734375" style="3214" customWidth="1"/>
    <col min="14850" max="14850" width="7.109375" style="3214" customWidth="1"/>
    <col min="14851" max="14851" width="9" style="3214" customWidth="1"/>
    <col min="14852" max="14852" width="7.109375" style="3214" customWidth="1"/>
    <col min="14853" max="14853" width="5.21875" style="3214" customWidth="1"/>
    <col min="14854" max="14854" width="30.77734375" style="3214" customWidth="1"/>
    <col min="14855" max="14855" width="9" style="3214" customWidth="1"/>
    <col min="14856" max="14856" width="48.6640625" style="3214" customWidth="1"/>
    <col min="14857" max="14857" width="20.33203125" style="3214" customWidth="1"/>
    <col min="14858" max="14859" width="15.88671875" style="3214" customWidth="1"/>
    <col min="14860" max="14860" width="22.77734375" style="3214" customWidth="1"/>
    <col min="14861" max="14863" width="9" style="3214" customWidth="1"/>
    <col min="14864" max="14864" width="11" style="3214" customWidth="1"/>
    <col min="14865" max="14866" width="17.77734375" style="3214" customWidth="1"/>
    <col min="14867" max="14867" width="14.77734375" style="3214" customWidth="1"/>
    <col min="14868" max="14869" width="12.88671875" style="3214" customWidth="1"/>
    <col min="14870" max="14870" width="20.33203125" style="3214" customWidth="1"/>
    <col min="14871" max="14871" width="9" style="3214" customWidth="1"/>
    <col min="14872" max="14875" width="10.21875" style="3214" customWidth="1"/>
    <col min="14876" max="14876" width="22.88671875" style="3214" customWidth="1"/>
    <col min="14877" max="14877" width="9" style="3214" customWidth="1"/>
    <col min="14878" max="14878" width="37.33203125" style="3214" customWidth="1"/>
    <col min="14879" max="14881" width="12.109375" style="3214" customWidth="1"/>
    <col min="14882" max="14883" width="18.21875" style="3214" customWidth="1"/>
    <col min="14884" max="14885" width="16.33203125" style="3214" customWidth="1"/>
    <col min="14886" max="14887" width="25" style="3214" customWidth="1"/>
    <col min="14888" max="14888" width="7.109375" style="3214" customWidth="1"/>
    <col min="14889" max="14889" width="9" style="3214" customWidth="1"/>
    <col min="14890" max="14890" width="19.21875" style="3214" customWidth="1"/>
    <col min="14891" max="14892" width="23" style="3214" customWidth="1"/>
    <col min="14893" max="14893" width="9" style="3214" customWidth="1"/>
    <col min="14894" max="15104" width="8.88671875" style="3214"/>
    <col min="15105" max="15105" width="30.77734375" style="3214" customWidth="1"/>
    <col min="15106" max="15106" width="7.109375" style="3214" customWidth="1"/>
    <col min="15107" max="15107" width="9" style="3214" customWidth="1"/>
    <col min="15108" max="15108" width="7.109375" style="3214" customWidth="1"/>
    <col min="15109" max="15109" width="5.21875" style="3214" customWidth="1"/>
    <col min="15110" max="15110" width="30.77734375" style="3214" customWidth="1"/>
    <col min="15111" max="15111" width="9" style="3214" customWidth="1"/>
    <col min="15112" max="15112" width="48.6640625" style="3214" customWidth="1"/>
    <col min="15113" max="15113" width="20.33203125" style="3214" customWidth="1"/>
    <col min="15114" max="15115" width="15.88671875" style="3214" customWidth="1"/>
    <col min="15116" max="15116" width="22.77734375" style="3214" customWidth="1"/>
    <col min="15117" max="15119" width="9" style="3214" customWidth="1"/>
    <col min="15120" max="15120" width="11" style="3214" customWidth="1"/>
    <col min="15121" max="15122" width="17.77734375" style="3214" customWidth="1"/>
    <col min="15123" max="15123" width="14.77734375" style="3214" customWidth="1"/>
    <col min="15124" max="15125" width="12.88671875" style="3214" customWidth="1"/>
    <col min="15126" max="15126" width="20.33203125" style="3214" customWidth="1"/>
    <col min="15127" max="15127" width="9" style="3214" customWidth="1"/>
    <col min="15128" max="15131" width="10.21875" style="3214" customWidth="1"/>
    <col min="15132" max="15132" width="22.88671875" style="3214" customWidth="1"/>
    <col min="15133" max="15133" width="9" style="3214" customWidth="1"/>
    <col min="15134" max="15134" width="37.33203125" style="3214" customWidth="1"/>
    <col min="15135" max="15137" width="12.109375" style="3214" customWidth="1"/>
    <col min="15138" max="15139" width="18.21875" style="3214" customWidth="1"/>
    <col min="15140" max="15141" width="16.33203125" style="3214" customWidth="1"/>
    <col min="15142" max="15143" width="25" style="3214" customWidth="1"/>
    <col min="15144" max="15144" width="7.109375" style="3214" customWidth="1"/>
    <col min="15145" max="15145" width="9" style="3214" customWidth="1"/>
    <col min="15146" max="15146" width="19.21875" style="3214" customWidth="1"/>
    <col min="15147" max="15148" width="23" style="3214" customWidth="1"/>
    <col min="15149" max="15149" width="9" style="3214" customWidth="1"/>
    <col min="15150" max="15360" width="8.88671875" style="3214"/>
    <col min="15361" max="15361" width="30.77734375" style="3214" customWidth="1"/>
    <col min="15362" max="15362" width="7.109375" style="3214" customWidth="1"/>
    <col min="15363" max="15363" width="9" style="3214" customWidth="1"/>
    <col min="15364" max="15364" width="7.109375" style="3214" customWidth="1"/>
    <col min="15365" max="15365" width="5.21875" style="3214" customWidth="1"/>
    <col min="15366" max="15366" width="30.77734375" style="3214" customWidth="1"/>
    <col min="15367" max="15367" width="9" style="3214" customWidth="1"/>
    <col min="15368" max="15368" width="48.6640625" style="3214" customWidth="1"/>
    <col min="15369" max="15369" width="20.33203125" style="3214" customWidth="1"/>
    <col min="15370" max="15371" width="15.88671875" style="3214" customWidth="1"/>
    <col min="15372" max="15372" width="22.77734375" style="3214" customWidth="1"/>
    <col min="15373" max="15375" width="9" style="3214" customWidth="1"/>
    <col min="15376" max="15376" width="11" style="3214" customWidth="1"/>
    <col min="15377" max="15378" width="17.77734375" style="3214" customWidth="1"/>
    <col min="15379" max="15379" width="14.77734375" style="3214" customWidth="1"/>
    <col min="15380" max="15381" width="12.88671875" style="3214" customWidth="1"/>
    <col min="15382" max="15382" width="20.33203125" style="3214" customWidth="1"/>
    <col min="15383" max="15383" width="9" style="3214" customWidth="1"/>
    <col min="15384" max="15387" width="10.21875" style="3214" customWidth="1"/>
    <col min="15388" max="15388" width="22.88671875" style="3214" customWidth="1"/>
    <col min="15389" max="15389" width="9" style="3214" customWidth="1"/>
    <col min="15390" max="15390" width="37.33203125" style="3214" customWidth="1"/>
    <col min="15391" max="15393" width="12.109375" style="3214" customWidth="1"/>
    <col min="15394" max="15395" width="18.21875" style="3214" customWidth="1"/>
    <col min="15396" max="15397" width="16.33203125" style="3214" customWidth="1"/>
    <col min="15398" max="15399" width="25" style="3214" customWidth="1"/>
    <col min="15400" max="15400" width="7.109375" style="3214" customWidth="1"/>
    <col min="15401" max="15401" width="9" style="3214" customWidth="1"/>
    <col min="15402" max="15402" width="19.21875" style="3214" customWidth="1"/>
    <col min="15403" max="15404" width="23" style="3214" customWidth="1"/>
    <col min="15405" max="15405" width="9" style="3214" customWidth="1"/>
    <col min="15406" max="15616" width="8.88671875" style="3214"/>
    <col min="15617" max="15617" width="30.77734375" style="3214" customWidth="1"/>
    <col min="15618" max="15618" width="7.109375" style="3214" customWidth="1"/>
    <col min="15619" max="15619" width="9" style="3214" customWidth="1"/>
    <col min="15620" max="15620" width="7.109375" style="3214" customWidth="1"/>
    <col min="15621" max="15621" width="5.21875" style="3214" customWidth="1"/>
    <col min="15622" max="15622" width="30.77734375" style="3214" customWidth="1"/>
    <col min="15623" max="15623" width="9" style="3214" customWidth="1"/>
    <col min="15624" max="15624" width="48.6640625" style="3214" customWidth="1"/>
    <col min="15625" max="15625" width="20.33203125" style="3214" customWidth="1"/>
    <col min="15626" max="15627" width="15.88671875" style="3214" customWidth="1"/>
    <col min="15628" max="15628" width="22.77734375" style="3214" customWidth="1"/>
    <col min="15629" max="15631" width="9" style="3214" customWidth="1"/>
    <col min="15632" max="15632" width="11" style="3214" customWidth="1"/>
    <col min="15633" max="15634" width="17.77734375" style="3214" customWidth="1"/>
    <col min="15635" max="15635" width="14.77734375" style="3214" customWidth="1"/>
    <col min="15636" max="15637" width="12.88671875" style="3214" customWidth="1"/>
    <col min="15638" max="15638" width="20.33203125" style="3214" customWidth="1"/>
    <col min="15639" max="15639" width="9" style="3214" customWidth="1"/>
    <col min="15640" max="15643" width="10.21875" style="3214" customWidth="1"/>
    <col min="15644" max="15644" width="22.88671875" style="3214" customWidth="1"/>
    <col min="15645" max="15645" width="9" style="3214" customWidth="1"/>
    <col min="15646" max="15646" width="37.33203125" style="3214" customWidth="1"/>
    <col min="15647" max="15649" width="12.109375" style="3214" customWidth="1"/>
    <col min="15650" max="15651" width="18.21875" style="3214" customWidth="1"/>
    <col min="15652" max="15653" width="16.33203125" style="3214" customWidth="1"/>
    <col min="15654" max="15655" width="25" style="3214" customWidth="1"/>
    <col min="15656" max="15656" width="7.109375" style="3214" customWidth="1"/>
    <col min="15657" max="15657" width="9" style="3214" customWidth="1"/>
    <col min="15658" max="15658" width="19.21875" style="3214" customWidth="1"/>
    <col min="15659" max="15660" width="23" style="3214" customWidth="1"/>
    <col min="15661" max="15661" width="9" style="3214" customWidth="1"/>
    <col min="15662" max="15872" width="8.88671875" style="3214"/>
    <col min="15873" max="15873" width="30.77734375" style="3214" customWidth="1"/>
    <col min="15874" max="15874" width="7.109375" style="3214" customWidth="1"/>
    <col min="15875" max="15875" width="9" style="3214" customWidth="1"/>
    <col min="15876" max="15876" width="7.109375" style="3214" customWidth="1"/>
    <col min="15877" max="15877" width="5.21875" style="3214" customWidth="1"/>
    <col min="15878" max="15878" width="30.77734375" style="3214" customWidth="1"/>
    <col min="15879" max="15879" width="9" style="3214" customWidth="1"/>
    <col min="15880" max="15880" width="48.6640625" style="3214" customWidth="1"/>
    <col min="15881" max="15881" width="20.33203125" style="3214" customWidth="1"/>
    <col min="15882" max="15883" width="15.88671875" style="3214" customWidth="1"/>
    <col min="15884" max="15884" width="22.77734375" style="3214" customWidth="1"/>
    <col min="15885" max="15887" width="9" style="3214" customWidth="1"/>
    <col min="15888" max="15888" width="11" style="3214" customWidth="1"/>
    <col min="15889" max="15890" width="17.77734375" style="3214" customWidth="1"/>
    <col min="15891" max="15891" width="14.77734375" style="3214" customWidth="1"/>
    <col min="15892" max="15893" width="12.88671875" style="3214" customWidth="1"/>
    <col min="15894" max="15894" width="20.33203125" style="3214" customWidth="1"/>
    <col min="15895" max="15895" width="9" style="3214" customWidth="1"/>
    <col min="15896" max="15899" width="10.21875" style="3214" customWidth="1"/>
    <col min="15900" max="15900" width="22.88671875" style="3214" customWidth="1"/>
    <col min="15901" max="15901" width="9" style="3214" customWidth="1"/>
    <col min="15902" max="15902" width="37.33203125" style="3214" customWidth="1"/>
    <col min="15903" max="15905" width="12.109375" style="3214" customWidth="1"/>
    <col min="15906" max="15907" width="18.21875" style="3214" customWidth="1"/>
    <col min="15908" max="15909" width="16.33203125" style="3214" customWidth="1"/>
    <col min="15910" max="15911" width="25" style="3214" customWidth="1"/>
    <col min="15912" max="15912" width="7.109375" style="3214" customWidth="1"/>
    <col min="15913" max="15913" width="9" style="3214" customWidth="1"/>
    <col min="15914" max="15914" width="19.21875" style="3214" customWidth="1"/>
    <col min="15915" max="15916" width="23" style="3214" customWidth="1"/>
    <col min="15917" max="15917" width="9" style="3214" customWidth="1"/>
    <col min="15918" max="16128" width="8.88671875" style="3214"/>
    <col min="16129" max="16129" width="30.77734375" style="3214" customWidth="1"/>
    <col min="16130" max="16130" width="7.109375" style="3214" customWidth="1"/>
    <col min="16131" max="16131" width="9" style="3214" customWidth="1"/>
    <col min="16132" max="16132" width="7.109375" style="3214" customWidth="1"/>
    <col min="16133" max="16133" width="5.21875" style="3214" customWidth="1"/>
    <col min="16134" max="16134" width="30.77734375" style="3214" customWidth="1"/>
    <col min="16135" max="16135" width="9" style="3214" customWidth="1"/>
    <col min="16136" max="16136" width="48.6640625" style="3214" customWidth="1"/>
    <col min="16137" max="16137" width="20.33203125" style="3214" customWidth="1"/>
    <col min="16138" max="16139" width="15.88671875" style="3214" customWidth="1"/>
    <col min="16140" max="16140" width="22.77734375" style="3214" customWidth="1"/>
    <col min="16141" max="16143" width="9" style="3214" customWidth="1"/>
    <col min="16144" max="16144" width="11" style="3214" customWidth="1"/>
    <col min="16145" max="16146" width="17.77734375" style="3214" customWidth="1"/>
    <col min="16147" max="16147" width="14.77734375" style="3214" customWidth="1"/>
    <col min="16148" max="16149" width="12.88671875" style="3214" customWidth="1"/>
    <col min="16150" max="16150" width="20.33203125" style="3214" customWidth="1"/>
    <col min="16151" max="16151" width="9" style="3214" customWidth="1"/>
    <col min="16152" max="16155" width="10.21875" style="3214" customWidth="1"/>
    <col min="16156" max="16156" width="22.88671875" style="3214" customWidth="1"/>
    <col min="16157" max="16157" width="9" style="3214" customWidth="1"/>
    <col min="16158" max="16158" width="37.33203125" style="3214" customWidth="1"/>
    <col min="16159" max="16161" width="12.109375" style="3214" customWidth="1"/>
    <col min="16162" max="16163" width="18.21875" style="3214" customWidth="1"/>
    <col min="16164" max="16165" width="16.33203125" style="3214" customWidth="1"/>
    <col min="16166" max="16167" width="25" style="3214" customWidth="1"/>
    <col min="16168" max="16168" width="7.109375" style="3214" customWidth="1"/>
    <col min="16169" max="16169" width="9" style="3214" customWidth="1"/>
    <col min="16170" max="16170" width="19.21875" style="3214" customWidth="1"/>
    <col min="16171" max="16172" width="23" style="3214" customWidth="1"/>
    <col min="16173" max="16173" width="9" style="3214" customWidth="1"/>
    <col min="16174" max="16384" width="8.88671875" style="3214"/>
  </cols>
  <sheetData>
    <row r="1" spans="1:45" s="2939" customFormat="1" ht="14.4">
      <c r="A1" s="2939" t="s">
        <v>2986</v>
      </c>
      <c r="B1" s="2939" t="s">
        <v>2987</v>
      </c>
      <c r="C1" s="2939" t="s">
        <v>2988</v>
      </c>
      <c r="D1" s="2939" t="s">
        <v>3095</v>
      </c>
      <c r="E1" s="2939" t="s">
        <v>3096</v>
      </c>
      <c r="F1" s="2939" t="s">
        <v>3097</v>
      </c>
      <c r="G1" s="2939" t="s">
        <v>2991</v>
      </c>
      <c r="H1" s="2939" t="s">
        <v>3098</v>
      </c>
      <c r="I1" s="2939" t="s">
        <v>3099</v>
      </c>
      <c r="J1" s="2939" t="s">
        <v>2989</v>
      </c>
      <c r="K1" s="2939" t="s">
        <v>2990</v>
      </c>
      <c r="L1" s="2939" t="s">
        <v>2033</v>
      </c>
      <c r="M1" s="2939" t="s">
        <v>3100</v>
      </c>
      <c r="N1" s="2939" t="s">
        <v>3101</v>
      </c>
      <c r="O1" s="2939" t="s">
        <v>3102</v>
      </c>
      <c r="P1" s="2939" t="s">
        <v>3103</v>
      </c>
      <c r="Q1" s="2939" t="s">
        <v>3104</v>
      </c>
      <c r="R1" s="2939" t="s">
        <v>3105</v>
      </c>
      <c r="S1" s="2939" t="s">
        <v>3106</v>
      </c>
      <c r="T1" s="2939" t="s">
        <v>3107</v>
      </c>
      <c r="U1" s="2939" t="s">
        <v>3108</v>
      </c>
      <c r="V1" s="2939" t="s">
        <v>3109</v>
      </c>
      <c r="W1" s="2939" t="s">
        <v>3110</v>
      </c>
      <c r="X1" s="2939" t="s">
        <v>3111</v>
      </c>
      <c r="Y1" s="2939" t="s">
        <v>3112</v>
      </c>
      <c r="Z1" s="2939" t="s">
        <v>2992</v>
      </c>
      <c r="AA1" s="2939" t="s">
        <v>3113</v>
      </c>
      <c r="AB1" s="2939" t="s">
        <v>3114</v>
      </c>
      <c r="AC1" s="2939" t="s">
        <v>3115</v>
      </c>
      <c r="AD1" s="2939" t="s">
        <v>2997</v>
      </c>
      <c r="AE1" s="2939" t="s">
        <v>3116</v>
      </c>
      <c r="AF1" s="2939" t="s">
        <v>2993</v>
      </c>
      <c r="AG1" s="2939" t="s">
        <v>2994</v>
      </c>
      <c r="AH1" s="2939" t="s">
        <v>3117</v>
      </c>
      <c r="AI1" s="2939" t="s">
        <v>3118</v>
      </c>
      <c r="AJ1" s="2939" t="s">
        <v>3119</v>
      </c>
      <c r="AK1" s="2939" t="s">
        <v>2995</v>
      </c>
      <c r="AL1" s="2939" t="s">
        <v>3120</v>
      </c>
      <c r="AM1" s="2939" t="s">
        <v>3121</v>
      </c>
      <c r="AN1" s="2939" t="s">
        <v>2996</v>
      </c>
      <c r="AO1" s="2939" t="s">
        <v>3122</v>
      </c>
      <c r="AP1" s="2939" t="s">
        <v>3123</v>
      </c>
      <c r="AQ1" s="2939" t="s">
        <v>3124</v>
      </c>
      <c r="AR1" s="2939" t="s">
        <v>3125</v>
      </c>
      <c r="AS1" s="2939" t="s">
        <v>3126</v>
      </c>
    </row>
    <row r="2" spans="1:45" s="2939" customFormat="1" ht="14.4">
      <c r="A2" s="2939" t="s">
        <v>3157</v>
      </c>
      <c r="B2" s="2939" t="s">
        <v>3071</v>
      </c>
      <c r="C2" s="2939" t="s">
        <v>2999</v>
      </c>
      <c r="D2" s="2939" t="s">
        <v>3158</v>
      </c>
      <c r="E2" s="2939" t="s">
        <v>2815</v>
      </c>
      <c r="F2" s="2939" t="s">
        <v>3157</v>
      </c>
      <c r="G2" s="2939" t="s">
        <v>3072</v>
      </c>
      <c r="H2" s="2939">
        <v>19017</v>
      </c>
      <c r="I2" s="2939" t="s">
        <v>3159</v>
      </c>
      <c r="J2" s="2939">
        <v>37791</v>
      </c>
      <c r="K2" s="2939">
        <v>56686.5</v>
      </c>
      <c r="L2" s="2939" t="s">
        <v>3141</v>
      </c>
      <c r="M2" s="2939" t="s">
        <v>2815</v>
      </c>
      <c r="N2" s="2939" t="s">
        <v>3127</v>
      </c>
      <c r="O2" s="2939" t="s">
        <v>2815</v>
      </c>
      <c r="P2" s="2939" t="s">
        <v>2815</v>
      </c>
      <c r="Q2" s="2939" t="s">
        <v>2815</v>
      </c>
      <c r="R2" s="2939" t="s">
        <v>2815</v>
      </c>
      <c r="S2" s="2939" t="s">
        <v>2815</v>
      </c>
      <c r="T2" s="2939" t="s">
        <v>2815</v>
      </c>
      <c r="U2" s="2939" t="s">
        <v>2815</v>
      </c>
      <c r="V2" s="2939" t="s">
        <v>2815</v>
      </c>
      <c r="W2" s="2939" t="s">
        <v>3128</v>
      </c>
      <c r="X2" s="2939" t="s">
        <v>3160</v>
      </c>
      <c r="Y2" s="2939" t="s">
        <v>3161</v>
      </c>
      <c r="Z2" s="2939" t="s">
        <v>3161</v>
      </c>
      <c r="AA2" s="2939" t="s">
        <v>3161</v>
      </c>
      <c r="AB2" s="2939" t="s">
        <v>3162</v>
      </c>
      <c r="AC2" s="2939" t="s">
        <v>3129</v>
      </c>
      <c r="AD2" s="2939" t="s">
        <v>3163</v>
      </c>
      <c r="AE2" s="2939">
        <v>6576</v>
      </c>
      <c r="AF2" s="2939">
        <v>32879</v>
      </c>
      <c r="AG2" s="2939">
        <v>63200</v>
      </c>
      <c r="AH2" s="2939">
        <v>580.01</v>
      </c>
      <c r="AI2" s="2939">
        <v>1114.9000000000001</v>
      </c>
      <c r="AJ2" s="2939">
        <v>5800.14</v>
      </c>
      <c r="AK2" s="2939">
        <v>11149.04</v>
      </c>
      <c r="AL2" s="2939" t="s">
        <v>2815</v>
      </c>
      <c r="AM2" s="2939" t="s">
        <v>2815</v>
      </c>
      <c r="AN2" s="2939">
        <v>92.22</v>
      </c>
      <c r="AO2" s="2939" t="s">
        <v>3164</v>
      </c>
      <c r="AP2" s="2939" t="s">
        <v>2815</v>
      </c>
      <c r="AQ2" s="2939" t="s">
        <v>2815</v>
      </c>
      <c r="AR2" s="2939" t="s">
        <v>2815</v>
      </c>
      <c r="AS2" s="2939" t="s">
        <v>3131</v>
      </c>
    </row>
    <row r="3" spans="1:45" s="2939" customFormat="1" ht="14.4">
      <c r="A3" s="2939" t="s">
        <v>3165</v>
      </c>
      <c r="B3" s="2939" t="s">
        <v>3071</v>
      </c>
      <c r="C3" s="2939" t="s">
        <v>2999</v>
      </c>
      <c r="D3" s="2939" t="s">
        <v>3158</v>
      </c>
      <c r="E3" s="2939" t="s">
        <v>2815</v>
      </c>
      <c r="F3" s="2939" t="s">
        <v>3165</v>
      </c>
      <c r="G3" s="2939" t="s">
        <v>3072</v>
      </c>
      <c r="H3" s="2939">
        <v>19033</v>
      </c>
      <c r="I3" s="2939" t="s">
        <v>3159</v>
      </c>
      <c r="J3" s="2939">
        <v>57402</v>
      </c>
      <c r="K3" s="2939">
        <v>86103</v>
      </c>
      <c r="L3" s="2939" t="s">
        <v>3141</v>
      </c>
      <c r="M3" s="2939" t="s">
        <v>2815</v>
      </c>
      <c r="N3" s="2939" t="s">
        <v>3127</v>
      </c>
      <c r="O3" s="2939" t="s">
        <v>2815</v>
      </c>
      <c r="P3" s="2939" t="s">
        <v>2815</v>
      </c>
      <c r="Q3" s="2939" t="s">
        <v>2815</v>
      </c>
      <c r="R3" s="2939" t="s">
        <v>2815</v>
      </c>
      <c r="S3" s="2939" t="s">
        <v>2815</v>
      </c>
      <c r="T3" s="2939" t="s">
        <v>2815</v>
      </c>
      <c r="U3" s="2939" t="s">
        <v>2815</v>
      </c>
      <c r="V3" s="2939" t="s">
        <v>2815</v>
      </c>
      <c r="W3" s="2939" t="s">
        <v>3128</v>
      </c>
      <c r="X3" s="2939" t="s">
        <v>3166</v>
      </c>
      <c r="Y3" s="2939" t="s">
        <v>3167</v>
      </c>
      <c r="Z3" s="2939" t="s">
        <v>3167</v>
      </c>
      <c r="AA3" s="2939" t="s">
        <v>3167</v>
      </c>
      <c r="AB3" s="2939" t="s">
        <v>3168</v>
      </c>
      <c r="AC3" s="2939" t="s">
        <v>3129</v>
      </c>
      <c r="AD3" s="2939" t="s">
        <v>3169</v>
      </c>
      <c r="AE3" s="2939">
        <v>8439</v>
      </c>
      <c r="AF3" s="2939">
        <v>42191</v>
      </c>
      <c r="AG3" s="2939">
        <v>55400</v>
      </c>
      <c r="AH3" s="2939">
        <v>490.01</v>
      </c>
      <c r="AI3" s="2939">
        <v>643.41999999999996</v>
      </c>
      <c r="AJ3" s="2939">
        <v>4900.0600000000004</v>
      </c>
      <c r="AK3" s="2939">
        <v>6434.14</v>
      </c>
      <c r="AL3" s="2939" t="s">
        <v>2815</v>
      </c>
      <c r="AM3" s="2939" t="s">
        <v>2815</v>
      </c>
      <c r="AN3" s="2939">
        <v>31.31</v>
      </c>
      <c r="AO3" s="2939" t="s">
        <v>3170</v>
      </c>
      <c r="AP3" s="2939" t="s">
        <v>2815</v>
      </c>
      <c r="AQ3" s="2939" t="s">
        <v>2815</v>
      </c>
      <c r="AR3" s="2939" t="s">
        <v>2815</v>
      </c>
      <c r="AS3" s="2939" t="s">
        <v>3134</v>
      </c>
    </row>
    <row r="4" spans="1:45" s="2939" customFormat="1" ht="14.4">
      <c r="A4" s="2939" t="s">
        <v>3171</v>
      </c>
      <c r="B4" s="2939" t="s">
        <v>3071</v>
      </c>
      <c r="C4" s="2939" t="s">
        <v>2999</v>
      </c>
      <c r="D4" s="2939" t="s">
        <v>3158</v>
      </c>
      <c r="E4" s="2939" t="s">
        <v>2815</v>
      </c>
      <c r="F4" s="2939" t="s">
        <v>3171</v>
      </c>
      <c r="G4" s="2939" t="s">
        <v>3072</v>
      </c>
      <c r="H4" s="2939">
        <v>19034</v>
      </c>
      <c r="I4" s="2939" t="s">
        <v>3159</v>
      </c>
      <c r="J4" s="2939">
        <v>69563.399999999994</v>
      </c>
      <c r="K4" s="2939">
        <v>104345.1</v>
      </c>
      <c r="L4" s="2939" t="s">
        <v>3141</v>
      </c>
      <c r="M4" s="2939" t="s">
        <v>2815</v>
      </c>
      <c r="N4" s="2939" t="s">
        <v>3127</v>
      </c>
      <c r="O4" s="2939" t="s">
        <v>2815</v>
      </c>
      <c r="P4" s="2939" t="s">
        <v>2815</v>
      </c>
      <c r="Q4" s="2939" t="s">
        <v>2815</v>
      </c>
      <c r="R4" s="2939" t="s">
        <v>2815</v>
      </c>
      <c r="S4" s="2939" t="s">
        <v>2815</v>
      </c>
      <c r="T4" s="2939" t="s">
        <v>2815</v>
      </c>
      <c r="U4" s="2939" t="s">
        <v>2815</v>
      </c>
      <c r="V4" s="2939" t="s">
        <v>2815</v>
      </c>
      <c r="W4" s="2939" t="s">
        <v>3128</v>
      </c>
      <c r="X4" s="2939" t="s">
        <v>3166</v>
      </c>
      <c r="Y4" s="2939" t="s">
        <v>3167</v>
      </c>
      <c r="Z4" s="2939" t="s">
        <v>3167</v>
      </c>
      <c r="AA4" s="2939" t="s">
        <v>3167</v>
      </c>
      <c r="AB4" s="2939" t="s">
        <v>3168</v>
      </c>
      <c r="AC4" s="2939" t="s">
        <v>3129</v>
      </c>
      <c r="AD4" s="2939" t="s">
        <v>3172</v>
      </c>
      <c r="AE4" s="2939">
        <v>10254</v>
      </c>
      <c r="AF4" s="2939">
        <v>51269</v>
      </c>
      <c r="AG4" s="2939">
        <v>56500</v>
      </c>
      <c r="AH4" s="2939">
        <v>491.34</v>
      </c>
      <c r="AI4" s="2939">
        <v>541.47</v>
      </c>
      <c r="AJ4" s="2939">
        <v>4913.3999999999996</v>
      </c>
      <c r="AK4" s="2939">
        <v>5414.72</v>
      </c>
      <c r="AL4" s="2939" t="s">
        <v>2815</v>
      </c>
      <c r="AM4" s="2939" t="s">
        <v>2815</v>
      </c>
      <c r="AN4" s="2939">
        <v>10.199999999999999</v>
      </c>
      <c r="AO4" s="2939" t="s">
        <v>3170</v>
      </c>
      <c r="AP4" s="2939" t="s">
        <v>2815</v>
      </c>
      <c r="AQ4" s="2939" t="s">
        <v>2815</v>
      </c>
      <c r="AR4" s="2939" t="s">
        <v>2815</v>
      </c>
      <c r="AS4" s="2939" t="s">
        <v>3134</v>
      </c>
    </row>
    <row r="5" spans="1:45" s="2939" customFormat="1" ht="14.4">
      <c r="A5" s="2939" t="s">
        <v>3173</v>
      </c>
      <c r="B5" s="2939" t="s">
        <v>3071</v>
      </c>
      <c r="C5" s="2939" t="s">
        <v>2999</v>
      </c>
      <c r="D5" s="2939" t="s">
        <v>3158</v>
      </c>
      <c r="E5" s="2939" t="s">
        <v>2815</v>
      </c>
      <c r="F5" s="2939" t="s">
        <v>3173</v>
      </c>
      <c r="G5" s="2939" t="s">
        <v>3072</v>
      </c>
      <c r="H5" s="2939">
        <v>19029</v>
      </c>
      <c r="I5" s="2939" t="s">
        <v>3159</v>
      </c>
      <c r="J5" s="2939">
        <v>91228</v>
      </c>
      <c r="K5" s="2939">
        <v>136842</v>
      </c>
      <c r="L5" s="2939" t="s">
        <v>3141</v>
      </c>
      <c r="M5" s="2939" t="s">
        <v>2815</v>
      </c>
      <c r="N5" s="2939" t="s">
        <v>3127</v>
      </c>
      <c r="O5" s="2939" t="s">
        <v>2815</v>
      </c>
      <c r="P5" s="2939" t="s">
        <v>2815</v>
      </c>
      <c r="Q5" s="2939" t="s">
        <v>2815</v>
      </c>
      <c r="R5" s="2939" t="s">
        <v>2815</v>
      </c>
      <c r="S5" s="2939" t="s">
        <v>2815</v>
      </c>
      <c r="T5" s="2939" t="s">
        <v>2815</v>
      </c>
      <c r="U5" s="2939" t="s">
        <v>2815</v>
      </c>
      <c r="V5" s="2939" t="s">
        <v>2815</v>
      </c>
      <c r="W5" s="2939" t="s">
        <v>3128</v>
      </c>
      <c r="X5" s="2939" t="s">
        <v>3174</v>
      </c>
      <c r="Y5" s="2939" t="s">
        <v>3175</v>
      </c>
      <c r="Z5" s="2939" t="s">
        <v>3175</v>
      </c>
      <c r="AA5" s="2939" t="s">
        <v>3175</v>
      </c>
      <c r="AB5" s="2939" t="s">
        <v>3176</v>
      </c>
      <c r="AC5" s="2939" t="s">
        <v>3129</v>
      </c>
      <c r="AD5" s="2939" t="s">
        <v>3177</v>
      </c>
      <c r="AE5" s="2939">
        <v>19450</v>
      </c>
      <c r="AF5" s="2939">
        <v>97250</v>
      </c>
      <c r="AG5" s="2939">
        <v>145000</v>
      </c>
      <c r="AH5" s="2939">
        <v>710.67</v>
      </c>
      <c r="AI5" s="2939">
        <v>1059.6199999999999</v>
      </c>
      <c r="AJ5" s="2939">
        <v>7106.73</v>
      </c>
      <c r="AK5" s="2939">
        <v>10596.15</v>
      </c>
      <c r="AL5" s="2939" t="s">
        <v>2815</v>
      </c>
      <c r="AM5" s="2939" t="s">
        <v>2815</v>
      </c>
      <c r="AN5" s="2939">
        <v>49.1</v>
      </c>
      <c r="AO5" s="2939" t="s">
        <v>3130</v>
      </c>
      <c r="AP5" s="2939" t="s">
        <v>2815</v>
      </c>
      <c r="AQ5" s="2939" t="s">
        <v>2815</v>
      </c>
      <c r="AR5" s="2939" t="s">
        <v>2815</v>
      </c>
      <c r="AS5" s="2939" t="s">
        <v>3131</v>
      </c>
    </row>
    <row r="6" spans="1:45" s="2939" customFormat="1" ht="14.4">
      <c r="A6" s="2939" t="s">
        <v>3178</v>
      </c>
      <c r="B6" s="2939" t="s">
        <v>3071</v>
      </c>
      <c r="C6" s="2939" t="s">
        <v>2999</v>
      </c>
      <c r="D6" s="2939" t="s">
        <v>3158</v>
      </c>
      <c r="E6" s="2939" t="s">
        <v>2815</v>
      </c>
      <c r="F6" s="2939" t="s">
        <v>3178</v>
      </c>
      <c r="G6" s="2939" t="s">
        <v>3072</v>
      </c>
      <c r="H6" s="2939">
        <v>19030</v>
      </c>
      <c r="I6" s="2939" t="s">
        <v>3159</v>
      </c>
      <c r="J6" s="2939">
        <v>68156</v>
      </c>
      <c r="K6" s="2939">
        <v>102234</v>
      </c>
      <c r="L6" s="2939" t="s">
        <v>3141</v>
      </c>
      <c r="M6" s="2939" t="s">
        <v>2815</v>
      </c>
      <c r="N6" s="2939" t="s">
        <v>3127</v>
      </c>
      <c r="O6" s="2939" t="s">
        <v>2815</v>
      </c>
      <c r="P6" s="2939" t="s">
        <v>2815</v>
      </c>
      <c r="Q6" s="2939" t="s">
        <v>2815</v>
      </c>
      <c r="R6" s="2939" t="s">
        <v>2815</v>
      </c>
      <c r="S6" s="2939" t="s">
        <v>2815</v>
      </c>
      <c r="T6" s="2939" t="s">
        <v>2815</v>
      </c>
      <c r="U6" s="2939" t="s">
        <v>2815</v>
      </c>
      <c r="V6" s="2939" t="s">
        <v>2815</v>
      </c>
      <c r="W6" s="2939" t="s">
        <v>3128</v>
      </c>
      <c r="X6" s="2939" t="s">
        <v>3174</v>
      </c>
      <c r="Y6" s="2939" t="s">
        <v>3175</v>
      </c>
      <c r="Z6" s="2939" t="s">
        <v>3175</v>
      </c>
      <c r="AA6" s="2939" t="s">
        <v>3175</v>
      </c>
      <c r="AB6" s="2939" t="s">
        <v>3176</v>
      </c>
      <c r="AC6" s="2939" t="s">
        <v>3129</v>
      </c>
      <c r="AD6" s="2939" t="s">
        <v>3179</v>
      </c>
      <c r="AE6" s="2939">
        <v>14824</v>
      </c>
      <c r="AF6" s="2939">
        <v>74120</v>
      </c>
      <c r="AG6" s="2939">
        <v>109000</v>
      </c>
      <c r="AH6" s="2939">
        <v>725</v>
      </c>
      <c r="AI6" s="2939">
        <v>1066.18</v>
      </c>
      <c r="AJ6" s="2939">
        <v>7250.03</v>
      </c>
      <c r="AK6" s="2939">
        <v>10661.81</v>
      </c>
      <c r="AL6" s="2939" t="s">
        <v>2815</v>
      </c>
      <c r="AM6" s="2939" t="s">
        <v>2815</v>
      </c>
      <c r="AN6" s="2939">
        <v>47.06</v>
      </c>
      <c r="AO6" s="2939" t="s">
        <v>3130</v>
      </c>
      <c r="AP6" s="2939" t="s">
        <v>2815</v>
      </c>
      <c r="AQ6" s="2939" t="s">
        <v>2815</v>
      </c>
      <c r="AR6" s="2939" t="s">
        <v>2815</v>
      </c>
      <c r="AS6" s="2939" t="s">
        <v>3131</v>
      </c>
    </row>
    <row r="7" spans="1:45" s="2939" customFormat="1" ht="14.4">
      <c r="A7" s="2939" t="s">
        <v>3180</v>
      </c>
      <c r="B7" s="2939" t="s">
        <v>3071</v>
      </c>
      <c r="C7" s="2939" t="s">
        <v>2999</v>
      </c>
      <c r="D7" s="2939" t="s">
        <v>3158</v>
      </c>
      <c r="E7" s="2939" t="s">
        <v>2815</v>
      </c>
      <c r="F7" s="2939" t="s">
        <v>3180</v>
      </c>
      <c r="G7" s="2939" t="s">
        <v>3072</v>
      </c>
      <c r="H7" s="2939">
        <v>19025</v>
      </c>
      <c r="I7" s="2939" t="s">
        <v>3159</v>
      </c>
      <c r="J7" s="2939">
        <v>104424</v>
      </c>
      <c r="K7" s="2939">
        <v>184334</v>
      </c>
      <c r="L7" s="2939" t="s">
        <v>3147</v>
      </c>
      <c r="M7" s="2939" t="s">
        <v>2815</v>
      </c>
      <c r="N7" s="2939" t="s">
        <v>3135</v>
      </c>
      <c r="O7" s="2939" t="s">
        <v>2815</v>
      </c>
      <c r="P7" s="2939" t="s">
        <v>2815</v>
      </c>
      <c r="Q7" s="2939" t="s">
        <v>2815</v>
      </c>
      <c r="R7" s="2939" t="s">
        <v>2815</v>
      </c>
      <c r="S7" s="2939" t="s">
        <v>2815</v>
      </c>
      <c r="T7" s="2939" t="s">
        <v>2815</v>
      </c>
      <c r="U7" s="2939" t="s">
        <v>2815</v>
      </c>
      <c r="V7" s="2939" t="s">
        <v>2815</v>
      </c>
      <c r="W7" s="2939" t="s">
        <v>3128</v>
      </c>
      <c r="X7" s="2939" t="s">
        <v>3181</v>
      </c>
      <c r="Y7" s="2939" t="s">
        <v>3182</v>
      </c>
      <c r="Z7" s="2939" t="s">
        <v>3182</v>
      </c>
      <c r="AA7" s="2939" t="s">
        <v>3182</v>
      </c>
      <c r="AB7" s="2939" t="s">
        <v>3183</v>
      </c>
      <c r="AC7" s="2939" t="s">
        <v>3129</v>
      </c>
      <c r="AD7" s="2939" t="s">
        <v>3184</v>
      </c>
      <c r="AE7" s="2939">
        <v>26104</v>
      </c>
      <c r="AF7" s="2939">
        <v>130517</v>
      </c>
      <c r="AG7" s="2939">
        <v>175000</v>
      </c>
      <c r="AH7" s="2939">
        <v>833.25</v>
      </c>
      <c r="AI7" s="2939">
        <v>1117.24</v>
      </c>
      <c r="AJ7" s="2939">
        <v>7080.46</v>
      </c>
      <c r="AK7" s="2939">
        <v>9493.6299999999992</v>
      </c>
      <c r="AL7" s="2939" t="s">
        <v>2815</v>
      </c>
      <c r="AM7" s="2939" t="s">
        <v>2815</v>
      </c>
      <c r="AN7" s="2939">
        <v>34.08</v>
      </c>
      <c r="AO7" s="2939" t="s">
        <v>3164</v>
      </c>
      <c r="AP7" s="2939" t="s">
        <v>2815</v>
      </c>
      <c r="AQ7" s="2939" t="s">
        <v>2815</v>
      </c>
      <c r="AR7" s="2939" t="s">
        <v>2815</v>
      </c>
      <c r="AS7" s="2939" t="s">
        <v>3131</v>
      </c>
    </row>
    <row r="8" spans="1:45" s="2939" customFormat="1" ht="14.4">
      <c r="A8" s="2939" t="s">
        <v>3185</v>
      </c>
      <c r="B8" s="2939" t="s">
        <v>3071</v>
      </c>
      <c r="C8" s="2939" t="s">
        <v>2999</v>
      </c>
      <c r="D8" s="2939" t="s">
        <v>3158</v>
      </c>
      <c r="E8" s="2939" t="s">
        <v>2815</v>
      </c>
      <c r="F8" s="2939" t="s">
        <v>3185</v>
      </c>
      <c r="G8" s="2939" t="s">
        <v>3072</v>
      </c>
      <c r="H8" s="2939">
        <v>18108</v>
      </c>
      <c r="I8" s="2939" t="s">
        <v>3159</v>
      </c>
      <c r="J8" s="2939">
        <v>96079</v>
      </c>
      <c r="K8" s="2939">
        <v>144118</v>
      </c>
      <c r="L8" s="2939" t="s">
        <v>3186</v>
      </c>
      <c r="M8" s="2939" t="s">
        <v>2815</v>
      </c>
      <c r="N8" s="2939" t="s">
        <v>3127</v>
      </c>
      <c r="O8" s="2939" t="s">
        <v>2815</v>
      </c>
      <c r="P8" s="2939" t="s">
        <v>2815</v>
      </c>
      <c r="Q8" s="2939" t="s">
        <v>2815</v>
      </c>
      <c r="R8" s="2939" t="s">
        <v>2815</v>
      </c>
      <c r="S8" s="2939" t="s">
        <v>2815</v>
      </c>
      <c r="T8" s="2939" t="s">
        <v>2815</v>
      </c>
      <c r="U8" s="2939" t="s">
        <v>2815</v>
      </c>
      <c r="V8" s="2939" t="s">
        <v>2815</v>
      </c>
      <c r="W8" s="2939" t="s">
        <v>3128</v>
      </c>
      <c r="X8" s="2939" t="s">
        <v>3187</v>
      </c>
      <c r="Y8" s="2939" t="s">
        <v>3188</v>
      </c>
      <c r="Z8" s="2939" t="s">
        <v>3188</v>
      </c>
      <c r="AA8" s="2939" t="s">
        <v>3188</v>
      </c>
      <c r="AB8" s="2939" t="s">
        <v>3189</v>
      </c>
      <c r="AC8" s="2939" t="s">
        <v>3129</v>
      </c>
      <c r="AD8" s="2939" t="s">
        <v>3190</v>
      </c>
      <c r="AE8" s="2939">
        <v>60098</v>
      </c>
      <c r="AF8" s="2939">
        <v>120195</v>
      </c>
      <c r="AG8" s="2939">
        <v>132000</v>
      </c>
      <c r="AH8" s="2939">
        <v>834</v>
      </c>
      <c r="AI8" s="2939">
        <v>915.91</v>
      </c>
      <c r="AJ8" s="2939">
        <v>8340.0400000000009</v>
      </c>
      <c r="AK8" s="2939">
        <v>9159.15</v>
      </c>
      <c r="AL8" s="2939" t="s">
        <v>2815</v>
      </c>
      <c r="AM8" s="2939" t="s">
        <v>2815</v>
      </c>
      <c r="AN8" s="2939">
        <v>9.82</v>
      </c>
      <c r="AO8" s="2939" t="s">
        <v>3191</v>
      </c>
      <c r="AP8" s="2939" t="s">
        <v>2815</v>
      </c>
      <c r="AQ8" s="2939" t="s">
        <v>2815</v>
      </c>
      <c r="AR8" s="2939" t="s">
        <v>2815</v>
      </c>
      <c r="AS8" s="2939" t="s">
        <v>3134</v>
      </c>
    </row>
    <row r="9" spans="1:45" s="2939" customFormat="1" ht="14.4">
      <c r="A9" s="2939" t="s">
        <v>3192</v>
      </c>
      <c r="B9" s="2939" t="s">
        <v>3071</v>
      </c>
      <c r="C9" s="2939" t="s">
        <v>2999</v>
      </c>
      <c r="D9" s="2939" t="s">
        <v>3158</v>
      </c>
      <c r="E9" s="2939" t="s">
        <v>2815</v>
      </c>
      <c r="F9" s="2939" t="s">
        <v>3192</v>
      </c>
      <c r="G9" s="2939" t="s">
        <v>3072</v>
      </c>
      <c r="H9" s="2939">
        <v>18109</v>
      </c>
      <c r="I9" s="2939" t="s">
        <v>3159</v>
      </c>
      <c r="J9" s="2939">
        <v>40899</v>
      </c>
      <c r="K9" s="2939">
        <v>61348</v>
      </c>
      <c r="L9" s="2939" t="s">
        <v>3186</v>
      </c>
      <c r="M9" s="2939" t="s">
        <v>2815</v>
      </c>
      <c r="N9" s="2939" t="s">
        <v>3127</v>
      </c>
      <c r="O9" s="2939" t="s">
        <v>2815</v>
      </c>
      <c r="P9" s="2939" t="s">
        <v>2815</v>
      </c>
      <c r="Q9" s="2939" t="s">
        <v>2815</v>
      </c>
      <c r="R9" s="2939" t="s">
        <v>2815</v>
      </c>
      <c r="S9" s="2939" t="s">
        <v>2815</v>
      </c>
      <c r="T9" s="2939" t="s">
        <v>2815</v>
      </c>
      <c r="U9" s="2939" t="s">
        <v>2815</v>
      </c>
      <c r="V9" s="2939" t="s">
        <v>2815</v>
      </c>
      <c r="W9" s="2939" t="s">
        <v>3128</v>
      </c>
      <c r="X9" s="2939" t="s">
        <v>3187</v>
      </c>
      <c r="Y9" s="2939" t="s">
        <v>3188</v>
      </c>
      <c r="Z9" s="2939" t="s">
        <v>3188</v>
      </c>
      <c r="AA9" s="2939" t="s">
        <v>3188</v>
      </c>
      <c r="AB9" s="2939" t="s">
        <v>3189</v>
      </c>
      <c r="AC9" s="2939" t="s">
        <v>3129</v>
      </c>
      <c r="AD9" s="2939" t="s">
        <v>3193</v>
      </c>
      <c r="AE9" s="2939">
        <v>25583</v>
      </c>
      <c r="AF9" s="2939">
        <v>51165</v>
      </c>
      <c r="AG9" s="2939">
        <v>51500</v>
      </c>
      <c r="AH9" s="2939">
        <v>834.01</v>
      </c>
      <c r="AI9" s="2939">
        <v>839.47</v>
      </c>
      <c r="AJ9" s="2939">
        <v>8340.1200000000008</v>
      </c>
      <c r="AK9" s="2939">
        <v>8394.7199999999993</v>
      </c>
      <c r="AL9" s="2939" t="s">
        <v>2815</v>
      </c>
      <c r="AM9" s="2939" t="s">
        <v>2815</v>
      </c>
      <c r="AN9" s="2939">
        <v>0.65</v>
      </c>
      <c r="AO9" s="2939" t="s">
        <v>3191</v>
      </c>
      <c r="AP9" s="2939" t="s">
        <v>2815</v>
      </c>
      <c r="AQ9" s="2939" t="s">
        <v>2815</v>
      </c>
      <c r="AR9" s="2939" t="s">
        <v>2815</v>
      </c>
      <c r="AS9" s="2939" t="s">
        <v>3134</v>
      </c>
    </row>
    <row r="10" spans="1:45" s="2939" customFormat="1" ht="14.4">
      <c r="A10" s="2939" t="s">
        <v>3194</v>
      </c>
      <c r="B10" s="2939" t="s">
        <v>3071</v>
      </c>
      <c r="C10" s="2939" t="s">
        <v>2999</v>
      </c>
      <c r="D10" s="2939" t="s">
        <v>3158</v>
      </c>
      <c r="E10" s="2939" t="s">
        <v>2815</v>
      </c>
      <c r="F10" s="2939" t="s">
        <v>3194</v>
      </c>
      <c r="G10" s="2939" t="s">
        <v>2998</v>
      </c>
      <c r="H10" s="2939">
        <v>18107</v>
      </c>
      <c r="I10" s="2939" t="s">
        <v>3159</v>
      </c>
      <c r="J10" s="2939">
        <v>83276.399999999994</v>
      </c>
      <c r="K10" s="2939">
        <v>124914.6</v>
      </c>
      <c r="L10" s="2939" t="s">
        <v>3141</v>
      </c>
      <c r="M10" s="2939" t="s">
        <v>2815</v>
      </c>
      <c r="N10" s="2939" t="s">
        <v>3127</v>
      </c>
      <c r="O10" s="2939" t="s">
        <v>2815</v>
      </c>
      <c r="P10" s="2939" t="s">
        <v>2815</v>
      </c>
      <c r="Q10" s="2939" t="s">
        <v>2815</v>
      </c>
      <c r="R10" s="2939" t="s">
        <v>2815</v>
      </c>
      <c r="S10" s="2939" t="s">
        <v>2815</v>
      </c>
      <c r="T10" s="2939" t="s">
        <v>2815</v>
      </c>
      <c r="U10" s="2939" t="s">
        <v>2815</v>
      </c>
      <c r="V10" s="2939" t="s">
        <v>2815</v>
      </c>
      <c r="W10" s="2939" t="s">
        <v>3128</v>
      </c>
      <c r="X10" s="2939" t="s">
        <v>3195</v>
      </c>
      <c r="Y10" s="2939" t="s">
        <v>3196</v>
      </c>
      <c r="Z10" s="2939" t="s">
        <v>3196</v>
      </c>
      <c r="AA10" s="2939" t="s">
        <v>3196</v>
      </c>
      <c r="AB10" s="2939" t="s">
        <v>3197</v>
      </c>
      <c r="AC10" s="2939" t="s">
        <v>3129</v>
      </c>
      <c r="AD10" s="2939" t="s">
        <v>3198</v>
      </c>
      <c r="AE10" s="2939">
        <v>40723</v>
      </c>
      <c r="AF10" s="2939">
        <v>81445</v>
      </c>
      <c r="AG10" s="2939">
        <v>81445</v>
      </c>
      <c r="AH10" s="2939">
        <v>652.01</v>
      </c>
      <c r="AI10" s="2939">
        <v>652.01</v>
      </c>
      <c r="AJ10" s="2939">
        <v>6520.05</v>
      </c>
      <c r="AK10" s="2939">
        <v>6520.05</v>
      </c>
      <c r="AL10" s="2939" t="s">
        <v>2815</v>
      </c>
      <c r="AM10" s="2939" t="s">
        <v>2815</v>
      </c>
      <c r="AN10" s="2939">
        <v>0</v>
      </c>
      <c r="AO10" s="2939" t="s">
        <v>3191</v>
      </c>
      <c r="AP10" s="2939" t="s">
        <v>2815</v>
      </c>
      <c r="AQ10" s="2939" t="s">
        <v>2815</v>
      </c>
      <c r="AR10" s="2939" t="s">
        <v>2815</v>
      </c>
      <c r="AS10" s="2939" t="s">
        <v>3132</v>
      </c>
    </row>
    <row r="11" spans="1:45" s="2939" customFormat="1" ht="14.4">
      <c r="A11" s="2939" t="s">
        <v>3199</v>
      </c>
      <c r="B11" s="2939" t="s">
        <v>3071</v>
      </c>
      <c r="C11" s="2939" t="s">
        <v>3200</v>
      </c>
      <c r="D11" s="2939" t="s">
        <v>3158</v>
      </c>
      <c r="E11" s="2939" t="s">
        <v>2815</v>
      </c>
      <c r="F11" s="2939" t="s">
        <v>3199</v>
      </c>
      <c r="G11" s="2939" t="s">
        <v>2998</v>
      </c>
      <c r="H11" s="2939">
        <v>18065</v>
      </c>
      <c r="I11" s="2939" t="s">
        <v>3201</v>
      </c>
      <c r="J11" s="2939">
        <v>161748.70000000001</v>
      </c>
      <c r="K11" s="2939">
        <v>387307.4</v>
      </c>
      <c r="L11" s="2939" t="s">
        <v>3202</v>
      </c>
      <c r="M11" s="2939" t="s">
        <v>2815</v>
      </c>
      <c r="N11" s="2939" t="s">
        <v>2815</v>
      </c>
      <c r="O11" s="2939" t="s">
        <v>2815</v>
      </c>
      <c r="P11" s="2939" t="s">
        <v>2815</v>
      </c>
      <c r="Q11" s="2939" t="s">
        <v>2815</v>
      </c>
      <c r="R11" s="2939" t="s">
        <v>2815</v>
      </c>
      <c r="S11" s="2939" t="s">
        <v>2815</v>
      </c>
      <c r="T11" s="2939" t="s">
        <v>3203</v>
      </c>
      <c r="U11" s="2939" t="s">
        <v>3204</v>
      </c>
      <c r="V11" s="2939" t="s">
        <v>2815</v>
      </c>
      <c r="W11" s="2939" t="s">
        <v>3133</v>
      </c>
      <c r="X11" s="2939" t="s">
        <v>3205</v>
      </c>
      <c r="Y11" s="2939" t="s">
        <v>3206</v>
      </c>
      <c r="Z11" s="2939" t="s">
        <v>3206</v>
      </c>
      <c r="AA11" s="2939" t="s">
        <v>3206</v>
      </c>
      <c r="AB11" s="2939" t="s">
        <v>3207</v>
      </c>
      <c r="AC11" s="2939" t="s">
        <v>3129</v>
      </c>
      <c r="AD11" s="2939" t="s">
        <v>3208</v>
      </c>
      <c r="AE11" s="2939">
        <v>116000</v>
      </c>
      <c r="AF11" s="2939">
        <v>232000</v>
      </c>
      <c r="AG11" s="2939">
        <v>232000</v>
      </c>
      <c r="AH11" s="2939">
        <v>956.22</v>
      </c>
      <c r="AI11" s="2939">
        <v>956.22</v>
      </c>
      <c r="AJ11" s="2939">
        <v>5990.07</v>
      </c>
      <c r="AK11" s="2939">
        <v>5990.06</v>
      </c>
      <c r="AL11" s="2939" t="s">
        <v>2815</v>
      </c>
      <c r="AM11" s="2939" t="s">
        <v>2815</v>
      </c>
      <c r="AN11" s="2939">
        <v>0</v>
      </c>
      <c r="AO11" s="2939" t="s">
        <v>3209</v>
      </c>
      <c r="AP11" s="2939" t="s">
        <v>2815</v>
      </c>
      <c r="AQ11" s="2939" t="s">
        <v>2815</v>
      </c>
      <c r="AR11" s="2939" t="s">
        <v>2815</v>
      </c>
      <c r="AS11" s="2939" t="s">
        <v>3132</v>
      </c>
    </row>
    <row r="12" spans="1:45" s="2939" customFormat="1" ht="14.4">
      <c r="A12" s="2939" t="s">
        <v>3210</v>
      </c>
      <c r="B12" s="2939" t="s">
        <v>3071</v>
      </c>
      <c r="C12" s="2939" t="s">
        <v>3200</v>
      </c>
      <c r="D12" s="2939" t="s">
        <v>3158</v>
      </c>
      <c r="E12" s="2939" t="s">
        <v>2815</v>
      </c>
      <c r="F12" s="2939" t="s">
        <v>3210</v>
      </c>
      <c r="G12" s="2939" t="s">
        <v>2998</v>
      </c>
      <c r="H12" s="2939">
        <v>18061</v>
      </c>
      <c r="I12" s="2939" t="s">
        <v>3211</v>
      </c>
      <c r="J12" s="2939">
        <v>161962.20000000001</v>
      </c>
      <c r="K12" s="2939">
        <v>444645.7</v>
      </c>
      <c r="L12" s="2939" t="s">
        <v>3142</v>
      </c>
      <c r="M12" s="2939" t="s">
        <v>2815</v>
      </c>
      <c r="N12" s="2939" t="s">
        <v>2815</v>
      </c>
      <c r="O12" s="2939" t="s">
        <v>2815</v>
      </c>
      <c r="P12" s="2939" t="s">
        <v>2815</v>
      </c>
      <c r="Q12" s="2939" t="s">
        <v>2815</v>
      </c>
      <c r="R12" s="2939" t="s">
        <v>2815</v>
      </c>
      <c r="S12" s="2939" t="s">
        <v>2815</v>
      </c>
      <c r="T12" s="2939" t="s">
        <v>3203</v>
      </c>
      <c r="U12" s="2939" t="s">
        <v>3204</v>
      </c>
      <c r="V12" s="2939" t="s">
        <v>2815</v>
      </c>
      <c r="W12" s="2939" t="s">
        <v>3133</v>
      </c>
      <c r="X12" s="2939" t="s">
        <v>3212</v>
      </c>
      <c r="Y12" s="2939" t="s">
        <v>3213</v>
      </c>
      <c r="Z12" s="2939" t="s">
        <v>3213</v>
      </c>
      <c r="AA12" s="2939" t="s">
        <v>3213</v>
      </c>
      <c r="AB12" s="2939" t="s">
        <v>3214</v>
      </c>
      <c r="AC12" s="2939" t="s">
        <v>3129</v>
      </c>
      <c r="AD12" s="2939" t="s">
        <v>3215</v>
      </c>
      <c r="AE12" s="2939">
        <v>122500</v>
      </c>
      <c r="AF12" s="2939">
        <v>245000</v>
      </c>
      <c r="AG12" s="2939">
        <v>245000</v>
      </c>
      <c r="AH12" s="2939">
        <v>1008.47</v>
      </c>
      <c r="AI12" s="2939">
        <v>1008.47</v>
      </c>
      <c r="AJ12" s="2939">
        <v>5510</v>
      </c>
      <c r="AK12" s="2939">
        <v>5510</v>
      </c>
      <c r="AL12" s="2939" t="s">
        <v>2815</v>
      </c>
      <c r="AM12" s="2939" t="s">
        <v>2815</v>
      </c>
      <c r="AN12" s="2939">
        <v>0</v>
      </c>
      <c r="AO12" s="2939" t="s">
        <v>3209</v>
      </c>
      <c r="AP12" s="2939" t="s">
        <v>2815</v>
      </c>
      <c r="AQ12" s="2939" t="s">
        <v>2815</v>
      </c>
      <c r="AR12" s="2939" t="s">
        <v>2815</v>
      </c>
      <c r="AS12" s="2939" t="s">
        <v>3132</v>
      </c>
    </row>
    <row r="13" spans="1:45" s="2939" customFormat="1" ht="14.4">
      <c r="A13" s="2939" t="s">
        <v>3216</v>
      </c>
      <c r="B13" s="2939" t="s">
        <v>3071</v>
      </c>
      <c r="C13" s="2939" t="s">
        <v>2999</v>
      </c>
      <c r="D13" s="2939" t="s">
        <v>3158</v>
      </c>
      <c r="E13" s="2939" t="s">
        <v>2815</v>
      </c>
      <c r="F13" s="2939" t="s">
        <v>3216</v>
      </c>
      <c r="G13" s="2939" t="s">
        <v>2998</v>
      </c>
      <c r="H13" s="2939">
        <v>18052</v>
      </c>
      <c r="I13" s="2939" t="s">
        <v>3159</v>
      </c>
      <c r="J13" s="2939">
        <v>150048</v>
      </c>
      <c r="K13" s="2939">
        <v>268476.09999999998</v>
      </c>
      <c r="L13" s="2939" t="s">
        <v>3217</v>
      </c>
      <c r="M13" s="2939" t="s">
        <v>2815</v>
      </c>
      <c r="N13" s="2939" t="s">
        <v>2815</v>
      </c>
      <c r="O13" s="2939" t="s">
        <v>2815</v>
      </c>
      <c r="P13" s="2939" t="s">
        <v>2815</v>
      </c>
      <c r="Q13" s="2939" t="s">
        <v>2815</v>
      </c>
      <c r="R13" s="2939" t="s">
        <v>2815</v>
      </c>
      <c r="S13" s="2939" t="s">
        <v>2815</v>
      </c>
      <c r="T13" s="2939" t="s">
        <v>3203</v>
      </c>
      <c r="U13" s="2939" t="s">
        <v>3204</v>
      </c>
      <c r="V13" s="2939" t="s">
        <v>2815</v>
      </c>
      <c r="W13" s="2939" t="s">
        <v>3133</v>
      </c>
      <c r="X13" s="2939" t="s">
        <v>3143</v>
      </c>
      <c r="Y13" s="2939" t="s">
        <v>3218</v>
      </c>
      <c r="Z13" s="2939" t="s">
        <v>3218</v>
      </c>
      <c r="AA13" s="2939" t="s">
        <v>3218</v>
      </c>
      <c r="AB13" s="2939" t="s">
        <v>3219</v>
      </c>
      <c r="AC13" s="2939" t="s">
        <v>3129</v>
      </c>
      <c r="AD13" s="2939" t="s">
        <v>3220</v>
      </c>
      <c r="AE13" s="2939">
        <v>107512</v>
      </c>
      <c r="AF13" s="2939">
        <v>215024</v>
      </c>
      <c r="AG13" s="2939">
        <v>215024</v>
      </c>
      <c r="AH13" s="2939">
        <v>955.36</v>
      </c>
      <c r="AI13" s="2939">
        <v>955.36</v>
      </c>
      <c r="AJ13" s="2939">
        <v>8009.05</v>
      </c>
      <c r="AK13" s="2939">
        <v>8009.06</v>
      </c>
      <c r="AL13" s="2939" t="s">
        <v>2815</v>
      </c>
      <c r="AM13" s="2939" t="s">
        <v>2815</v>
      </c>
      <c r="AN13" s="2939">
        <v>0</v>
      </c>
      <c r="AO13" s="2939" t="s">
        <v>3209</v>
      </c>
      <c r="AP13" s="2939" t="s">
        <v>2815</v>
      </c>
      <c r="AQ13" s="2939" t="s">
        <v>2815</v>
      </c>
      <c r="AR13" s="2939" t="s">
        <v>2815</v>
      </c>
      <c r="AS13" s="2939" t="s">
        <v>3131</v>
      </c>
    </row>
    <row r="14" spans="1:45" s="2939" customFormat="1" ht="14.4">
      <c r="A14" s="2939" t="s">
        <v>3221</v>
      </c>
      <c r="B14" s="2939" t="s">
        <v>3071</v>
      </c>
      <c r="C14" s="2939" t="s">
        <v>2999</v>
      </c>
      <c r="D14" s="2939" t="s">
        <v>3158</v>
      </c>
      <c r="E14" s="2939" t="s">
        <v>2815</v>
      </c>
      <c r="F14" s="2939" t="s">
        <v>3221</v>
      </c>
      <c r="G14" s="2939" t="s">
        <v>3072</v>
      </c>
      <c r="H14" s="2939">
        <v>18042</v>
      </c>
      <c r="I14" s="2939" t="s">
        <v>3159</v>
      </c>
      <c r="J14" s="2939">
        <v>184589.8</v>
      </c>
      <c r="K14" s="2939">
        <v>346351.7</v>
      </c>
      <c r="L14" s="2939" t="s">
        <v>3222</v>
      </c>
      <c r="M14" s="2939" t="s">
        <v>2815</v>
      </c>
      <c r="N14" s="2939" t="s">
        <v>2815</v>
      </c>
      <c r="O14" s="2939" t="s">
        <v>2815</v>
      </c>
      <c r="P14" s="2939" t="s">
        <v>2815</v>
      </c>
      <c r="Q14" s="2939" t="s">
        <v>2815</v>
      </c>
      <c r="R14" s="2939" t="s">
        <v>2815</v>
      </c>
      <c r="S14" s="2939" t="s">
        <v>2815</v>
      </c>
      <c r="T14" s="2939" t="s">
        <v>3203</v>
      </c>
      <c r="U14" s="2939" t="s">
        <v>3204</v>
      </c>
      <c r="V14" s="2939" t="s">
        <v>2815</v>
      </c>
      <c r="W14" s="2939" t="s">
        <v>3133</v>
      </c>
      <c r="X14" s="2939" t="s">
        <v>3223</v>
      </c>
      <c r="Y14" s="2939" t="s">
        <v>3224</v>
      </c>
      <c r="Z14" s="2939" t="s">
        <v>3224</v>
      </c>
      <c r="AA14" s="2939" t="s">
        <v>3224</v>
      </c>
      <c r="AB14" s="2939" t="s">
        <v>3225</v>
      </c>
      <c r="AC14" s="2939" t="s">
        <v>3129</v>
      </c>
      <c r="AD14" s="2939" t="s">
        <v>3226</v>
      </c>
      <c r="AE14" s="2939">
        <v>38099</v>
      </c>
      <c r="AF14" s="2939">
        <v>190494</v>
      </c>
      <c r="AG14" s="2939">
        <v>221000</v>
      </c>
      <c r="AH14" s="2939">
        <v>687.99</v>
      </c>
      <c r="AI14" s="2939">
        <v>798.17</v>
      </c>
      <c r="AJ14" s="2939">
        <v>5500.01</v>
      </c>
      <c r="AK14" s="2939">
        <v>6380.8</v>
      </c>
      <c r="AL14" s="2939" t="s">
        <v>2815</v>
      </c>
      <c r="AM14" s="2939" t="s">
        <v>2815</v>
      </c>
      <c r="AN14" s="2939">
        <v>16.010000000000002</v>
      </c>
      <c r="AO14" s="2939" t="s">
        <v>3209</v>
      </c>
      <c r="AP14" s="2939" t="s">
        <v>2815</v>
      </c>
      <c r="AQ14" s="2939" t="s">
        <v>2815</v>
      </c>
      <c r="AR14" s="2939" t="s">
        <v>2815</v>
      </c>
      <c r="AS14" s="2939" t="s">
        <v>3134</v>
      </c>
    </row>
    <row r="15" spans="1:45" s="2939" customFormat="1" ht="14.4">
      <c r="A15" s="2939" t="s">
        <v>3227</v>
      </c>
      <c r="B15" s="2939" t="s">
        <v>3071</v>
      </c>
      <c r="C15" s="2939" t="s">
        <v>3200</v>
      </c>
      <c r="D15" s="2939" t="s">
        <v>3158</v>
      </c>
      <c r="E15" s="2939" t="s">
        <v>2815</v>
      </c>
      <c r="F15" s="2939" t="s">
        <v>3227</v>
      </c>
      <c r="G15" s="2939" t="s">
        <v>3072</v>
      </c>
      <c r="H15" s="2939">
        <v>18041</v>
      </c>
      <c r="I15" s="2939" t="s">
        <v>3228</v>
      </c>
      <c r="J15" s="2939">
        <v>187009.5</v>
      </c>
      <c r="K15" s="2939">
        <v>359160.7</v>
      </c>
      <c r="L15" s="2939" t="s">
        <v>3229</v>
      </c>
      <c r="M15" s="2939" t="s">
        <v>2815</v>
      </c>
      <c r="N15" s="2939" t="s">
        <v>2815</v>
      </c>
      <c r="O15" s="2939" t="s">
        <v>2815</v>
      </c>
      <c r="P15" s="2939" t="s">
        <v>2815</v>
      </c>
      <c r="Q15" s="2939" t="s">
        <v>2815</v>
      </c>
      <c r="R15" s="2939" t="s">
        <v>2815</v>
      </c>
      <c r="S15" s="2939" t="s">
        <v>2815</v>
      </c>
      <c r="T15" s="2939" t="s">
        <v>3203</v>
      </c>
      <c r="U15" s="2939" t="s">
        <v>3204</v>
      </c>
      <c r="V15" s="2939" t="s">
        <v>2815</v>
      </c>
      <c r="W15" s="2939" t="s">
        <v>3133</v>
      </c>
      <c r="X15" s="2939" t="s">
        <v>3223</v>
      </c>
      <c r="Y15" s="2939" t="s">
        <v>3224</v>
      </c>
      <c r="Z15" s="2939" t="s">
        <v>3224</v>
      </c>
      <c r="AA15" s="2939" t="s">
        <v>3224</v>
      </c>
      <c r="AB15" s="2939" t="s">
        <v>3225</v>
      </c>
      <c r="AC15" s="2939" t="s">
        <v>3129</v>
      </c>
      <c r="AD15" s="2939" t="s">
        <v>3230</v>
      </c>
      <c r="AE15" s="2939">
        <v>30888</v>
      </c>
      <c r="AF15" s="2939">
        <v>154440</v>
      </c>
      <c r="AG15" s="2939">
        <v>182000</v>
      </c>
      <c r="AH15" s="2939">
        <v>550.55999999999995</v>
      </c>
      <c r="AI15" s="2939">
        <v>648.80999999999995</v>
      </c>
      <c r="AJ15" s="2939">
        <v>4300.0200000000004</v>
      </c>
      <c r="AK15" s="2939">
        <v>5067.3599999999997</v>
      </c>
      <c r="AL15" s="2939" t="s">
        <v>2815</v>
      </c>
      <c r="AM15" s="2939" t="s">
        <v>2815</v>
      </c>
      <c r="AN15" s="2939">
        <v>17.850000000000001</v>
      </c>
      <c r="AO15" s="2939" t="s">
        <v>3209</v>
      </c>
      <c r="AP15" s="2939" t="s">
        <v>2815</v>
      </c>
      <c r="AQ15" s="2939" t="s">
        <v>2815</v>
      </c>
      <c r="AR15" s="2939" t="s">
        <v>2815</v>
      </c>
      <c r="AS15" s="2939" t="s">
        <v>3134</v>
      </c>
    </row>
    <row r="16" spans="1:45" s="2939" customFormat="1" ht="14.4">
      <c r="A16" s="2939" t="s">
        <v>3231</v>
      </c>
      <c r="B16" s="2939" t="s">
        <v>3071</v>
      </c>
      <c r="C16" s="2939" t="s">
        <v>3200</v>
      </c>
      <c r="D16" s="2939" t="s">
        <v>3158</v>
      </c>
      <c r="E16" s="2939" t="s">
        <v>2815</v>
      </c>
      <c r="F16" s="2939" t="s">
        <v>3231</v>
      </c>
      <c r="G16" s="2939" t="s">
        <v>2998</v>
      </c>
      <c r="H16" s="2939">
        <v>18040</v>
      </c>
      <c r="I16" s="2939" t="s">
        <v>3228</v>
      </c>
      <c r="J16" s="2939">
        <v>200567.9</v>
      </c>
      <c r="K16" s="2939">
        <v>387676.7</v>
      </c>
      <c r="L16" s="2939" t="s">
        <v>3229</v>
      </c>
      <c r="M16" s="2939" t="s">
        <v>3232</v>
      </c>
      <c r="N16" s="2939" t="s">
        <v>2815</v>
      </c>
      <c r="O16" s="2939" t="s">
        <v>2815</v>
      </c>
      <c r="P16" s="2939" t="s">
        <v>2815</v>
      </c>
      <c r="Q16" s="2939" t="s">
        <v>2815</v>
      </c>
      <c r="R16" s="2939" t="s">
        <v>2815</v>
      </c>
      <c r="S16" s="2939" t="s">
        <v>2815</v>
      </c>
      <c r="T16" s="2939" t="s">
        <v>3203</v>
      </c>
      <c r="U16" s="2939" t="s">
        <v>3204</v>
      </c>
      <c r="V16" s="2939" t="s">
        <v>2815</v>
      </c>
      <c r="W16" s="2939" t="s">
        <v>3133</v>
      </c>
      <c r="X16" s="2939" t="s">
        <v>3223</v>
      </c>
      <c r="Y16" s="2939" t="s">
        <v>3224</v>
      </c>
      <c r="Z16" s="2939" t="s">
        <v>3224</v>
      </c>
      <c r="AA16" s="2939" t="s">
        <v>3224</v>
      </c>
      <c r="AB16" s="2939" t="s">
        <v>3225</v>
      </c>
      <c r="AC16" s="2939" t="s">
        <v>3129</v>
      </c>
      <c r="AD16" s="2939" t="s">
        <v>3233</v>
      </c>
      <c r="AE16" s="2939">
        <v>31790</v>
      </c>
      <c r="AF16" s="2939">
        <v>158948</v>
      </c>
      <c r="AG16" s="2939">
        <v>158948</v>
      </c>
      <c r="AH16" s="2939">
        <v>528.33000000000004</v>
      </c>
      <c r="AI16" s="2939">
        <v>528.33000000000004</v>
      </c>
      <c r="AJ16" s="2939">
        <v>4100.01</v>
      </c>
      <c r="AK16" s="2939">
        <v>4100.01</v>
      </c>
      <c r="AL16" s="2939" t="s">
        <v>2815</v>
      </c>
      <c r="AM16" s="2939" t="s">
        <v>2815</v>
      </c>
      <c r="AN16" s="2939">
        <v>0</v>
      </c>
      <c r="AO16" s="2939" t="s">
        <v>3209</v>
      </c>
      <c r="AP16" s="2939" t="s">
        <v>2815</v>
      </c>
      <c r="AQ16" s="2939" t="s">
        <v>2815</v>
      </c>
      <c r="AR16" s="2939" t="s">
        <v>2815</v>
      </c>
      <c r="AS16" s="2939" t="s">
        <v>3134</v>
      </c>
    </row>
    <row r="17" spans="1:45" s="3218" customFormat="1" ht="14.4">
      <c r="A17" s="3218" t="s">
        <v>3234</v>
      </c>
      <c r="B17" s="3218" t="s">
        <v>3071</v>
      </c>
      <c r="C17" s="3218" t="s">
        <v>3200</v>
      </c>
      <c r="D17" s="3218" t="s">
        <v>3158</v>
      </c>
      <c r="E17" s="3218" t="s">
        <v>2815</v>
      </c>
      <c r="F17" s="3218" t="s">
        <v>3234</v>
      </c>
      <c r="G17" s="3218" t="s">
        <v>2998</v>
      </c>
      <c r="H17" s="3218">
        <v>18035</v>
      </c>
      <c r="I17" s="3218" t="s">
        <v>3235</v>
      </c>
      <c r="J17" s="3218">
        <v>169301.1</v>
      </c>
      <c r="K17" s="3218">
        <v>329346.5</v>
      </c>
      <c r="L17" s="3218" t="s">
        <v>3229</v>
      </c>
      <c r="M17" s="3218" t="s">
        <v>2815</v>
      </c>
      <c r="N17" s="3218" t="s">
        <v>2815</v>
      </c>
      <c r="O17" s="3218" t="s">
        <v>2815</v>
      </c>
      <c r="P17" s="3218" t="s">
        <v>2815</v>
      </c>
      <c r="Q17" s="3218" t="s">
        <v>2815</v>
      </c>
      <c r="R17" s="3218" t="s">
        <v>2815</v>
      </c>
      <c r="S17" s="3218" t="s">
        <v>2815</v>
      </c>
      <c r="T17" s="3218" t="s">
        <v>3236</v>
      </c>
      <c r="U17" s="3218" t="s">
        <v>3237</v>
      </c>
      <c r="V17" s="3218" t="s">
        <v>2815</v>
      </c>
      <c r="W17" s="3218" t="s">
        <v>3133</v>
      </c>
      <c r="X17" s="3218" t="s">
        <v>3238</v>
      </c>
      <c r="Y17" s="3218" t="s">
        <v>3239</v>
      </c>
      <c r="Z17" s="3218" t="s">
        <v>3239</v>
      </c>
      <c r="AA17" s="3218" t="s">
        <v>3239</v>
      </c>
      <c r="AB17" s="3218" t="s">
        <v>3240</v>
      </c>
      <c r="AC17" s="3218" t="s">
        <v>3129</v>
      </c>
      <c r="AD17" s="3218" t="s">
        <v>3241</v>
      </c>
      <c r="AE17" s="3218">
        <v>17743</v>
      </c>
      <c r="AF17" s="3218">
        <v>88714</v>
      </c>
      <c r="AG17" s="3218">
        <v>88714</v>
      </c>
      <c r="AH17" s="3218">
        <v>349.33</v>
      </c>
      <c r="AI17" s="3218">
        <v>349.33</v>
      </c>
      <c r="AJ17" s="3218">
        <v>2693.63</v>
      </c>
      <c r="AK17" s="3218">
        <v>2693.63</v>
      </c>
      <c r="AL17" s="3218" t="s">
        <v>2815</v>
      </c>
      <c r="AM17" s="3218" t="s">
        <v>2815</v>
      </c>
      <c r="AN17" s="3218">
        <v>0</v>
      </c>
      <c r="AO17" s="3218" t="s">
        <v>3209</v>
      </c>
      <c r="AP17" s="3218" t="s">
        <v>2815</v>
      </c>
      <c r="AQ17" s="3218" t="s">
        <v>2815</v>
      </c>
      <c r="AR17" s="3218" t="s">
        <v>2815</v>
      </c>
      <c r="AS17" s="3218" t="s">
        <v>3132</v>
      </c>
    </row>
    <row r="18" spans="1:45" s="2939" customFormat="1" ht="14.4">
      <c r="A18" s="2939" t="s">
        <v>3242</v>
      </c>
      <c r="B18" s="2939" t="s">
        <v>3071</v>
      </c>
      <c r="C18" s="2939" t="s">
        <v>3200</v>
      </c>
      <c r="D18" s="2939" t="s">
        <v>3158</v>
      </c>
      <c r="E18" s="2939" t="s">
        <v>2815</v>
      </c>
      <c r="F18" s="2939" t="s">
        <v>3242</v>
      </c>
      <c r="G18" s="2939" t="s">
        <v>3072</v>
      </c>
      <c r="H18" s="2939">
        <v>18028</v>
      </c>
      <c r="I18" s="2939" t="s">
        <v>3243</v>
      </c>
      <c r="J18" s="2939">
        <v>148329.5</v>
      </c>
      <c r="K18" s="2939">
        <v>384021.6</v>
      </c>
      <c r="L18" s="2939" t="s">
        <v>3244</v>
      </c>
      <c r="M18" s="2939" t="s">
        <v>2815</v>
      </c>
      <c r="N18" s="2939" t="s">
        <v>2815</v>
      </c>
      <c r="O18" s="2939" t="s">
        <v>2815</v>
      </c>
      <c r="P18" s="2939" t="s">
        <v>2815</v>
      </c>
      <c r="Q18" s="2939" t="s">
        <v>2815</v>
      </c>
      <c r="R18" s="2939" t="s">
        <v>2815</v>
      </c>
      <c r="S18" s="2939" t="s">
        <v>2815</v>
      </c>
      <c r="T18" s="2939" t="s">
        <v>3245</v>
      </c>
      <c r="U18" s="2939" t="s">
        <v>3204</v>
      </c>
      <c r="V18" s="2939" t="s">
        <v>2815</v>
      </c>
      <c r="W18" s="2939" t="s">
        <v>3133</v>
      </c>
      <c r="X18" s="2939" t="s">
        <v>3246</v>
      </c>
      <c r="Y18" s="2939" t="s">
        <v>3247</v>
      </c>
      <c r="Z18" s="2939" t="s">
        <v>3248</v>
      </c>
      <c r="AA18" s="2939" t="s">
        <v>3248</v>
      </c>
      <c r="AB18" s="2939" t="s">
        <v>3249</v>
      </c>
      <c r="AC18" s="2939" t="s">
        <v>3129</v>
      </c>
      <c r="AD18" s="2939" t="s">
        <v>3250</v>
      </c>
      <c r="AE18" s="2939">
        <v>134400</v>
      </c>
      <c r="AF18" s="2939">
        <v>268800</v>
      </c>
      <c r="AG18" s="2939">
        <v>350000</v>
      </c>
      <c r="AH18" s="2939">
        <v>1208.1199999999999</v>
      </c>
      <c r="AI18" s="2939">
        <v>1573.07</v>
      </c>
      <c r="AJ18" s="2939">
        <v>6999.6</v>
      </c>
      <c r="AK18" s="2939">
        <v>9114.06</v>
      </c>
      <c r="AL18" s="2939" t="s">
        <v>2815</v>
      </c>
      <c r="AM18" s="2939" t="s">
        <v>2815</v>
      </c>
      <c r="AN18" s="2939">
        <v>30.21</v>
      </c>
      <c r="AO18" s="2939" t="s">
        <v>3209</v>
      </c>
      <c r="AP18" s="2939" t="s">
        <v>2815</v>
      </c>
      <c r="AQ18" s="2939" t="s">
        <v>2815</v>
      </c>
      <c r="AR18" s="2939" t="s">
        <v>2815</v>
      </c>
      <c r="AS18" s="2939" t="s">
        <v>3132</v>
      </c>
    </row>
    <row r="19" spans="1:45" s="3219" customFormat="1" ht="14.4">
      <c r="A19" s="3219" t="s">
        <v>3431</v>
      </c>
      <c r="B19" s="3219" t="s">
        <v>3071</v>
      </c>
      <c r="C19" s="3219" t="s">
        <v>3200</v>
      </c>
      <c r="D19" s="3219" t="s">
        <v>3158</v>
      </c>
      <c r="E19" s="3219" t="s">
        <v>2815</v>
      </c>
      <c r="F19" s="3219" t="s">
        <v>3251</v>
      </c>
      <c r="G19" s="3219" t="s">
        <v>2998</v>
      </c>
      <c r="H19" s="3219">
        <v>18026</v>
      </c>
      <c r="I19" s="3219" t="s">
        <v>3252</v>
      </c>
      <c r="J19" s="3219">
        <v>227465.5</v>
      </c>
      <c r="K19" s="3219">
        <v>237570.7</v>
      </c>
      <c r="L19" s="3219" t="s">
        <v>3253</v>
      </c>
      <c r="M19" s="3219" t="s">
        <v>2815</v>
      </c>
      <c r="N19" s="3219" t="s">
        <v>2815</v>
      </c>
      <c r="O19" s="3219" t="s">
        <v>2815</v>
      </c>
      <c r="P19" s="3219" t="s">
        <v>2815</v>
      </c>
      <c r="Q19" s="3219" t="s">
        <v>2815</v>
      </c>
      <c r="R19" s="3219" t="s">
        <v>2815</v>
      </c>
      <c r="S19" s="3219" t="s">
        <v>2815</v>
      </c>
      <c r="T19" s="3219" t="s">
        <v>3245</v>
      </c>
      <c r="U19" s="3219" t="s">
        <v>3204</v>
      </c>
      <c r="V19" s="3219" t="s">
        <v>2815</v>
      </c>
      <c r="W19" s="3219" t="s">
        <v>3133</v>
      </c>
      <c r="X19" s="3219" t="s">
        <v>3254</v>
      </c>
      <c r="Y19" s="3219" t="s">
        <v>3255</v>
      </c>
      <c r="Z19" s="3219" t="s">
        <v>3255</v>
      </c>
      <c r="AA19" s="3219" t="s">
        <v>3255</v>
      </c>
      <c r="AB19" s="3219" t="s">
        <v>3256</v>
      </c>
      <c r="AC19" s="3219" t="s">
        <v>3129</v>
      </c>
      <c r="AD19" s="3219" t="s">
        <v>3257</v>
      </c>
      <c r="AE19" s="3219">
        <v>16447</v>
      </c>
      <c r="AF19" s="3219">
        <v>82234</v>
      </c>
      <c r="AG19" s="3219">
        <v>82234</v>
      </c>
      <c r="AH19" s="3219">
        <v>241.02</v>
      </c>
      <c r="AI19" s="3219">
        <v>241.02</v>
      </c>
      <c r="AJ19" s="3219">
        <v>3461.45</v>
      </c>
      <c r="AK19" s="3219">
        <v>3461.44</v>
      </c>
      <c r="AL19" s="3219" t="s">
        <v>2815</v>
      </c>
      <c r="AM19" s="3219" t="s">
        <v>2815</v>
      </c>
      <c r="AN19" s="3219">
        <v>0</v>
      </c>
      <c r="AO19" s="3219" t="s">
        <v>3209</v>
      </c>
      <c r="AP19" s="3219" t="s">
        <v>2815</v>
      </c>
      <c r="AQ19" s="3219" t="s">
        <v>2815</v>
      </c>
      <c r="AR19" s="3219" t="s">
        <v>2815</v>
      </c>
      <c r="AS19" s="3219" t="s">
        <v>3134</v>
      </c>
    </row>
    <row r="20" spans="1:45" s="3219" customFormat="1" ht="14.4">
      <c r="A20" s="3219" t="s">
        <v>3432</v>
      </c>
      <c r="B20" s="3219" t="s">
        <v>3071</v>
      </c>
      <c r="C20" s="3219" t="s">
        <v>3200</v>
      </c>
      <c r="D20" s="3219" t="s">
        <v>3158</v>
      </c>
      <c r="E20" s="3219" t="s">
        <v>2815</v>
      </c>
      <c r="F20" s="3219" t="s">
        <v>3258</v>
      </c>
      <c r="G20" s="3219" t="s">
        <v>2998</v>
      </c>
      <c r="H20" s="3219">
        <v>18027</v>
      </c>
      <c r="I20" s="3219" t="s">
        <v>3259</v>
      </c>
      <c r="J20" s="3219">
        <v>279131.40000000002</v>
      </c>
      <c r="K20" s="3219">
        <v>267038</v>
      </c>
      <c r="L20" s="3219" t="s">
        <v>3260</v>
      </c>
      <c r="M20" s="3219" t="s">
        <v>2815</v>
      </c>
      <c r="N20" s="3219" t="s">
        <v>2815</v>
      </c>
      <c r="O20" s="3219" t="s">
        <v>2815</v>
      </c>
      <c r="P20" s="3219" t="s">
        <v>2815</v>
      </c>
      <c r="Q20" s="3219" t="s">
        <v>2815</v>
      </c>
      <c r="R20" s="3219" t="s">
        <v>2815</v>
      </c>
      <c r="S20" s="3219" t="s">
        <v>2815</v>
      </c>
      <c r="T20" s="3219" t="s">
        <v>3261</v>
      </c>
      <c r="U20" s="3219" t="s">
        <v>3237</v>
      </c>
      <c r="V20" s="3219" t="s">
        <v>2815</v>
      </c>
      <c r="W20" s="3219" t="s">
        <v>3133</v>
      </c>
      <c r="X20" s="3219" t="s">
        <v>3254</v>
      </c>
      <c r="Y20" s="3219" t="s">
        <v>3255</v>
      </c>
      <c r="Z20" s="3219" t="s">
        <v>3255</v>
      </c>
      <c r="AA20" s="3219" t="s">
        <v>3255</v>
      </c>
      <c r="AB20" s="3219" t="s">
        <v>3256</v>
      </c>
      <c r="AC20" s="3219" t="s">
        <v>3129</v>
      </c>
      <c r="AD20" s="3219" t="s">
        <v>3257</v>
      </c>
      <c r="AE20" s="3219">
        <v>19511</v>
      </c>
      <c r="AF20" s="3219">
        <v>97555</v>
      </c>
      <c r="AG20" s="3219">
        <v>97555</v>
      </c>
      <c r="AH20" s="3219">
        <v>233</v>
      </c>
      <c r="AI20" s="3219">
        <v>233</v>
      </c>
      <c r="AJ20" s="3219">
        <v>3653.22</v>
      </c>
      <c r="AK20" s="3219">
        <v>3653.23</v>
      </c>
      <c r="AL20" s="3219" t="s">
        <v>2815</v>
      </c>
      <c r="AM20" s="3219" t="s">
        <v>2815</v>
      </c>
      <c r="AN20" s="3219">
        <v>0</v>
      </c>
      <c r="AO20" s="3219" t="s">
        <v>3209</v>
      </c>
      <c r="AP20" s="3219" t="s">
        <v>2815</v>
      </c>
      <c r="AQ20" s="3219" t="s">
        <v>2815</v>
      </c>
      <c r="AR20" s="3219" t="s">
        <v>2815</v>
      </c>
      <c r="AS20" s="3219" t="s">
        <v>3134</v>
      </c>
    </row>
    <row r="21" spans="1:45" s="2939" customFormat="1" ht="14.4">
      <c r="A21" s="2939" t="s">
        <v>3262</v>
      </c>
      <c r="B21" s="2939" t="s">
        <v>3071</v>
      </c>
      <c r="C21" s="2939" t="s">
        <v>2999</v>
      </c>
      <c r="D21" s="2939" t="s">
        <v>3158</v>
      </c>
      <c r="E21" s="2939" t="s">
        <v>2815</v>
      </c>
      <c r="F21" s="2939" t="s">
        <v>3262</v>
      </c>
      <c r="G21" s="2939" t="s">
        <v>3072</v>
      </c>
      <c r="H21" s="2939">
        <v>18021</v>
      </c>
      <c r="I21" s="2939" t="s">
        <v>3159</v>
      </c>
      <c r="J21" s="2939">
        <v>130604</v>
      </c>
      <c r="K21" s="2939">
        <v>261208</v>
      </c>
      <c r="L21" s="2939" t="s">
        <v>3139</v>
      </c>
      <c r="M21" s="2939" t="s">
        <v>2815</v>
      </c>
      <c r="N21" s="2939" t="s">
        <v>2815</v>
      </c>
      <c r="O21" s="2939" t="s">
        <v>2815</v>
      </c>
      <c r="P21" s="2939" t="s">
        <v>2815</v>
      </c>
      <c r="Q21" s="2939" t="s">
        <v>2815</v>
      </c>
      <c r="R21" s="2939" t="s">
        <v>2815</v>
      </c>
      <c r="S21" s="2939" t="s">
        <v>2815</v>
      </c>
      <c r="T21" s="2939" t="s">
        <v>3245</v>
      </c>
      <c r="U21" s="2939" t="s">
        <v>3204</v>
      </c>
      <c r="V21" s="2939" t="s">
        <v>2815</v>
      </c>
      <c r="W21" s="2939" t="s">
        <v>3133</v>
      </c>
      <c r="X21" s="2939" t="s">
        <v>3263</v>
      </c>
      <c r="Y21" s="2939" t="s">
        <v>3264</v>
      </c>
      <c r="Z21" s="2939" t="s">
        <v>3264</v>
      </c>
      <c r="AA21" s="2939" t="s">
        <v>3264</v>
      </c>
      <c r="AB21" s="2939" t="s">
        <v>3265</v>
      </c>
      <c r="AC21" s="2939" t="s">
        <v>3129</v>
      </c>
      <c r="AD21" s="2939" t="s">
        <v>3266</v>
      </c>
      <c r="AE21" s="2939">
        <v>104484</v>
      </c>
      <c r="AF21" s="2939">
        <v>208967</v>
      </c>
      <c r="AG21" s="2939">
        <v>225000</v>
      </c>
      <c r="AH21" s="2939">
        <v>1066.67</v>
      </c>
      <c r="AI21" s="2939">
        <v>1148.51</v>
      </c>
      <c r="AJ21" s="2939">
        <v>8000.02</v>
      </c>
      <c r="AK21" s="2939">
        <v>8613.81</v>
      </c>
      <c r="AL21" s="2939" t="s">
        <v>2815</v>
      </c>
      <c r="AM21" s="2939" t="s">
        <v>2815</v>
      </c>
      <c r="AN21" s="2939">
        <v>7.67</v>
      </c>
      <c r="AO21" s="2939" t="s">
        <v>3209</v>
      </c>
      <c r="AP21" s="2939" t="s">
        <v>2815</v>
      </c>
      <c r="AQ21" s="2939" t="s">
        <v>2815</v>
      </c>
      <c r="AR21" s="2939" t="s">
        <v>2815</v>
      </c>
      <c r="AS21" s="2939" t="s">
        <v>3131</v>
      </c>
    </row>
    <row r="22" spans="1:45" s="2939" customFormat="1" ht="14.4">
      <c r="A22" s="2939" t="s">
        <v>3267</v>
      </c>
      <c r="B22" s="2939" t="s">
        <v>3071</v>
      </c>
      <c r="C22" s="2939" t="s">
        <v>2999</v>
      </c>
      <c r="D22" s="2939" t="s">
        <v>3158</v>
      </c>
      <c r="E22" s="2939" t="s">
        <v>2815</v>
      </c>
      <c r="F22" s="2939" t="s">
        <v>3267</v>
      </c>
      <c r="G22" s="2939" t="s">
        <v>3072</v>
      </c>
      <c r="H22" s="2939">
        <v>18022</v>
      </c>
      <c r="I22" s="2939" t="s">
        <v>3159</v>
      </c>
      <c r="J22" s="2939">
        <v>73614</v>
      </c>
      <c r="K22" s="2939">
        <v>147228</v>
      </c>
      <c r="L22" s="2939" t="s">
        <v>3139</v>
      </c>
      <c r="M22" s="2939" t="s">
        <v>2815</v>
      </c>
      <c r="N22" s="2939" t="s">
        <v>2815</v>
      </c>
      <c r="O22" s="2939" t="s">
        <v>2815</v>
      </c>
      <c r="P22" s="2939" t="s">
        <v>2815</v>
      </c>
      <c r="Q22" s="2939" t="s">
        <v>2815</v>
      </c>
      <c r="R22" s="2939" t="s">
        <v>2815</v>
      </c>
      <c r="S22" s="2939" t="s">
        <v>2815</v>
      </c>
      <c r="T22" s="2939" t="s">
        <v>3245</v>
      </c>
      <c r="U22" s="2939" t="s">
        <v>3204</v>
      </c>
      <c r="V22" s="2939" t="s">
        <v>2815</v>
      </c>
      <c r="W22" s="2939" t="s">
        <v>3133</v>
      </c>
      <c r="X22" s="2939" t="s">
        <v>3263</v>
      </c>
      <c r="Y22" s="2939" t="s">
        <v>3264</v>
      </c>
      <c r="Z22" s="2939" t="s">
        <v>3264</v>
      </c>
      <c r="AA22" s="2939" t="s">
        <v>3264</v>
      </c>
      <c r="AB22" s="2939" t="s">
        <v>3265</v>
      </c>
      <c r="AC22" s="2939" t="s">
        <v>3129</v>
      </c>
      <c r="AD22" s="2939" t="s">
        <v>3266</v>
      </c>
      <c r="AE22" s="2939">
        <v>58892</v>
      </c>
      <c r="AF22" s="2939">
        <v>117783</v>
      </c>
      <c r="AG22" s="2939">
        <v>129000</v>
      </c>
      <c r="AH22" s="2939">
        <v>1066.67</v>
      </c>
      <c r="AI22" s="2939">
        <v>1168.26</v>
      </c>
      <c r="AJ22" s="2939">
        <v>8000.04</v>
      </c>
      <c r="AK22" s="2939">
        <v>8761.92</v>
      </c>
      <c r="AL22" s="2939" t="s">
        <v>2815</v>
      </c>
      <c r="AM22" s="2939" t="s">
        <v>2815</v>
      </c>
      <c r="AN22" s="2939">
        <v>9.52</v>
      </c>
      <c r="AO22" s="2939" t="s">
        <v>3209</v>
      </c>
      <c r="AP22" s="2939" t="s">
        <v>2815</v>
      </c>
      <c r="AQ22" s="2939" t="s">
        <v>2815</v>
      </c>
      <c r="AR22" s="2939" t="s">
        <v>2815</v>
      </c>
      <c r="AS22" s="2939" t="s">
        <v>3131</v>
      </c>
    </row>
    <row r="23" spans="1:45" s="2939" customFormat="1" ht="14.4">
      <c r="A23" s="2939" t="s">
        <v>3268</v>
      </c>
      <c r="B23" s="2939" t="s">
        <v>3071</v>
      </c>
      <c r="C23" s="2939" t="s">
        <v>2999</v>
      </c>
      <c r="D23" s="2939" t="s">
        <v>3158</v>
      </c>
      <c r="E23" s="2939" t="s">
        <v>2815</v>
      </c>
      <c r="F23" s="2939" t="s">
        <v>3268</v>
      </c>
      <c r="G23" s="2939" t="s">
        <v>3072</v>
      </c>
      <c r="H23" s="2939">
        <v>18017</v>
      </c>
      <c r="I23" s="2939" t="s">
        <v>3159</v>
      </c>
      <c r="J23" s="2939">
        <v>182788.7</v>
      </c>
      <c r="K23" s="2939">
        <v>365577.4</v>
      </c>
      <c r="L23" s="2939" t="s">
        <v>3139</v>
      </c>
      <c r="M23" s="2939" t="s">
        <v>2815</v>
      </c>
      <c r="N23" s="2939" t="s">
        <v>2815</v>
      </c>
      <c r="O23" s="2939" t="s">
        <v>2815</v>
      </c>
      <c r="P23" s="2939" t="s">
        <v>2815</v>
      </c>
      <c r="Q23" s="2939" t="s">
        <v>2815</v>
      </c>
      <c r="R23" s="2939" t="s">
        <v>2815</v>
      </c>
      <c r="S23" s="2939" t="s">
        <v>2815</v>
      </c>
      <c r="T23" s="2939" t="s">
        <v>2815</v>
      </c>
      <c r="U23" s="2939" t="s">
        <v>2815</v>
      </c>
      <c r="V23" s="2939" t="s">
        <v>2815</v>
      </c>
      <c r="W23" s="2939" t="s">
        <v>3133</v>
      </c>
      <c r="X23" s="2939" t="s">
        <v>3269</v>
      </c>
      <c r="Y23" s="2939" t="s">
        <v>3270</v>
      </c>
      <c r="Z23" s="2939" t="s">
        <v>3270</v>
      </c>
      <c r="AA23" s="2939" t="s">
        <v>3270</v>
      </c>
      <c r="AB23" s="2939" t="s">
        <v>3271</v>
      </c>
      <c r="AC23" s="2939" t="s">
        <v>3129</v>
      </c>
      <c r="AD23" s="2939" t="s">
        <v>3272</v>
      </c>
      <c r="AE23" s="2939">
        <v>32902</v>
      </c>
      <c r="AF23" s="2939">
        <v>164510</v>
      </c>
      <c r="AG23" s="2939">
        <v>231000</v>
      </c>
      <c r="AH23" s="2939">
        <v>600</v>
      </c>
      <c r="AI23" s="2939">
        <v>842.5</v>
      </c>
      <c r="AJ23" s="2939">
        <v>4500</v>
      </c>
      <c r="AK23" s="2939">
        <v>6318.77</v>
      </c>
      <c r="AL23" s="2939" t="s">
        <v>2815</v>
      </c>
      <c r="AM23" s="2939" t="s">
        <v>2815</v>
      </c>
      <c r="AN23" s="2939">
        <v>40.42</v>
      </c>
      <c r="AO23" s="2939" t="s">
        <v>3209</v>
      </c>
      <c r="AP23" s="2939" t="s">
        <v>2815</v>
      </c>
      <c r="AQ23" s="2939" t="s">
        <v>2815</v>
      </c>
      <c r="AR23" s="2939" t="s">
        <v>2815</v>
      </c>
      <c r="AS23" s="2939" t="s">
        <v>3134</v>
      </c>
    </row>
    <row r="24" spans="1:45" s="3218" customFormat="1" ht="14.4">
      <c r="A24" s="3218" t="s">
        <v>3273</v>
      </c>
      <c r="B24" s="3218" t="s">
        <v>3071</v>
      </c>
      <c r="C24" s="3218" t="s">
        <v>3200</v>
      </c>
      <c r="D24" s="3218" t="s">
        <v>3158</v>
      </c>
      <c r="E24" s="3218" t="s">
        <v>2815</v>
      </c>
      <c r="F24" s="3218" t="s">
        <v>3273</v>
      </c>
      <c r="G24" s="3218" t="s">
        <v>3072</v>
      </c>
      <c r="H24" s="3218">
        <v>18012</v>
      </c>
      <c r="I24" s="3218" t="s">
        <v>3274</v>
      </c>
      <c r="J24" s="3218">
        <v>357563.2</v>
      </c>
      <c r="K24" s="3218">
        <v>529668.69999999995</v>
      </c>
      <c r="L24" s="3218" t="s">
        <v>3275</v>
      </c>
      <c r="M24" s="3218" t="s">
        <v>2815</v>
      </c>
      <c r="N24" s="3218" t="s">
        <v>2815</v>
      </c>
      <c r="O24" s="3218" t="s">
        <v>2815</v>
      </c>
      <c r="P24" s="3218" t="s">
        <v>2815</v>
      </c>
      <c r="Q24" s="3218" t="s">
        <v>2815</v>
      </c>
      <c r="R24" s="3218" t="s">
        <v>2815</v>
      </c>
      <c r="S24" s="3218" t="s">
        <v>2815</v>
      </c>
      <c r="T24" s="3218" t="s">
        <v>2815</v>
      </c>
      <c r="U24" s="3218" t="s">
        <v>2815</v>
      </c>
      <c r="V24" s="3218" t="s">
        <v>2815</v>
      </c>
      <c r="W24" s="3218" t="s">
        <v>3133</v>
      </c>
      <c r="X24" s="3218" t="s">
        <v>3276</v>
      </c>
      <c r="Y24" s="3218" t="s">
        <v>3144</v>
      </c>
      <c r="Z24" s="3218" t="s">
        <v>3144</v>
      </c>
      <c r="AA24" s="3218" t="s">
        <v>3144</v>
      </c>
      <c r="AB24" s="3218" t="s">
        <v>3277</v>
      </c>
      <c r="AC24" s="3218" t="s">
        <v>3129</v>
      </c>
      <c r="AD24" s="3218" t="s">
        <v>3278</v>
      </c>
      <c r="AE24" s="3218">
        <v>28427</v>
      </c>
      <c r="AF24" s="3218">
        <v>142131</v>
      </c>
      <c r="AG24" s="3218">
        <v>143000</v>
      </c>
      <c r="AH24" s="3218">
        <v>265</v>
      </c>
      <c r="AI24" s="3218">
        <v>266.62</v>
      </c>
      <c r="AJ24" s="3218">
        <v>2683.39</v>
      </c>
      <c r="AK24" s="3218">
        <v>2699.8</v>
      </c>
      <c r="AL24" s="3218" t="s">
        <v>2815</v>
      </c>
      <c r="AM24" s="3218" t="s">
        <v>2815</v>
      </c>
      <c r="AN24" s="3218">
        <v>0.61</v>
      </c>
      <c r="AO24" s="3218" t="s">
        <v>3209</v>
      </c>
      <c r="AP24" s="3218" t="s">
        <v>2815</v>
      </c>
      <c r="AQ24" s="3218" t="s">
        <v>2815</v>
      </c>
      <c r="AR24" s="3218" t="s">
        <v>2815</v>
      </c>
      <c r="AS24" s="3218" t="s">
        <v>3134</v>
      </c>
    </row>
    <row r="25" spans="1:45" s="3219" customFormat="1" ht="14.4">
      <c r="A25" s="3219" t="s">
        <v>3433</v>
      </c>
      <c r="B25" s="3219" t="s">
        <v>3071</v>
      </c>
      <c r="C25" s="3219" t="s">
        <v>3200</v>
      </c>
      <c r="D25" s="3219" t="s">
        <v>3158</v>
      </c>
      <c r="E25" s="3219" t="s">
        <v>2815</v>
      </c>
      <c r="F25" s="3219" t="s">
        <v>3279</v>
      </c>
      <c r="G25" s="3219" t="s">
        <v>3072</v>
      </c>
      <c r="H25" s="3219">
        <v>18011</v>
      </c>
      <c r="I25" s="3219" t="s">
        <v>3280</v>
      </c>
      <c r="J25" s="3219">
        <v>265302.59999999998</v>
      </c>
      <c r="K25" s="3219">
        <v>295167.8</v>
      </c>
      <c r="L25" s="3219" t="s">
        <v>3140</v>
      </c>
      <c r="M25" s="3219" t="s">
        <v>2815</v>
      </c>
      <c r="N25" s="3219" t="s">
        <v>2815</v>
      </c>
      <c r="O25" s="3219" t="s">
        <v>2815</v>
      </c>
      <c r="P25" s="3219" t="s">
        <v>2815</v>
      </c>
      <c r="Q25" s="3219" t="s">
        <v>2815</v>
      </c>
      <c r="R25" s="3219" t="s">
        <v>2815</v>
      </c>
      <c r="S25" s="3219" t="s">
        <v>2815</v>
      </c>
      <c r="T25" s="3219" t="s">
        <v>2815</v>
      </c>
      <c r="U25" s="3219" t="s">
        <v>2815</v>
      </c>
      <c r="V25" s="3219" t="s">
        <v>2815</v>
      </c>
      <c r="W25" s="3219" t="s">
        <v>3133</v>
      </c>
      <c r="X25" s="3219" t="s">
        <v>3276</v>
      </c>
      <c r="Y25" s="3219" t="s">
        <v>3144</v>
      </c>
      <c r="Z25" s="3219" t="s">
        <v>3144</v>
      </c>
      <c r="AA25" s="3219" t="s">
        <v>3144</v>
      </c>
      <c r="AB25" s="3219" t="s">
        <v>3277</v>
      </c>
      <c r="AC25" s="3219" t="s">
        <v>3129</v>
      </c>
      <c r="AD25" s="3219" t="s">
        <v>3278</v>
      </c>
      <c r="AE25" s="3219">
        <v>17924</v>
      </c>
      <c r="AF25" s="3219">
        <v>89619</v>
      </c>
      <c r="AG25" s="3219">
        <v>90500</v>
      </c>
      <c r="AH25" s="3219">
        <v>225.2</v>
      </c>
      <c r="AI25" s="3219">
        <v>227.41</v>
      </c>
      <c r="AJ25" s="3219">
        <v>3036.2</v>
      </c>
      <c r="AK25" s="3219">
        <v>3066.05</v>
      </c>
      <c r="AL25" s="3219" t="s">
        <v>2815</v>
      </c>
      <c r="AM25" s="3219" t="s">
        <v>2815</v>
      </c>
      <c r="AN25" s="3219">
        <v>0.98</v>
      </c>
      <c r="AO25" s="3219" t="s">
        <v>3209</v>
      </c>
      <c r="AP25" s="3219" t="s">
        <v>2815</v>
      </c>
      <c r="AQ25" s="3219" t="s">
        <v>2815</v>
      </c>
      <c r="AR25" s="3219" t="s">
        <v>2815</v>
      </c>
      <c r="AS25" s="3219" t="s">
        <v>3132</v>
      </c>
    </row>
    <row r="26" spans="1:45" s="2939" customFormat="1" ht="14.4">
      <c r="A26" s="2939" t="s">
        <v>3281</v>
      </c>
      <c r="B26" s="2939" t="s">
        <v>3071</v>
      </c>
      <c r="C26" s="2939" t="s">
        <v>2999</v>
      </c>
      <c r="D26" s="2939" t="s">
        <v>3158</v>
      </c>
      <c r="E26" s="2939" t="s">
        <v>2815</v>
      </c>
      <c r="F26" s="2939" t="s">
        <v>3281</v>
      </c>
      <c r="G26" s="2939" t="s">
        <v>3072</v>
      </c>
      <c r="H26" s="2939">
        <v>17155</v>
      </c>
      <c r="I26" s="2939" t="s">
        <v>3159</v>
      </c>
      <c r="J26" s="2939">
        <v>35110</v>
      </c>
      <c r="K26" s="2939">
        <v>70220</v>
      </c>
      <c r="L26" s="2939" t="s">
        <v>3139</v>
      </c>
      <c r="M26" s="2939" t="s">
        <v>2815</v>
      </c>
      <c r="N26" s="2939" t="s">
        <v>2815</v>
      </c>
      <c r="O26" s="2939" t="s">
        <v>2815</v>
      </c>
      <c r="P26" s="2939" t="s">
        <v>2815</v>
      </c>
      <c r="Q26" s="2939" t="s">
        <v>2815</v>
      </c>
      <c r="R26" s="2939" t="s">
        <v>2815</v>
      </c>
      <c r="S26" s="2939" t="s">
        <v>2815</v>
      </c>
      <c r="T26" s="2939" t="s">
        <v>2815</v>
      </c>
      <c r="U26" s="2939" t="s">
        <v>2815</v>
      </c>
      <c r="V26" s="2939" t="s">
        <v>2815</v>
      </c>
      <c r="W26" s="2939" t="s">
        <v>3133</v>
      </c>
      <c r="X26" s="2939" t="s">
        <v>3282</v>
      </c>
      <c r="Y26" s="2939" t="s">
        <v>3283</v>
      </c>
      <c r="Z26" s="2939" t="s">
        <v>3283</v>
      </c>
      <c r="AA26" s="2939" t="s">
        <v>3283</v>
      </c>
      <c r="AB26" s="2939" t="s">
        <v>3284</v>
      </c>
      <c r="AC26" s="2939" t="s">
        <v>3129</v>
      </c>
      <c r="AD26" s="2939" t="s">
        <v>3285</v>
      </c>
      <c r="AE26" s="2939">
        <v>28088</v>
      </c>
      <c r="AF26" s="2939">
        <v>56176</v>
      </c>
      <c r="AG26" s="2939">
        <v>80000</v>
      </c>
      <c r="AH26" s="2939">
        <v>1066.67</v>
      </c>
      <c r="AI26" s="2939">
        <v>1519.04</v>
      </c>
      <c r="AJ26" s="2939">
        <v>8000</v>
      </c>
      <c r="AK26" s="2939">
        <v>11392.77</v>
      </c>
      <c r="AL26" s="2939" t="s">
        <v>2815</v>
      </c>
      <c r="AM26" s="2939" t="s">
        <v>2815</v>
      </c>
      <c r="AN26" s="2939">
        <v>42.41</v>
      </c>
      <c r="AO26" s="2939" t="s">
        <v>3130</v>
      </c>
      <c r="AP26" s="2939" t="s">
        <v>2815</v>
      </c>
      <c r="AQ26" s="2939" t="s">
        <v>2815</v>
      </c>
      <c r="AR26" s="2939" t="s">
        <v>2815</v>
      </c>
      <c r="AS26" s="2939" t="s">
        <v>3134</v>
      </c>
    </row>
    <row r="27" spans="1:45" s="2939" customFormat="1" ht="14.4">
      <c r="A27" s="2939" t="s">
        <v>3286</v>
      </c>
      <c r="B27" s="2939" t="s">
        <v>3071</v>
      </c>
      <c r="C27" s="2939" t="s">
        <v>2999</v>
      </c>
      <c r="D27" s="2939" t="s">
        <v>3158</v>
      </c>
      <c r="E27" s="2939" t="s">
        <v>2815</v>
      </c>
      <c r="F27" s="2939" t="s">
        <v>3287</v>
      </c>
      <c r="G27" s="2939" t="s">
        <v>2998</v>
      </c>
      <c r="H27" s="2939">
        <v>17148</v>
      </c>
      <c r="I27" s="2939" t="s">
        <v>3159</v>
      </c>
      <c r="J27" s="2939">
        <v>19222.2</v>
      </c>
      <c r="K27" s="2939">
        <v>21144.42</v>
      </c>
      <c r="L27" s="2939" t="s">
        <v>3140</v>
      </c>
      <c r="M27" s="2939" t="s">
        <v>2815</v>
      </c>
      <c r="N27" s="2939" t="s">
        <v>2815</v>
      </c>
      <c r="O27" s="2939" t="s">
        <v>2815</v>
      </c>
      <c r="P27" s="2939" t="s">
        <v>2815</v>
      </c>
      <c r="Q27" s="2939" t="s">
        <v>2815</v>
      </c>
      <c r="R27" s="2939" t="s">
        <v>2815</v>
      </c>
      <c r="S27" s="2939" t="s">
        <v>2815</v>
      </c>
      <c r="T27" s="2939" t="s">
        <v>2815</v>
      </c>
      <c r="U27" s="2939" t="s">
        <v>2815</v>
      </c>
      <c r="V27" s="2939" t="s">
        <v>2815</v>
      </c>
      <c r="W27" s="2939" t="s">
        <v>3133</v>
      </c>
      <c r="X27" s="2939" t="s">
        <v>3288</v>
      </c>
      <c r="Y27" s="2939" t="s">
        <v>3289</v>
      </c>
      <c r="Z27" s="2939" t="s">
        <v>3289</v>
      </c>
      <c r="AA27" s="2939" t="s">
        <v>3289</v>
      </c>
      <c r="AB27" s="2939" t="s">
        <v>3290</v>
      </c>
      <c r="AC27" s="2939" t="s">
        <v>3129</v>
      </c>
      <c r="AD27" s="2939" t="s">
        <v>3291</v>
      </c>
      <c r="AE27" s="2939">
        <v>8971</v>
      </c>
      <c r="AF27" s="2939">
        <v>17942</v>
      </c>
      <c r="AG27" s="2939">
        <v>17942</v>
      </c>
      <c r="AH27" s="2939">
        <v>622.27</v>
      </c>
      <c r="AI27" s="2939">
        <v>622.27</v>
      </c>
      <c r="AJ27" s="2939">
        <v>8485.4500000000007</v>
      </c>
      <c r="AK27" s="2939">
        <v>8485.4500000000007</v>
      </c>
      <c r="AL27" s="2939" t="s">
        <v>2815</v>
      </c>
      <c r="AM27" s="2939" t="s">
        <v>2815</v>
      </c>
      <c r="AN27" s="2939">
        <v>0</v>
      </c>
      <c r="AO27" s="2939" t="s">
        <v>3130</v>
      </c>
      <c r="AP27" s="2939" t="s">
        <v>2815</v>
      </c>
      <c r="AQ27" s="2939" t="s">
        <v>2815</v>
      </c>
      <c r="AR27" s="2939" t="s">
        <v>2815</v>
      </c>
      <c r="AS27" s="2939" t="s">
        <v>3132</v>
      </c>
    </row>
    <row r="28" spans="1:45" s="2939" customFormat="1" ht="14.4">
      <c r="A28" s="2939" t="s">
        <v>3292</v>
      </c>
      <c r="B28" s="2939" t="s">
        <v>3071</v>
      </c>
      <c r="C28" s="2939" t="s">
        <v>3200</v>
      </c>
      <c r="D28" s="2939" t="s">
        <v>3158</v>
      </c>
      <c r="E28" s="2939" t="s">
        <v>2815</v>
      </c>
      <c r="F28" s="2939" t="s">
        <v>3292</v>
      </c>
      <c r="G28" s="2939" t="s">
        <v>2998</v>
      </c>
      <c r="H28" s="2939">
        <v>17140</v>
      </c>
      <c r="I28" s="2939" t="s">
        <v>3235</v>
      </c>
      <c r="J28" s="2939">
        <v>78686.399999999994</v>
      </c>
      <c r="K28" s="2939">
        <v>309047.8</v>
      </c>
      <c r="L28" s="2939" t="s">
        <v>3293</v>
      </c>
      <c r="M28" s="2939" t="s">
        <v>2815</v>
      </c>
      <c r="N28" s="2939" t="s">
        <v>2815</v>
      </c>
      <c r="O28" s="2939" t="s">
        <v>2815</v>
      </c>
      <c r="P28" s="2939" t="s">
        <v>2815</v>
      </c>
      <c r="Q28" s="2939" t="s">
        <v>2815</v>
      </c>
      <c r="R28" s="2939" t="s">
        <v>2815</v>
      </c>
      <c r="S28" s="2939" t="s">
        <v>2815</v>
      </c>
      <c r="T28" s="2939" t="s">
        <v>2815</v>
      </c>
      <c r="U28" s="2939" t="s">
        <v>2815</v>
      </c>
      <c r="V28" s="2939" t="s">
        <v>2815</v>
      </c>
      <c r="W28" s="2939" t="s">
        <v>3133</v>
      </c>
      <c r="X28" s="2939" t="s">
        <v>3294</v>
      </c>
      <c r="Y28" s="2939" t="s">
        <v>3295</v>
      </c>
      <c r="Z28" s="2939" t="s">
        <v>3295</v>
      </c>
      <c r="AA28" s="2939" t="s">
        <v>3295</v>
      </c>
      <c r="AB28" s="2939" t="s">
        <v>3296</v>
      </c>
      <c r="AC28" s="2939" t="s">
        <v>3129</v>
      </c>
      <c r="AD28" s="2939" t="s">
        <v>3297</v>
      </c>
      <c r="AE28" s="2939">
        <v>69253</v>
      </c>
      <c r="AF28" s="2939">
        <v>138505</v>
      </c>
      <c r="AG28" s="2939">
        <v>138505</v>
      </c>
      <c r="AH28" s="2939">
        <v>1173.48</v>
      </c>
      <c r="AI28" s="2939">
        <v>1173.48</v>
      </c>
      <c r="AJ28" s="2939">
        <v>4481.66</v>
      </c>
      <c r="AK28" s="2939">
        <v>4481.67</v>
      </c>
      <c r="AL28" s="2939" t="s">
        <v>2815</v>
      </c>
      <c r="AM28" s="2939" t="s">
        <v>2815</v>
      </c>
      <c r="AN28" s="2939">
        <v>0</v>
      </c>
      <c r="AO28" s="2939" t="s">
        <v>3209</v>
      </c>
      <c r="AP28" s="2939" t="s">
        <v>2815</v>
      </c>
      <c r="AQ28" s="2939" t="s">
        <v>2815</v>
      </c>
      <c r="AR28" s="2939" t="s">
        <v>2815</v>
      </c>
      <c r="AS28" s="2939" t="s">
        <v>3131</v>
      </c>
    </row>
    <row r="29" spans="1:45" s="2939" customFormat="1" ht="14.4">
      <c r="A29" s="2939" t="s">
        <v>3298</v>
      </c>
      <c r="B29" s="2939" t="s">
        <v>3071</v>
      </c>
      <c r="C29" s="2939" t="s">
        <v>3200</v>
      </c>
      <c r="D29" s="2939" t="s">
        <v>3158</v>
      </c>
      <c r="E29" s="2939" t="s">
        <v>2815</v>
      </c>
      <c r="F29" s="2939" t="s">
        <v>3298</v>
      </c>
      <c r="G29" s="2939" t="s">
        <v>2998</v>
      </c>
      <c r="H29" s="2939">
        <v>17136</v>
      </c>
      <c r="I29" s="2939" t="s">
        <v>3299</v>
      </c>
      <c r="J29" s="2939">
        <v>218505.2</v>
      </c>
      <c r="K29" s="2939">
        <v>742152.3</v>
      </c>
      <c r="L29" s="2939" t="s">
        <v>3300</v>
      </c>
      <c r="M29" s="2939" t="s">
        <v>2815</v>
      </c>
      <c r="N29" s="2939" t="s">
        <v>2815</v>
      </c>
      <c r="O29" s="2939" t="s">
        <v>2815</v>
      </c>
      <c r="P29" s="2939" t="s">
        <v>2815</v>
      </c>
      <c r="Q29" s="2939" t="s">
        <v>2815</v>
      </c>
      <c r="R29" s="2939" t="s">
        <v>2815</v>
      </c>
      <c r="S29" s="2939" t="s">
        <v>2815</v>
      </c>
      <c r="T29" s="2939" t="s">
        <v>2815</v>
      </c>
      <c r="U29" s="2939" t="s">
        <v>2815</v>
      </c>
      <c r="V29" s="2939" t="s">
        <v>2815</v>
      </c>
      <c r="W29" s="2939" t="s">
        <v>3133</v>
      </c>
      <c r="X29" s="2939" t="s">
        <v>3301</v>
      </c>
      <c r="Y29" s="2939" t="s">
        <v>3302</v>
      </c>
      <c r="Z29" s="2939" t="s">
        <v>3302</v>
      </c>
      <c r="AA29" s="2939" t="s">
        <v>3302</v>
      </c>
      <c r="AB29" s="2939" t="s">
        <v>3303</v>
      </c>
      <c r="AC29" s="2939" t="s">
        <v>3129</v>
      </c>
      <c r="AD29" s="2939" t="s">
        <v>3304</v>
      </c>
      <c r="AE29" s="2939">
        <v>62786</v>
      </c>
      <c r="AF29" s="2939">
        <v>313926</v>
      </c>
      <c r="AG29" s="2939">
        <v>313926</v>
      </c>
      <c r="AH29" s="2939">
        <v>957.8</v>
      </c>
      <c r="AI29" s="2939">
        <v>957.8</v>
      </c>
      <c r="AJ29" s="2939">
        <v>4229.9399999999996</v>
      </c>
      <c r="AK29" s="2939">
        <v>4229.93</v>
      </c>
      <c r="AL29" s="2939" t="s">
        <v>2815</v>
      </c>
      <c r="AM29" s="2939" t="s">
        <v>2815</v>
      </c>
      <c r="AN29" s="2939">
        <v>0</v>
      </c>
      <c r="AO29" s="2939" t="s">
        <v>3209</v>
      </c>
      <c r="AP29" s="2939" t="s">
        <v>2815</v>
      </c>
      <c r="AQ29" s="2939" t="s">
        <v>2815</v>
      </c>
      <c r="AR29" s="2939" t="s">
        <v>2815</v>
      </c>
      <c r="AS29" s="2939" t="s">
        <v>3305</v>
      </c>
    </row>
    <row r="30" spans="1:45" s="3218" customFormat="1" ht="14.4">
      <c r="A30" s="3218" t="s">
        <v>3306</v>
      </c>
      <c r="B30" s="3218" t="s">
        <v>3071</v>
      </c>
      <c r="C30" s="3218" t="s">
        <v>3200</v>
      </c>
      <c r="D30" s="3218" t="s">
        <v>3158</v>
      </c>
      <c r="E30" s="3218" t="s">
        <v>2815</v>
      </c>
      <c r="F30" s="3218" t="s">
        <v>3306</v>
      </c>
      <c r="G30" s="3218" t="s">
        <v>2998</v>
      </c>
      <c r="H30" s="3218">
        <v>17133</v>
      </c>
      <c r="I30" s="3218" t="s">
        <v>3307</v>
      </c>
      <c r="J30" s="3218">
        <v>219700</v>
      </c>
      <c r="K30" s="3218">
        <v>263640</v>
      </c>
      <c r="L30" s="3218" t="s">
        <v>3146</v>
      </c>
      <c r="M30" s="3218" t="s">
        <v>2815</v>
      </c>
      <c r="N30" s="3218" t="s">
        <v>2815</v>
      </c>
      <c r="O30" s="3218" t="s">
        <v>2815</v>
      </c>
      <c r="P30" s="3218" t="s">
        <v>2815</v>
      </c>
      <c r="Q30" s="3218" t="s">
        <v>2815</v>
      </c>
      <c r="R30" s="3218" t="s">
        <v>2815</v>
      </c>
      <c r="S30" s="3218" t="s">
        <v>2815</v>
      </c>
      <c r="T30" s="3218" t="s">
        <v>2815</v>
      </c>
      <c r="U30" s="3218" t="s">
        <v>2815</v>
      </c>
      <c r="V30" s="3218" t="s">
        <v>2815</v>
      </c>
      <c r="W30" s="3218" t="s">
        <v>3133</v>
      </c>
      <c r="X30" s="3218" t="s">
        <v>3308</v>
      </c>
      <c r="Y30" s="3218" t="s">
        <v>3145</v>
      </c>
      <c r="Z30" s="3218" t="s">
        <v>3145</v>
      </c>
      <c r="AA30" s="3218" t="s">
        <v>3145</v>
      </c>
      <c r="AB30" s="3218" t="s">
        <v>3309</v>
      </c>
      <c r="AC30" s="3218" t="s">
        <v>3129</v>
      </c>
      <c r="AD30" s="3218" t="s">
        <v>3310</v>
      </c>
      <c r="AE30" s="3218">
        <v>10919</v>
      </c>
      <c r="AF30" s="3218">
        <v>54595</v>
      </c>
      <c r="AG30" s="3218">
        <v>54595</v>
      </c>
      <c r="AH30" s="3218">
        <v>165.67</v>
      </c>
      <c r="AI30" s="3218">
        <v>165.67</v>
      </c>
      <c r="AJ30" s="3218">
        <v>2070.81</v>
      </c>
      <c r="AK30" s="3218">
        <v>2070.8200000000002</v>
      </c>
      <c r="AL30" s="3218" t="s">
        <v>2815</v>
      </c>
      <c r="AM30" s="3218" t="s">
        <v>2815</v>
      </c>
      <c r="AN30" s="3218">
        <v>0</v>
      </c>
      <c r="AO30" s="3218" t="s">
        <v>3209</v>
      </c>
      <c r="AP30" s="3218" t="s">
        <v>2815</v>
      </c>
      <c r="AQ30" s="3218" t="s">
        <v>2815</v>
      </c>
      <c r="AR30" s="3218" t="s">
        <v>2815</v>
      </c>
      <c r="AS30" s="3218" t="s">
        <v>3134</v>
      </c>
    </row>
    <row r="31" spans="1:45" s="2939" customFormat="1" ht="14.4">
      <c r="A31" s="2939" t="s">
        <v>3311</v>
      </c>
      <c r="B31" s="2939" t="s">
        <v>3071</v>
      </c>
      <c r="C31" s="2939" t="s">
        <v>3200</v>
      </c>
      <c r="D31" s="2939" t="s">
        <v>3158</v>
      </c>
      <c r="E31" s="2939" t="s">
        <v>2815</v>
      </c>
      <c r="F31" s="2939" t="s">
        <v>3311</v>
      </c>
      <c r="G31" s="2939" t="s">
        <v>3072</v>
      </c>
      <c r="H31" s="2939">
        <v>17130</v>
      </c>
      <c r="I31" s="2939" t="s">
        <v>3299</v>
      </c>
      <c r="J31" s="2939">
        <v>107434.1</v>
      </c>
      <c r="K31" s="2939">
        <v>391250.6</v>
      </c>
      <c r="L31" s="2939" t="s">
        <v>3312</v>
      </c>
      <c r="M31" s="2939" t="s">
        <v>2815</v>
      </c>
      <c r="N31" s="2939" t="s">
        <v>2815</v>
      </c>
      <c r="O31" s="2939" t="s">
        <v>2815</v>
      </c>
      <c r="P31" s="2939" t="s">
        <v>2815</v>
      </c>
      <c r="Q31" s="2939" t="s">
        <v>2815</v>
      </c>
      <c r="R31" s="2939" t="s">
        <v>2815</v>
      </c>
      <c r="S31" s="2939" t="s">
        <v>2815</v>
      </c>
      <c r="T31" s="2939" t="s">
        <v>2815</v>
      </c>
      <c r="U31" s="2939" t="s">
        <v>2815</v>
      </c>
      <c r="V31" s="2939" t="s">
        <v>2815</v>
      </c>
      <c r="W31" s="2939" t="s">
        <v>3133</v>
      </c>
      <c r="X31" s="2939" t="s">
        <v>3313</v>
      </c>
      <c r="Y31" s="2939" t="s">
        <v>3314</v>
      </c>
      <c r="Z31" s="2939" t="s">
        <v>3314</v>
      </c>
      <c r="AA31" s="2939" t="s">
        <v>3314</v>
      </c>
      <c r="AB31" s="2939" t="s">
        <v>3315</v>
      </c>
      <c r="AC31" s="2939" t="s">
        <v>3129</v>
      </c>
      <c r="AD31" s="2939" t="s">
        <v>3316</v>
      </c>
      <c r="AE31" s="2939">
        <v>87450</v>
      </c>
      <c r="AF31" s="2939">
        <v>174899</v>
      </c>
      <c r="AG31" s="2939">
        <v>176000</v>
      </c>
      <c r="AH31" s="2939">
        <v>1085.31</v>
      </c>
      <c r="AI31" s="2939">
        <v>1092.1400000000001</v>
      </c>
      <c r="AJ31" s="2939">
        <v>4470.25</v>
      </c>
      <c r="AK31" s="2939">
        <v>4498.3900000000003</v>
      </c>
      <c r="AL31" s="2939" t="s">
        <v>2815</v>
      </c>
      <c r="AM31" s="2939" t="s">
        <v>2815</v>
      </c>
      <c r="AN31" s="2939">
        <v>0.63</v>
      </c>
      <c r="AO31" s="2939" t="s">
        <v>3209</v>
      </c>
      <c r="AP31" s="2939" t="s">
        <v>2815</v>
      </c>
      <c r="AQ31" s="2939" t="s">
        <v>2815</v>
      </c>
      <c r="AR31" s="2939" t="s">
        <v>2815</v>
      </c>
      <c r="AS31" s="2939" t="s">
        <v>3131</v>
      </c>
    </row>
  </sheetData>
  <phoneticPr fontId="23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640625" defaultRowHeight="13.2"/>
  <cols>
    <col min="1" max="1" width="9.77734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11.66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31" s="2041" customFormat="1" ht="21">
      <c r="A1" s="2103" t="s">
        <v>465</v>
      </c>
      <c r="B1" s="2809"/>
      <c r="C1" s="2104"/>
      <c r="D1" s="2104"/>
      <c r="E1" s="2104"/>
      <c r="F1" s="2104"/>
      <c r="G1" s="2104"/>
      <c r="H1" s="2104"/>
      <c r="I1" s="2104"/>
      <c r="J1" s="2104"/>
      <c r="K1" s="422">
        <f>MATCH(B1,'数据-取费表'!A6:A16,0)+5</f>
        <v>8</v>
      </c>
    </row>
    <row r="2" spans="1:31" s="2041" customFormat="1" ht="18" customHeight="1">
      <c r="A2" s="2101" t="s">
        <v>466</v>
      </c>
      <c r="B2" s="2105">
        <f ca="1">C36</f>
        <v>41786</v>
      </c>
      <c r="C2" s="2104"/>
      <c r="D2" s="2104"/>
      <c r="E2" s="2104"/>
      <c r="F2" s="2104"/>
      <c r="G2" s="2104"/>
      <c r="H2" s="2104"/>
      <c r="I2" s="2104"/>
      <c r="J2" s="2104"/>
      <c r="K2" s="2104"/>
    </row>
    <row r="3" spans="1:31" s="2041" customFormat="1" ht="18" customHeight="1">
      <c r="A3" s="2106" t="s">
        <v>1683</v>
      </c>
      <c r="B3" s="2107">
        <f ca="1">ROUND(B2*10000/IF(B1="",'数据-汇总表'!E3,INDIRECT("'数据-取费表'!K"&amp;$K$1)),0)</f>
        <v>4095</v>
      </c>
      <c r="C3" s="2104"/>
      <c r="D3" s="2104"/>
      <c r="E3" s="2104"/>
      <c r="F3" s="2104"/>
      <c r="G3" s="2104"/>
      <c r="H3" s="2104"/>
      <c r="I3" s="2104"/>
      <c r="J3" s="2104"/>
      <c r="K3" s="2104"/>
    </row>
    <row r="4" spans="1:31" s="2041" customFormat="1" ht="18" customHeight="1">
      <c r="A4" s="426" t="s">
        <v>467</v>
      </c>
      <c r="B4" s="427">
        <f ca="1">ROUND(B2*10000/IF(B1="",'数据-汇总表'!D3,INDIRECT("'数据-取费表'!R"&amp;$K$1)),0)</f>
        <v>6142</v>
      </c>
      <c r="C4" s="428"/>
      <c r="D4" s="422"/>
      <c r="E4" s="422"/>
      <c r="F4" s="422"/>
      <c r="G4" s="422"/>
      <c r="H4" s="422"/>
      <c r="I4" s="422"/>
      <c r="J4" s="422"/>
      <c r="K4" s="422"/>
    </row>
    <row r="5" spans="1:31" s="2041" customFormat="1" ht="18" customHeight="1" thickBot="1">
      <c r="A5" s="429"/>
      <c r="B5" s="430">
        <f ca="1">ROUND(B2/(IF(B1="",'数据-汇总表'!D3,INDIRECT("'数据-取费表'!R"&amp;$K$1))/666.67),0)</f>
        <v>409</v>
      </c>
      <c r="C5" s="431" t="s">
        <v>468</v>
      </c>
      <c r="D5" s="422"/>
      <c r="E5" s="422"/>
      <c r="F5" s="422"/>
      <c r="G5" s="422"/>
      <c r="H5" s="422"/>
      <c r="I5" s="422"/>
      <c r="J5" s="422"/>
      <c r="K5" s="422"/>
    </row>
    <row r="6" spans="1:31" s="2111" customFormat="1" ht="16.5" customHeight="1">
      <c r="A6" s="2828" t="s">
        <v>1841</v>
      </c>
      <c r="B6" s="2829"/>
      <c r="C6" s="2830">
        <f ca="1">SUM(C10:K10)</f>
        <v>113235</v>
      </c>
      <c r="D6" s="2829"/>
      <c r="E6" s="2829"/>
      <c r="F6" s="2829"/>
      <c r="G6" s="2829"/>
      <c r="H6" s="2829"/>
      <c r="I6" s="2829"/>
      <c r="J6" s="2829"/>
      <c r="K6" s="2831"/>
    </row>
    <row r="7" spans="1:31" s="2113" customFormat="1" ht="14.4">
      <c r="A7" s="2832" t="s">
        <v>469</v>
      </c>
      <c r="B7" s="2833" t="s">
        <v>470</v>
      </c>
      <c r="C7" s="436" t="s">
        <v>3024</v>
      </c>
      <c r="D7" s="436" t="s">
        <v>3136</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1844</v>
      </c>
      <c r="B8" s="261" t="s">
        <v>471</v>
      </c>
      <c r="C8" s="2834">
        <f ca="1">'不动产收益法-商业'!B3</f>
        <v>11716</v>
      </c>
      <c r="D8" s="2834">
        <f>'不动产比较法-洋房'!B3</f>
        <v>10942</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1845</v>
      </c>
      <c r="B9" s="261" t="s">
        <v>472</v>
      </c>
      <c r="C9" s="441">
        <f>SUMIF('数据-汇总表'!$C19:$C33,'剩余法-待开发'!C7,'数据-汇总表'!$E19:$E33)</f>
        <v>20408.7</v>
      </c>
      <c r="D9" s="441">
        <f>SUMIF('数据-汇总表'!$C19:$C33,'剩余法-待开发'!D7,'数据-汇总表'!$E19:$E33)</f>
        <v>81634.8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473</v>
      </c>
      <c r="C10" s="3027">
        <f ca="1">'不动产收益法-商业'!B2</f>
        <v>23910</v>
      </c>
      <c r="D10" s="3027">
        <f>'不动产比较法-洋房'!B2</f>
        <v>89325</v>
      </c>
      <c r="E10" s="3027"/>
      <c r="F10" s="2837"/>
      <c r="G10" s="2837"/>
      <c r="H10" s="2834"/>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1847</v>
      </c>
      <c r="B13" s="2843" t="s">
        <v>478</v>
      </c>
      <c r="C13" s="450">
        <f ca="1">IF(B1="",'数据-取费表'!P16,INDIRECT("'数据-取费表'!p"&amp;$K$1)+INDIRECT("'数据-取费表'!t"&amp;$K$1))</f>
        <v>28572</v>
      </c>
      <c r="D13" s="2844"/>
      <c r="E13" s="2845"/>
      <c r="F13" s="2846"/>
      <c r="G13" s="2812"/>
      <c r="H13" s="2813"/>
      <c r="I13" s="2813"/>
      <c r="J13" s="2813"/>
      <c r="K13" s="2814"/>
    </row>
    <row r="14" spans="1:31" s="2116" customFormat="1" ht="13.5" customHeight="1">
      <c r="A14" s="2842" t="s">
        <v>1848</v>
      </c>
      <c r="B14" s="2843" t="s">
        <v>479</v>
      </c>
      <c r="C14" s="53">
        <f ca="1">ROUND(C13*F14,0)</f>
        <v>1429</v>
      </c>
      <c r="D14" s="2844"/>
      <c r="E14" s="2845"/>
      <c r="F14" s="2847">
        <f>'数据-取费表'!B33</f>
        <v>0.05</v>
      </c>
      <c r="G14" s="2812" t="s">
        <v>480</v>
      </c>
      <c r="H14" s="2813"/>
      <c r="I14" s="2813"/>
      <c r="J14" s="2813"/>
      <c r="K14" s="2814"/>
    </row>
    <row r="15" spans="1:31" s="2116" customFormat="1" ht="13.5" customHeight="1">
      <c r="A15" s="2842" t="s">
        <v>1849</v>
      </c>
      <c r="B15" s="2843" t="s">
        <v>481</v>
      </c>
      <c r="C15" s="53">
        <f ca="1">ROUND(IF(B1="",SUMIF('数据-取费表'!C:C,"住宅",'数据-取费表'!P:P)*F15,IF(INDIRECT("'数据-取费表'!c"&amp;$K$1)="住宅",INDIRECT("'数据-取费表'!P"&amp;$K$1)*F15,0)),0)</f>
        <v>1829</v>
      </c>
      <c r="D15" s="2844"/>
      <c r="E15" s="2845"/>
      <c r="F15" s="2847">
        <f>'数据-取费表'!B34</f>
        <v>0.08</v>
      </c>
      <c r="G15" s="2812" t="s">
        <v>482</v>
      </c>
      <c r="H15" s="2813"/>
      <c r="I15" s="2813"/>
      <c r="J15" s="2813"/>
      <c r="K15" s="2814"/>
    </row>
    <row r="16" spans="1:31" s="2117" customFormat="1" ht="13.5" customHeight="1">
      <c r="A16" s="2842" t="s">
        <v>1850</v>
      </c>
      <c r="B16" s="2843" t="s">
        <v>483</v>
      </c>
      <c r="C16" s="53">
        <f ca="1">ROUND(D16*E16/10000,0)</f>
        <v>2041</v>
      </c>
      <c r="D16" s="2844">
        <f ca="1">IF(B1="",'数据-汇总表'!E3,INDIRECT("'数据-取费表'!K"&amp;$K$1)+INDIRECT("'数据-取费表'!S"&amp;$K$1))</f>
        <v>102043.5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484</v>
      </c>
      <c r="C17" s="2848">
        <f ca="1">ROUND(C13*F17,0)</f>
        <v>429</v>
      </c>
      <c r="D17" s="475"/>
      <c r="E17" s="2848"/>
      <c r="F17" s="2849">
        <f>'数据-取费表'!B36</f>
        <v>1.4999999999999999E-2</v>
      </c>
      <c r="G17" s="261" t="s">
        <v>485</v>
      </c>
      <c r="H17" s="2815"/>
      <c r="I17" s="2815"/>
      <c r="J17" s="2815"/>
      <c r="K17" s="279"/>
    </row>
    <row r="18" spans="1:14" s="2116" customFormat="1" ht="13.5" customHeight="1">
      <c r="A18" s="2850" t="s">
        <v>1852</v>
      </c>
      <c r="B18" s="2851" t="s">
        <v>486</v>
      </c>
      <c r="C18" s="2852">
        <f ca="1">SUM(C13:C17)</f>
        <v>34300</v>
      </c>
      <c r="D18" s="2853"/>
      <c r="E18" s="468"/>
      <c r="F18" s="468"/>
      <c r="G18" s="2816" t="s">
        <v>2430</v>
      </c>
      <c r="H18" s="2817"/>
      <c r="I18" s="2817"/>
      <c r="J18" s="2817"/>
      <c r="K18" s="2818"/>
    </row>
    <row r="19" spans="1:14" s="2116" customFormat="1" ht="13.5" customHeight="1">
      <c r="A19" s="2850" t="s">
        <v>1853</v>
      </c>
      <c r="B19" s="2851" t="s">
        <v>487</v>
      </c>
      <c r="C19" s="2808">
        <f ca="1">ROUND(D19*E19/10000,0)</f>
        <v>1020</v>
      </c>
      <c r="D19" s="2854">
        <f ca="1">D16</f>
        <v>102043.5</v>
      </c>
      <c r="E19" s="2808">
        <f>'数据-取费表'!B32</f>
        <v>100</v>
      </c>
      <c r="F19" s="468"/>
      <c r="G19" s="2812" t="s">
        <v>488</v>
      </c>
      <c r="H19" s="2813"/>
      <c r="I19" s="2817"/>
      <c r="J19" s="2817"/>
      <c r="K19" s="2818"/>
    </row>
    <row r="20" spans="1:14" s="2116" customFormat="1" ht="13.5" customHeight="1">
      <c r="A20" s="2850" t="s">
        <v>1854</v>
      </c>
      <c r="B20" s="2851" t="s">
        <v>489</v>
      </c>
      <c r="C20" s="2808">
        <f ca="1">C21+C22-IF(B1="",'数据-取费表'!B29,IF(G20="已全部缴纳",C21+C22,H20))</f>
        <v>2959</v>
      </c>
      <c r="D20" s="2854"/>
      <c r="E20" s="2808"/>
      <c r="F20" s="2855"/>
      <c r="G20" s="3085" t="s">
        <v>3094</v>
      </c>
      <c r="H20" s="2810">
        <v>0</v>
      </c>
      <c r="I20" s="2811" t="s">
        <v>2648</v>
      </c>
      <c r="J20" s="2817"/>
      <c r="K20" s="2818"/>
    </row>
    <row r="21" spans="1:14" s="2116" customFormat="1" ht="13.5" customHeight="1">
      <c r="A21" s="2842" t="s">
        <v>1855</v>
      </c>
      <c r="B21" s="2843" t="s">
        <v>490</v>
      </c>
      <c r="C21" s="53">
        <f ca="1">ROUND(D21*E21/10000,0)</f>
        <v>2367</v>
      </c>
      <c r="D21" s="2844">
        <f ca="1">IF(B1="",'数据-汇总表'!E5,IF(INDIRECT("'数据-取费表'!c"&amp;$K$1)="住宅",INDIRECT("'数据-取费表'!k"&amp;$K$1),0))</f>
        <v>81634.8</v>
      </c>
      <c r="E21" s="53">
        <f>'数据-取费表'!B27</f>
        <v>290</v>
      </c>
      <c r="F21" s="2847"/>
      <c r="G21" s="26"/>
      <c r="H21" s="51"/>
      <c r="I21" s="51"/>
      <c r="J21" s="51"/>
      <c r="K21" s="2819"/>
    </row>
    <row r="22" spans="1:14" s="2116" customFormat="1" ht="13.5" customHeight="1">
      <c r="A22" s="2842" t="s">
        <v>1856</v>
      </c>
      <c r="B22" s="2843" t="s">
        <v>491</v>
      </c>
      <c r="C22" s="53">
        <f ca="1">ROUND(D22*E22/10000,0)</f>
        <v>592</v>
      </c>
      <c r="D22" s="2844">
        <f ca="1">IF(B1="",'数据-汇总表'!E6,IF(INDIRECT("'数据-取费表'!c"&amp;$K$1)="住宅",INDIRECT("'数据-取费表'!s"&amp;$K$1),INDIRECT("'数据-取费表'!k"&amp;$K$1)+INDIRECT("'数据-取费表'!s"&amp;$K$1)))</f>
        <v>20408.699999999997</v>
      </c>
      <c r="E22" s="53">
        <f>'数据-取费表'!B28</f>
        <v>290</v>
      </c>
      <c r="F22" s="2847"/>
      <c r="G22" s="26"/>
      <c r="H22" s="51"/>
      <c r="I22" s="51"/>
      <c r="J22" s="51"/>
      <c r="K22" s="2819"/>
    </row>
    <row r="23" spans="1:14" s="2116" customFormat="1" ht="13.5" customHeight="1">
      <c r="A23" s="2850" t="s">
        <v>1857</v>
      </c>
      <c r="B23" s="3033" t="s">
        <v>2831</v>
      </c>
      <c r="C23" s="2852">
        <f ca="1">ROUND((C18+C19+C20)*F23,0)</f>
        <v>766</v>
      </c>
      <c r="D23" s="468"/>
      <c r="E23" s="468"/>
      <c r="F23" s="2856">
        <f>'数据-取费表'!B37</f>
        <v>0.02</v>
      </c>
      <c r="G23" s="2812" t="s">
        <v>2431</v>
      </c>
      <c r="H23" s="2813"/>
      <c r="I23" s="2813"/>
      <c r="J23" s="2813"/>
      <c r="K23" s="2814"/>
      <c r="L23" s="2118"/>
      <c r="M23" s="2118"/>
      <c r="N23" s="2118"/>
    </row>
    <row r="24" spans="1:14" s="2116" customFormat="1" ht="13.5" customHeight="1">
      <c r="A24" s="2850" t="s">
        <v>1858</v>
      </c>
      <c r="B24" s="3033" t="s">
        <v>2834</v>
      </c>
      <c r="C24" s="2852">
        <f ca="1">ROUND(C6*F24,0)</f>
        <v>2265</v>
      </c>
      <c r="D24" s="475"/>
      <c r="E24" s="473"/>
      <c r="F24" s="2856">
        <f>'数据-取费表'!B38</f>
        <v>0.02</v>
      </c>
      <c r="G24" s="2821" t="s">
        <v>498</v>
      </c>
      <c r="H24" s="2815"/>
      <c r="I24" s="2815"/>
      <c r="J24" s="2815"/>
      <c r="K24" s="279"/>
      <c r="L24" s="2118"/>
      <c r="M24" s="2118"/>
      <c r="N24" s="2118"/>
    </row>
    <row r="25" spans="1:14" s="2119" customFormat="1" ht="13.5" customHeight="1">
      <c r="A25" s="2850" t="s">
        <v>1859</v>
      </c>
      <c r="B25" s="3033" t="s">
        <v>2832</v>
      </c>
      <c r="C25" s="467">
        <f>ROUND(F25/(1+'数据-取费表'!C42),4)</f>
        <v>2.9000000000000001E-2</v>
      </c>
      <c r="D25" s="462" t="s">
        <v>2826</v>
      </c>
      <c r="E25" s="469"/>
      <c r="F25" s="2856">
        <f>'数据-取费表'!B48+'数据-取费表'!B49</f>
        <v>3.0499999999999999E-2</v>
      </c>
      <c r="G25" s="2820" t="s">
        <v>2289</v>
      </c>
      <c r="H25" s="2813"/>
      <c r="I25" s="2813"/>
      <c r="J25" s="2813"/>
      <c r="K25" s="2814"/>
    </row>
    <row r="26" spans="1:14" s="2118" customFormat="1" ht="13.5" customHeight="1">
      <c r="A26" s="2850" t="s">
        <v>1860</v>
      </c>
      <c r="B26" s="3034" t="s">
        <v>2833</v>
      </c>
      <c r="C26" s="2857">
        <f ca="1">C28</f>
        <v>2978</v>
      </c>
      <c r="D26" s="467">
        <f ca="1">C27</f>
        <v>0.1537</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1855</v>
      </c>
      <c r="B27" s="2858" t="s">
        <v>495</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1856</v>
      </c>
      <c r="B28" s="2858" t="s">
        <v>2835</v>
      </c>
      <c r="C28" s="2860">
        <f ca="1">ROUND(IF('数据-取费表'!B22&lt;=1,(C18+C19+C20+C23+C24)*F26*'数据-取费表'!B24/2,(C18+C19+C20+C23+C24)*(POWER((1+F26),'数据-取费表'!B24/2)-1)),0)</f>
        <v>2978</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1861</v>
      </c>
      <c r="B29" s="2851" t="s">
        <v>496</v>
      </c>
      <c r="C29" s="2852">
        <f ca="1">ROUND(C6*F29/(1+'数据-取费表'!C42),0)</f>
        <v>6039</v>
      </c>
      <c r="D29" s="468"/>
      <c r="E29" s="468"/>
      <c r="F29" s="3035">
        <f>'数据-取费表'!B41</f>
        <v>5.6000000000000001E-2</v>
      </c>
      <c r="G29" s="2821" t="s">
        <v>497</v>
      </c>
      <c r="H29" s="2813"/>
      <c r="I29" s="2813"/>
      <c r="J29" s="2813"/>
      <c r="K29" s="2814"/>
    </row>
    <row r="30" spans="1:14" s="2121" customFormat="1" ht="13.5" customHeight="1">
      <c r="A30" s="1634" t="s">
        <v>1862</v>
      </c>
      <c r="B30" s="2862" t="s">
        <v>499</v>
      </c>
      <c r="C30" s="2857">
        <f ca="1">C31</f>
        <v>50327</v>
      </c>
      <c r="D30" s="477">
        <f ca="1">C32</f>
        <v>0.1827</v>
      </c>
      <c r="E30" s="469" t="s">
        <v>494</v>
      </c>
      <c r="F30" s="471"/>
      <c r="G30" s="2820" t="s">
        <v>2968</v>
      </c>
      <c r="H30" s="2813"/>
      <c r="I30" s="2813"/>
      <c r="J30" s="2813"/>
      <c r="K30" s="2814"/>
    </row>
    <row r="31" spans="1:14" s="2120" customFormat="1" ht="13.5" customHeight="1">
      <c r="A31" s="803" t="s">
        <v>1855</v>
      </c>
      <c r="B31" s="2858"/>
      <c r="C31" s="450">
        <f ca="1">C18+C19+C20+C23+C24+C26+C29</f>
        <v>50327</v>
      </c>
      <c r="D31" s="472"/>
      <c r="E31" s="473"/>
      <c r="F31" s="474"/>
      <c r="G31" s="261"/>
      <c r="H31" s="2815"/>
      <c r="I31" s="2815"/>
      <c r="J31" s="2815"/>
      <c r="K31" s="279"/>
    </row>
    <row r="32" spans="1:14" s="2120" customFormat="1" ht="13.5" customHeight="1">
      <c r="A32" s="803" t="s">
        <v>1856</v>
      </c>
      <c r="B32" s="2858"/>
      <c r="C32" s="53">
        <f ca="1">ROUND(C25+D26,4)</f>
        <v>0.1827</v>
      </c>
      <c r="D32" s="472"/>
      <c r="E32" s="473"/>
      <c r="F32" s="474"/>
      <c r="G32" s="261"/>
      <c r="H32" s="2815"/>
      <c r="I32" s="2815"/>
      <c r="J32" s="2815"/>
      <c r="K32" s="279"/>
    </row>
    <row r="33" spans="1:11" s="2122" customFormat="1" ht="13.5" customHeight="1">
      <c r="A33" s="3032" t="s">
        <v>2830</v>
      </c>
      <c r="B33" s="3030" t="s">
        <v>2828</v>
      </c>
      <c r="C33" s="478">
        <f ca="1">C35</f>
        <v>6610</v>
      </c>
      <c r="D33" s="467">
        <f ca="1">C34</f>
        <v>0.1646</v>
      </c>
      <c r="E33" s="469" t="s">
        <v>494</v>
      </c>
      <c r="F33" s="479">
        <f ca="1">IF(B1="",'数据-取费表'!Q16,INDIRECT("'数据-取费表'!q"&amp;$K$1))</f>
        <v>0.16</v>
      </c>
      <c r="G33" s="2816"/>
      <c r="H33" s="2817"/>
      <c r="I33" s="2817"/>
      <c r="J33" s="2817"/>
      <c r="K33" s="2818"/>
    </row>
    <row r="34" spans="1:11" s="2123" customFormat="1" ht="13.5" customHeight="1">
      <c r="A34" s="375" t="s">
        <v>1855</v>
      </c>
      <c r="B34" s="2863" t="s">
        <v>500</v>
      </c>
      <c r="C34" s="472">
        <f ca="1">ROUND((1+C25)*F33,4)</f>
        <v>0.1646</v>
      </c>
      <c r="D34" s="472"/>
      <c r="E34" s="473"/>
      <c r="F34" s="480"/>
      <c r="G34" s="261" t="s">
        <v>2290</v>
      </c>
      <c r="H34" s="2815"/>
      <c r="I34" s="2815"/>
      <c r="J34" s="2815"/>
      <c r="K34" s="279"/>
    </row>
    <row r="35" spans="1:11" s="2123" customFormat="1" ht="13.5" customHeight="1" thickBot="1">
      <c r="A35" s="1635" t="s">
        <v>1856</v>
      </c>
      <c r="B35" s="3031" t="s">
        <v>2836</v>
      </c>
      <c r="C35" s="1627">
        <f ca="1">ROUND((C18+C19+C20+C23+C24)*F33,0)</f>
        <v>6610</v>
      </c>
      <c r="D35" s="1628"/>
      <c r="E35" s="2864"/>
      <c r="F35" s="1629"/>
      <c r="G35" s="2822"/>
      <c r="H35" s="2823"/>
      <c r="I35" s="2823"/>
      <c r="J35" s="2823"/>
      <c r="K35" s="2824"/>
    </row>
    <row r="36" spans="1:11" s="2085" customFormat="1" ht="13.5" customHeight="1" thickBot="1">
      <c r="A36" s="284" t="s">
        <v>1843</v>
      </c>
      <c r="B36" s="2826"/>
      <c r="C36" s="2865">
        <f ca="1">ROUND((C6-C30-C33)/(1+D30+D33),0)</f>
        <v>41786</v>
      </c>
      <c r="D36" s="2826"/>
      <c r="E36" s="2826"/>
      <c r="F36" s="2826"/>
      <c r="G36" s="2825" t="s">
        <v>2837</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4" customWidth="1"/>
    <col min="2" max="2" width="25.77734375" style="2114" customWidth="1"/>
    <col min="3" max="3" width="10.33203125" style="2125" customWidth="1"/>
    <col min="4" max="4" width="12" style="2114" customWidth="1"/>
    <col min="5" max="5" width="9.44140625" style="2124" customWidth="1"/>
    <col min="6" max="6" width="10.109375" style="2114" customWidth="1"/>
    <col min="7" max="7" width="9.44140625" style="2114" customWidth="1"/>
    <col min="8" max="8" width="10" style="2114" customWidth="1"/>
    <col min="9" max="11" width="9.44140625" style="2114" customWidth="1"/>
    <col min="12" max="12" width="9" style="2114" customWidth="1"/>
    <col min="13" max="13" width="10.44140625" style="2114" bestFit="1" customWidth="1"/>
    <col min="14" max="254" width="9" style="2114" customWidth="1"/>
    <col min="255" max="16384" width="6.6640625" style="2114"/>
  </cols>
  <sheetData>
    <row r="1" spans="1:41" s="2041" customFormat="1" ht="21">
      <c r="A1" s="421" t="s">
        <v>465</v>
      </c>
      <c r="B1" s="2809"/>
      <c r="C1" s="2104"/>
      <c r="D1" s="2104"/>
      <c r="E1" s="2104"/>
      <c r="F1" s="2104"/>
      <c r="G1" s="2104"/>
      <c r="H1" s="2104"/>
      <c r="I1" s="2104"/>
      <c r="J1" s="2104"/>
      <c r="K1" s="422">
        <f>MATCH(B1,'数据-取费表'!A6:A16,0)+5</f>
        <v>8</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1683</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2649</v>
      </c>
      <c r="B6" s="433"/>
      <c r="C6" s="1622">
        <f>SUM(C10:K10)</f>
        <v>0</v>
      </c>
      <c r="D6" s="2109"/>
      <c r="E6" s="2109"/>
      <c r="F6" s="2109"/>
      <c r="G6" s="2109"/>
      <c r="H6" s="2109"/>
      <c r="I6" s="2109"/>
      <c r="J6" s="2109"/>
      <c r="K6" s="2110"/>
    </row>
    <row r="7" spans="1:41" s="2113" customFormat="1" ht="14.4">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1847</v>
      </c>
      <c r="B13" s="449" t="s">
        <v>478</v>
      </c>
      <c r="C13" s="450">
        <f ca="1">IF(B1="",'数据-取费表'!M16,INDIRECT("'数据-取费表'!M"&amp;$K$1)+INDIRECT("'数据-取费表'!t"&amp;$K$1))</f>
        <v>28572</v>
      </c>
      <c r="D13" s="451"/>
      <c r="E13" s="365"/>
      <c r="F13" s="452"/>
      <c r="G13" s="444"/>
      <c r="H13" s="447"/>
      <c r="I13" s="447"/>
      <c r="J13" s="447"/>
      <c r="K13" s="448"/>
    </row>
    <row r="14" spans="1:41" s="2116" customFormat="1" ht="13.5" customHeight="1">
      <c r="A14" s="1632" t="s">
        <v>1848</v>
      </c>
      <c r="B14" s="449" t="s">
        <v>479</v>
      </c>
      <c r="C14" s="53">
        <f ca="1">ROUND(C13*F14,0)</f>
        <v>1429</v>
      </c>
      <c r="D14" s="451"/>
      <c r="E14" s="365"/>
      <c r="F14" s="453">
        <f>'数据-取费表'!B33</f>
        <v>0.05</v>
      </c>
      <c r="G14" s="444" t="s">
        <v>501</v>
      </c>
      <c r="H14" s="447"/>
      <c r="I14" s="447"/>
      <c r="J14" s="447"/>
      <c r="K14" s="448"/>
    </row>
    <row r="15" spans="1:41" s="2116" customFormat="1" ht="13.5" customHeight="1">
      <c r="A15" s="1632" t="s">
        <v>1849</v>
      </c>
      <c r="B15" s="449" t="s">
        <v>481</v>
      </c>
      <c r="C15" s="53">
        <f ca="1">ROUND(IF(B1="",SUMIF('数据-取费表'!C:C,"住宅",'数据-取费表'!M:M)*F15,IF(INDIRECT("'数据-取费表'!c"&amp;$K$1)="住宅",INDIRECT("'数据-取费表'!M"&amp;$K$1)*F15,0)),0)</f>
        <v>1829</v>
      </c>
      <c r="D15" s="451"/>
      <c r="E15" s="365"/>
      <c r="F15" s="453">
        <f>'数据-取费表'!B34</f>
        <v>0.08</v>
      </c>
      <c r="G15" s="444" t="s">
        <v>501</v>
      </c>
      <c r="H15" s="447"/>
      <c r="I15" s="447"/>
      <c r="J15" s="447"/>
      <c r="K15" s="448"/>
    </row>
    <row r="16" spans="1:41" s="2117" customFormat="1" ht="13.5" customHeight="1">
      <c r="A16" s="1632" t="s">
        <v>1850</v>
      </c>
      <c r="B16" s="449" t="s">
        <v>483</v>
      </c>
      <c r="C16" s="53">
        <f ca="1">ROUND(D16*E16/10000,0)</f>
        <v>2041</v>
      </c>
      <c r="D16" s="451">
        <f ca="1">IF(B1="",'数据-汇总表'!E3,INDIRECT("'数据-取费表'!K"&amp;$K$1)+INDIRECT("'数据-取费表'!S"&amp;$K$1))</f>
        <v>102043.5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9" t="s">
        <v>484</v>
      </c>
      <c r="C17" s="454">
        <f ca="1">ROUND(C13*F17,0)</f>
        <v>429</v>
      </c>
      <c r="D17" s="455"/>
      <c r="E17" s="454"/>
      <c r="F17" s="456">
        <f>'数据-取费表'!B36</f>
        <v>1.4999999999999999E-2</v>
      </c>
      <c r="G17" s="444" t="s">
        <v>501</v>
      </c>
      <c r="H17" s="457"/>
      <c r="I17" s="457"/>
      <c r="J17" s="457"/>
      <c r="K17" s="458"/>
    </row>
    <row r="18" spans="1:14" s="2119" customFormat="1" ht="13.5" customHeight="1">
      <c r="A18" s="1633" t="s">
        <v>1852</v>
      </c>
      <c r="B18" s="459" t="s">
        <v>486</v>
      </c>
      <c r="C18" s="460">
        <f ca="1">SUM(C13:C17)</f>
        <v>34300</v>
      </c>
      <c r="D18" s="461"/>
      <c r="E18" s="462"/>
      <c r="F18" s="462"/>
      <c r="G18" s="1327" t="s">
        <v>2432</v>
      </c>
      <c r="H18" s="447"/>
      <c r="I18" s="447"/>
      <c r="J18" s="447"/>
      <c r="K18" s="448"/>
    </row>
    <row r="19" spans="1:14" s="2119" customFormat="1" ht="13.5" customHeight="1">
      <c r="A19" s="1633" t="s">
        <v>1853</v>
      </c>
      <c r="B19" s="459" t="s">
        <v>492</v>
      </c>
      <c r="C19" s="460">
        <f ca="1">ROUND(C18*F19,0)</f>
        <v>686</v>
      </c>
      <c r="D19" s="462"/>
      <c r="E19" s="462"/>
      <c r="F19" s="466">
        <f>'数据-取费表'!B37</f>
        <v>0.02</v>
      </c>
      <c r="G19" s="444" t="s">
        <v>502</v>
      </c>
      <c r="H19" s="447"/>
      <c r="I19" s="447"/>
      <c r="J19" s="447"/>
      <c r="K19" s="448"/>
      <c r="L19" s="2121"/>
      <c r="M19" s="2121"/>
      <c r="N19" s="2121"/>
    </row>
    <row r="20" spans="1:14" s="2119" customFormat="1" ht="13.5" customHeight="1">
      <c r="A20" s="1633" t="s">
        <v>1854</v>
      </c>
      <c r="B20" s="459" t="s">
        <v>503</v>
      </c>
      <c r="C20" s="3028">
        <f>F20</f>
        <v>0.02</v>
      </c>
      <c r="D20" s="469" t="s">
        <v>504</v>
      </c>
      <c r="E20" s="469"/>
      <c r="F20" s="486">
        <f>'数据-取费表'!B38</f>
        <v>0.02</v>
      </c>
      <c r="G20" s="1327" t="s">
        <v>505</v>
      </c>
      <c r="H20" s="447"/>
      <c r="I20" s="447"/>
      <c r="J20" s="447"/>
      <c r="K20" s="448"/>
      <c r="L20" s="2121"/>
      <c r="M20" s="2121"/>
      <c r="N20" s="2121"/>
    </row>
    <row r="21" spans="1:14" s="2121" customFormat="1" ht="13.5" customHeight="1">
      <c r="A21" s="1633" t="s">
        <v>1857</v>
      </c>
      <c r="B21" s="461" t="s">
        <v>493</v>
      </c>
      <c r="C21" s="470">
        <f ca="1">C22</f>
        <v>2522</v>
      </c>
      <c r="D21" s="467">
        <f ca="1">C23</f>
        <v>1.4E-3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2453</v>
      </c>
    </row>
    <row r="22" spans="1:14" s="2120" customFormat="1" ht="13.5" customHeight="1">
      <c r="A22" s="1632" t="s">
        <v>1847</v>
      </c>
      <c r="B22" s="1328" t="s">
        <v>2435</v>
      </c>
      <c r="C22" s="487">
        <f ca="1">ROUND(IF('数据-取费表'!B22&lt;=1,(C18+C19)*F21*'数据-取费表'!B20/2,(C18+C19)*(POWER((1+F21),'数据-取费表'!B20/2)-1)),0)</f>
        <v>2522</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1848</v>
      </c>
      <c r="B23" s="1328"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1858</v>
      </c>
      <c r="B24" s="3030" t="s">
        <v>2829</v>
      </c>
      <c r="C24" s="478">
        <f ca="1">C25</f>
        <v>5598</v>
      </c>
      <c r="D24" s="489">
        <f ca="1">C26</f>
        <v>3.2000000000000002E-3</v>
      </c>
      <c r="E24" s="469" t="s">
        <v>506</v>
      </c>
      <c r="F24" s="479">
        <f ca="1">IF(B1="",'数据-取费表'!Q16,INDIRECT("'数据-取费表'!q"&amp;$K$1))</f>
        <v>0.16</v>
      </c>
      <c r="G24" s="444"/>
      <c r="H24" s="447"/>
      <c r="I24" s="447"/>
      <c r="J24" s="447"/>
      <c r="K24" s="448"/>
    </row>
    <row r="25" spans="1:14" s="2120" customFormat="1" ht="13.5" customHeight="1">
      <c r="A25" s="1632" t="s">
        <v>1847</v>
      </c>
      <c r="B25" s="1328" t="s">
        <v>2436</v>
      </c>
      <c r="C25" s="490">
        <f ca="1">ROUND((C18+C19)*F24,0)</f>
        <v>5598</v>
      </c>
      <c r="D25" s="472"/>
      <c r="E25" s="473"/>
      <c r="F25" s="480"/>
      <c r="G25" s="1326" t="s">
        <v>2433</v>
      </c>
      <c r="H25" s="457"/>
      <c r="I25" s="457"/>
      <c r="J25" s="457"/>
      <c r="K25" s="458"/>
    </row>
    <row r="26" spans="1:14" s="2120" customFormat="1" ht="13.5" customHeight="1">
      <c r="A26" s="1632" t="s">
        <v>1848</v>
      </c>
      <c r="B26" s="1328" t="s">
        <v>508</v>
      </c>
      <c r="C26" s="491">
        <f ca="1">ROUND(F20*F24,4)</f>
        <v>3.2000000000000002E-3</v>
      </c>
      <c r="D26" s="472"/>
      <c r="E26" s="481"/>
      <c r="F26" s="480"/>
      <c r="G26" s="1326" t="s">
        <v>509</v>
      </c>
      <c r="H26" s="457"/>
      <c r="I26" s="457"/>
      <c r="J26" s="457"/>
      <c r="K26" s="458"/>
    </row>
    <row r="27" spans="1:14" s="2120" customFormat="1" ht="13.5" customHeight="1">
      <c r="A27" s="1636" t="s">
        <v>1866</v>
      </c>
      <c r="B27" s="459" t="s">
        <v>510</v>
      </c>
      <c r="C27" s="3029">
        <f>ROUND(F27/(1+'数据-取费表'!C42),4)</f>
        <v>5.33E-2</v>
      </c>
      <c r="D27" s="462" t="s">
        <v>2827</v>
      </c>
      <c r="E27" s="462"/>
      <c r="F27" s="466">
        <f>'数据-取费表'!B41</f>
        <v>5.6000000000000001E-2</v>
      </c>
      <c r="G27" s="1960" t="s">
        <v>2291</v>
      </c>
      <c r="H27" s="447"/>
      <c r="I27" s="447"/>
      <c r="J27" s="447"/>
      <c r="K27" s="448"/>
    </row>
    <row r="28" spans="1:14" s="2121" customFormat="1" ht="13.5" customHeight="1">
      <c r="A28" s="1636" t="s">
        <v>1867</v>
      </c>
      <c r="B28" s="476" t="s">
        <v>511</v>
      </c>
      <c r="C28" s="470">
        <f ca="1">ROUND((C18+C19+C21+C24)/(1-C20-D21-D24-C27),0)</f>
        <v>46748</v>
      </c>
      <c r="D28" s="477"/>
      <c r="E28" s="469"/>
      <c r="F28" s="471"/>
      <c r="G28" s="1327" t="s">
        <v>2434</v>
      </c>
      <c r="H28" s="447"/>
      <c r="I28" s="447"/>
      <c r="J28" s="447"/>
      <c r="K28" s="448"/>
    </row>
    <row r="29" spans="1:14" s="2121" customFormat="1" ht="13.5" customHeight="1">
      <c r="A29" s="1636" t="s">
        <v>1868</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9" t="s">
        <v>514</v>
      </c>
      <c r="H30" s="496"/>
      <c r="I30" s="496"/>
      <c r="J30" s="447"/>
      <c r="K30" s="448"/>
    </row>
    <row r="31" spans="1:14" s="2126" customFormat="1" ht="13.5" customHeight="1">
      <c r="A31" s="2482" t="s">
        <v>1864</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c r="A3" s="1380" t="s">
        <v>1684</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6"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6"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4.4">
      <c r="A6" s="512" t="s">
        <v>520</v>
      </c>
      <c r="B6" s="513"/>
      <c r="C6" s="3468" t="s">
        <v>521</v>
      </c>
      <c r="D6" s="3469"/>
      <c r="E6" s="3499" t="s">
        <v>522</v>
      </c>
      <c r="F6" s="3500"/>
      <c r="G6" s="3468" t="s">
        <v>523</v>
      </c>
      <c r="H6" s="3469"/>
      <c r="I6" s="3468" t="s">
        <v>524</v>
      </c>
      <c r="J6" s="3469"/>
      <c r="K6" s="514" t="s">
        <v>525</v>
      </c>
      <c r="L6" s="2133"/>
      <c r="M6" s="2134"/>
      <c r="N6" s="2134"/>
      <c r="O6" s="2134"/>
      <c r="P6" s="3470" t="s">
        <v>526</v>
      </c>
      <c r="Q6" s="3471"/>
      <c r="R6" s="3456" t="s">
        <v>522</v>
      </c>
      <c r="S6" s="3457"/>
      <c r="T6" s="3456" t="s">
        <v>523</v>
      </c>
      <c r="U6" s="3457"/>
      <c r="V6" s="3476" t="s">
        <v>524</v>
      </c>
      <c r="W6" s="3476"/>
      <c r="X6" s="1566"/>
      <c r="Y6" s="3456" t="s">
        <v>526</v>
      </c>
      <c r="Z6" s="3457"/>
      <c r="AA6" s="3451" t="s">
        <v>522</v>
      </c>
      <c r="AB6" s="3452" t="s">
        <v>523</v>
      </c>
      <c r="AC6" s="3451" t="s">
        <v>524</v>
      </c>
    </row>
    <row r="7" spans="1:29">
      <c r="A7" s="515"/>
      <c r="B7" s="516"/>
      <c r="C7" s="3479" t="s">
        <v>2924</v>
      </c>
      <c r="D7" s="3480"/>
      <c r="E7" s="3501" t="s">
        <v>2925</v>
      </c>
      <c r="F7" s="3502"/>
      <c r="G7" s="3479" t="s">
        <v>2926</v>
      </c>
      <c r="H7" s="3480"/>
      <c r="I7" s="3479" t="s">
        <v>2927</v>
      </c>
      <c r="J7" s="3480"/>
      <c r="K7" s="514"/>
      <c r="L7" s="2133"/>
      <c r="M7" s="2134"/>
      <c r="N7" s="2134"/>
      <c r="O7" s="2134"/>
      <c r="P7" s="3472"/>
      <c r="Q7" s="3473"/>
      <c r="R7" s="3458"/>
      <c r="S7" s="3459"/>
      <c r="T7" s="3458"/>
      <c r="U7" s="3459"/>
      <c r="V7" s="3476"/>
      <c r="W7" s="3476"/>
      <c r="X7" s="1566"/>
      <c r="Y7" s="3458"/>
      <c r="Z7" s="3459"/>
      <c r="AA7" s="3452"/>
      <c r="AB7" s="3452"/>
      <c r="AC7" s="3452"/>
    </row>
    <row r="8" spans="1:29" ht="15" thickBot="1">
      <c r="A8" s="517"/>
      <c r="B8" s="518"/>
      <c r="C8" s="3477" t="s">
        <v>2928</v>
      </c>
      <c r="D8" s="3478"/>
      <c r="E8" s="3503" t="s">
        <v>2928</v>
      </c>
      <c r="F8" s="3504"/>
      <c r="G8" s="3477" t="s">
        <v>2928</v>
      </c>
      <c r="H8" s="3478"/>
      <c r="I8" s="3477" t="s">
        <v>2928</v>
      </c>
      <c r="J8" s="3478"/>
      <c r="K8" s="514" t="s">
        <v>527</v>
      </c>
      <c r="L8" s="2133"/>
      <c r="M8" s="2134"/>
      <c r="N8" s="2134"/>
      <c r="O8" s="2134"/>
      <c r="P8" s="3474"/>
      <c r="Q8" s="3475"/>
      <c r="R8" s="3458"/>
      <c r="S8" s="3459"/>
      <c r="T8" s="3460"/>
      <c r="U8" s="3461"/>
      <c r="V8" s="3476"/>
      <c r="W8" s="3476"/>
      <c r="X8" s="1566"/>
      <c r="Y8" s="3460"/>
      <c r="Z8" s="3461"/>
      <c r="AA8" s="3453"/>
      <c r="AB8" s="3453"/>
      <c r="AC8" s="3453"/>
    </row>
    <row r="9" spans="1:29" s="1220" customFormat="1" ht="15" thickBot="1">
      <c r="A9" s="2912"/>
      <c r="B9" s="2919" t="s">
        <v>528</v>
      </c>
      <c r="C9" s="519">
        <f>'数据-取费表'!B2</f>
        <v>43626</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54" t="s">
        <v>529</v>
      </c>
      <c r="Q9" s="3463"/>
      <c r="R9" s="1567" t="s">
        <v>8</v>
      </c>
      <c r="S9" s="1568">
        <f t="shared" ref="S9:S17" si="0">F9</f>
        <v>0</v>
      </c>
      <c r="T9" s="1567" t="s">
        <v>8</v>
      </c>
      <c r="U9" s="1568">
        <f t="shared" ref="U9:U17" si="1">H9</f>
        <v>0</v>
      </c>
      <c r="V9" s="1567" t="s">
        <v>8</v>
      </c>
      <c r="W9" s="1568">
        <f t="shared" ref="W9:W17" si="2">J9</f>
        <v>0</v>
      </c>
      <c r="X9" s="1569"/>
      <c r="Y9" s="3454" t="s">
        <v>529</v>
      </c>
      <c r="Z9" s="3455"/>
      <c r="AA9" s="1570" t="e">
        <f>D9/F9</f>
        <v>#DIV/0!</v>
      </c>
      <c r="AB9" s="1570" t="e">
        <f>D9/H9</f>
        <v>#DIV/0!</v>
      </c>
      <c r="AC9" s="1570" t="e">
        <f>D9/J9</f>
        <v>#DIV/0!</v>
      </c>
    </row>
    <row r="10" spans="1:29" s="1220" customFormat="1" ht="1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54" t="s">
        <v>532</v>
      </c>
      <c r="Q10" s="3455"/>
      <c r="R10" s="1567" t="s">
        <v>8</v>
      </c>
      <c r="S10" s="1568">
        <f t="shared" si="0"/>
        <v>0</v>
      </c>
      <c r="T10" s="1567" t="s">
        <v>8</v>
      </c>
      <c r="U10" s="1568">
        <f t="shared" si="1"/>
        <v>0</v>
      </c>
      <c r="V10" s="1567" t="s">
        <v>8</v>
      </c>
      <c r="W10" s="1568">
        <f t="shared" si="2"/>
        <v>0</v>
      </c>
      <c r="X10" s="1569"/>
      <c r="Y10" s="3454" t="s">
        <v>532</v>
      </c>
      <c r="Z10" s="3455"/>
      <c r="AA10" s="1570" t="e">
        <f t="shared" ref="AA10:AA42" si="3">D10/F10</f>
        <v>#DIV/0!</v>
      </c>
      <c r="AB10" s="1570" t="e">
        <f t="shared" ref="AB10:AB42" si="4">D10/H10</f>
        <v>#DIV/0!</v>
      </c>
      <c r="AC10" s="1570" t="e">
        <f t="shared" ref="AC10:AC42" si="5">D10/J10</f>
        <v>#DIV/0!</v>
      </c>
    </row>
    <row r="11" spans="1:29" s="1220" customFormat="1" ht="14.4">
      <c r="A11" s="2914"/>
      <c r="B11" s="2921" t="s">
        <v>2753</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62" t="s">
        <v>534</v>
      </c>
      <c r="Q11" s="1151" t="str">
        <f t="shared" ref="Q11:Q17" si="6">B11</f>
        <v>用途</v>
      </c>
      <c r="R11" s="1567" t="s">
        <v>8</v>
      </c>
      <c r="S11" s="1568">
        <f t="shared" si="0"/>
        <v>100</v>
      </c>
      <c r="T11" s="1567" t="s">
        <v>8</v>
      </c>
      <c r="U11" s="1568">
        <f t="shared" si="1"/>
        <v>100</v>
      </c>
      <c r="V11" s="1567" t="s">
        <v>8</v>
      </c>
      <c r="W11" s="1568">
        <f t="shared" si="2"/>
        <v>100</v>
      </c>
      <c r="X11" s="1569"/>
      <c r="Y11" s="3419" t="s">
        <v>535</v>
      </c>
      <c r="Z11" s="1150" t="str">
        <f t="shared" ref="Z11:Z17" si="7">Q11</f>
        <v>用途</v>
      </c>
      <c r="AA11" s="1570">
        <f t="shared" si="3"/>
        <v>1</v>
      </c>
      <c r="AB11" s="1570">
        <f t="shared" si="4"/>
        <v>1</v>
      </c>
      <c r="AC11" s="1570">
        <f t="shared" si="5"/>
        <v>1</v>
      </c>
    </row>
    <row r="12" spans="1:29" s="1338" customFormat="1" ht="28.8">
      <c r="A12" s="2915"/>
      <c r="B12" s="2920" t="s">
        <v>2754</v>
      </c>
      <c r="C12" s="528"/>
      <c r="D12" s="255">
        <v>100</v>
      </c>
      <c r="E12" s="528"/>
      <c r="F12" s="255">
        <f>ROUND(100/'数据-取费表'!G16,0)</f>
        <v>103</v>
      </c>
      <c r="G12" s="528"/>
      <c r="H12" s="255">
        <f>ROUND(100/'数据-取费表'!G16,0)</f>
        <v>103</v>
      </c>
      <c r="I12" s="528"/>
      <c r="J12" s="255">
        <f>ROUND(100/'数据-取费表'!G16,0)</f>
        <v>103</v>
      </c>
      <c r="K12" s="531"/>
      <c r="L12" s="2138"/>
      <c r="M12" s="2178"/>
      <c r="N12" s="2178"/>
      <c r="O12" s="2139"/>
      <c r="P12" s="3462"/>
      <c r="Q12" s="1151" t="str">
        <f t="shared" si="6"/>
        <v>土地使用年限（年）</v>
      </c>
      <c r="R12" s="1567" t="s">
        <v>8</v>
      </c>
      <c r="S12" s="1568">
        <f t="shared" si="0"/>
        <v>103</v>
      </c>
      <c r="T12" s="1567" t="s">
        <v>8</v>
      </c>
      <c r="U12" s="1568">
        <f t="shared" si="1"/>
        <v>103</v>
      </c>
      <c r="V12" s="1567" t="s">
        <v>8</v>
      </c>
      <c r="W12" s="1568">
        <f t="shared" si="2"/>
        <v>103</v>
      </c>
      <c r="X12" s="1569"/>
      <c r="Y12" s="3419"/>
      <c r="Z12" s="1150" t="str">
        <f t="shared" si="7"/>
        <v>土地使用年限（年）</v>
      </c>
      <c r="AA12" s="1570">
        <f t="shared" si="3"/>
        <v>0.970873786407767</v>
      </c>
      <c r="AB12" s="1570">
        <f t="shared" si="4"/>
        <v>0.970873786407767</v>
      </c>
      <c r="AC12" s="1570">
        <f t="shared" si="5"/>
        <v>0.970873786407767</v>
      </c>
    </row>
    <row r="13" spans="1:29" ht="15">
      <c r="A13" s="2916"/>
      <c r="B13" s="2920"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62"/>
      <c r="Q13" s="1151" t="str">
        <f t="shared" si="6"/>
        <v>容积率</v>
      </c>
      <c r="R13" s="1567" t="s">
        <v>8</v>
      </c>
      <c r="S13" s="1568" t="e">
        <f t="shared" si="0"/>
        <v>#N/A</v>
      </c>
      <c r="T13" s="1567" t="s">
        <v>8</v>
      </c>
      <c r="U13" s="1568" t="e">
        <f t="shared" si="1"/>
        <v>#N/A</v>
      </c>
      <c r="V13" s="1567" t="s">
        <v>8</v>
      </c>
      <c r="W13" s="1568" t="e">
        <f t="shared" si="2"/>
        <v>#N/A</v>
      </c>
      <c r="X13" s="1569"/>
      <c r="Y13" s="3419"/>
      <c r="Z13" s="1150" t="str">
        <f t="shared" si="7"/>
        <v>容积率</v>
      </c>
      <c r="AA13" s="1570" t="e">
        <f t="shared" si="3"/>
        <v>#N/A</v>
      </c>
      <c r="AB13" s="1570" t="e">
        <f t="shared" si="4"/>
        <v>#N/A</v>
      </c>
      <c r="AC13" s="1570"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62"/>
      <c r="Q15" s="1151">
        <f t="shared" si="6"/>
        <v>111</v>
      </c>
      <c r="R15" s="1567" t="s">
        <v>8</v>
      </c>
      <c r="S15" s="1568">
        <f t="shared" si="0"/>
        <v>100</v>
      </c>
      <c r="T15" s="1567" t="s">
        <v>8</v>
      </c>
      <c r="U15" s="1568">
        <f t="shared" si="1"/>
        <v>100</v>
      </c>
      <c r="V15" s="1567" t="s">
        <v>8</v>
      </c>
      <c r="W15" s="1568">
        <f t="shared" si="2"/>
        <v>100</v>
      </c>
      <c r="X15" s="1569"/>
      <c r="Y15" s="3419"/>
      <c r="Z15" s="1150">
        <f t="shared" si="7"/>
        <v>111</v>
      </c>
      <c r="AA15" s="1570">
        <f t="shared" si="3"/>
        <v>1</v>
      </c>
      <c r="AB15" s="1570">
        <f t="shared" si="4"/>
        <v>1</v>
      </c>
      <c r="AC15" s="1570">
        <f t="shared" si="5"/>
        <v>1</v>
      </c>
    </row>
    <row r="16" spans="1:29" ht="15.6"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62"/>
      <c r="Q16" s="1151">
        <f t="shared" si="6"/>
        <v>111</v>
      </c>
      <c r="R16" s="1567" t="s">
        <v>8</v>
      </c>
      <c r="S16" s="1568">
        <f t="shared" si="0"/>
        <v>100</v>
      </c>
      <c r="T16" s="1567" t="s">
        <v>8</v>
      </c>
      <c r="U16" s="1568">
        <f t="shared" si="1"/>
        <v>100</v>
      </c>
      <c r="V16" s="1567" t="s">
        <v>8</v>
      </c>
      <c r="W16" s="1568">
        <f t="shared" si="2"/>
        <v>100</v>
      </c>
      <c r="X16" s="1569"/>
      <c r="Y16" s="3419"/>
      <c r="Z16" s="1150">
        <f t="shared" si="7"/>
        <v>111</v>
      </c>
      <c r="AA16" s="1570">
        <f t="shared" si="3"/>
        <v>1</v>
      </c>
      <c r="AB16" s="1570">
        <f t="shared" si="4"/>
        <v>1</v>
      </c>
      <c r="AC16" s="1570">
        <f t="shared" si="5"/>
        <v>1</v>
      </c>
    </row>
    <row r="17" spans="1:29" ht="69">
      <c r="A17" s="2910"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64" t="s">
        <v>539</v>
      </c>
      <c r="Q17" s="1571" t="str">
        <f t="shared" si="6"/>
        <v>产业集聚程度</v>
      </c>
      <c r="R17" s="1572" t="s">
        <v>8</v>
      </c>
      <c r="S17" s="1573">
        <f t="shared" si="0"/>
        <v>100</v>
      </c>
      <c r="T17" s="1572" t="s">
        <v>8</v>
      </c>
      <c r="U17" s="1573">
        <f t="shared" si="1"/>
        <v>100</v>
      </c>
      <c r="V17" s="1572" t="s">
        <v>8</v>
      </c>
      <c r="W17" s="1573">
        <f t="shared" si="2"/>
        <v>100</v>
      </c>
      <c r="X17" s="1566"/>
      <c r="Y17" s="3464"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65"/>
      <c r="Q18" s="1571"/>
      <c r="R18" s="1572"/>
      <c r="S18" s="1573"/>
      <c r="T18" s="1572"/>
      <c r="U18" s="1573"/>
      <c r="V18" s="1572"/>
      <c r="W18" s="1573"/>
      <c r="X18" s="1566"/>
      <c r="Y18" s="3465"/>
      <c r="Z18" s="1574"/>
      <c r="AA18" s="1575">
        <v>1</v>
      </c>
      <c r="AB18" s="1575">
        <v>1</v>
      </c>
      <c r="AC18" s="1575">
        <v>1</v>
      </c>
    </row>
    <row r="19" spans="1:29" ht="96.6">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65"/>
      <c r="Q19" s="1571" t="str">
        <f>B19</f>
        <v>交通便捷度</v>
      </c>
      <c r="R19" s="1572" t="s">
        <v>8</v>
      </c>
      <c r="S19" s="1573">
        <f>F19</f>
        <v>100</v>
      </c>
      <c r="T19" s="1572" t="s">
        <v>8</v>
      </c>
      <c r="U19" s="1573">
        <f>H19</f>
        <v>100</v>
      </c>
      <c r="V19" s="1572" t="s">
        <v>8</v>
      </c>
      <c r="W19" s="1573">
        <f>J19</f>
        <v>100</v>
      </c>
      <c r="X19" s="1566"/>
      <c r="Y19" s="3465"/>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65"/>
      <c r="Q20" s="1571"/>
      <c r="R20" s="1572"/>
      <c r="S20" s="1573"/>
      <c r="T20" s="1572"/>
      <c r="U20" s="1573"/>
      <c r="V20" s="1572"/>
      <c r="W20" s="1573"/>
      <c r="X20" s="1566"/>
      <c r="Y20" s="3465"/>
      <c r="Z20" s="1574"/>
      <c r="AA20" s="1575">
        <v>1</v>
      </c>
      <c r="AB20" s="1575">
        <v>1</v>
      </c>
      <c r="AC20" s="1575">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65"/>
      <c r="Q21" s="1571" t="str">
        <f t="shared" ref="Q21:Q35" si="8">B21</f>
        <v>区域土地利用方向</v>
      </c>
      <c r="R21" s="1572" t="s">
        <v>8</v>
      </c>
      <c r="S21" s="1573">
        <f>F21</f>
        <v>100</v>
      </c>
      <c r="T21" s="1572" t="s">
        <v>8</v>
      </c>
      <c r="U21" s="1573">
        <f>H21</f>
        <v>100</v>
      </c>
      <c r="V21" s="1572" t="s">
        <v>8</v>
      </c>
      <c r="W21" s="1573">
        <f>J21</f>
        <v>100</v>
      </c>
      <c r="X21" s="1566"/>
      <c r="Y21" s="346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8"/>
      <c r="L22" s="2142"/>
      <c r="M22" s="2134"/>
      <c r="N22" s="2134"/>
      <c r="O22" s="2141"/>
      <c r="P22" s="3465"/>
      <c r="Q22" s="1571"/>
      <c r="R22" s="1572"/>
      <c r="S22" s="1573"/>
      <c r="T22" s="1572"/>
      <c r="U22" s="1573"/>
      <c r="V22" s="1572"/>
      <c r="W22" s="1573"/>
      <c r="X22" s="1566"/>
      <c r="Y22" s="3465"/>
      <c r="Z22" s="1574"/>
      <c r="AA22" s="1575"/>
      <c r="AB22" s="1575"/>
      <c r="AC22" s="1575"/>
    </row>
    <row r="23" spans="1:29" ht="82.8">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65"/>
      <c r="Q23" s="1571" t="str">
        <f t="shared" si="8"/>
        <v>环境状况</v>
      </c>
      <c r="R23" s="1572" t="s">
        <v>8</v>
      </c>
      <c r="S23" s="1573">
        <f>F23</f>
        <v>100</v>
      </c>
      <c r="T23" s="1572" t="s">
        <v>8</v>
      </c>
      <c r="U23" s="1573">
        <f>H23</f>
        <v>100</v>
      </c>
      <c r="V23" s="1572" t="s">
        <v>8</v>
      </c>
      <c r="W23" s="1573">
        <f>J23</f>
        <v>100</v>
      </c>
      <c r="X23" s="1566"/>
      <c r="Y23" s="346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65"/>
      <c r="Q24" s="1571"/>
      <c r="R24" s="1572"/>
      <c r="S24" s="1573"/>
      <c r="T24" s="1572"/>
      <c r="U24" s="1573"/>
      <c r="V24" s="1572"/>
      <c r="W24" s="1573"/>
      <c r="X24" s="1566"/>
      <c r="Y24" s="3465"/>
      <c r="Z24" s="1574"/>
      <c r="AA24" s="1575">
        <v>1</v>
      </c>
      <c r="AB24" s="1575">
        <v>1</v>
      </c>
      <c r="AC24" s="1575">
        <v>1</v>
      </c>
    </row>
    <row r="25" spans="1:29" s="1220" customFormat="1" ht="41.4">
      <c r="A25" s="577"/>
      <c r="B25" s="2593"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65"/>
      <c r="Q25" s="1151" t="str">
        <f t="shared" si="8"/>
        <v>公共配套设施</v>
      </c>
      <c r="R25" s="1567" t="s">
        <v>8</v>
      </c>
      <c r="S25" s="1568">
        <f>F25</f>
        <v>100</v>
      </c>
      <c r="T25" s="1567" t="s">
        <v>8</v>
      </c>
      <c r="U25" s="1568">
        <f>H25</f>
        <v>100</v>
      </c>
      <c r="V25" s="1567" t="s">
        <v>8</v>
      </c>
      <c r="W25" s="1568">
        <f>J25</f>
        <v>100</v>
      </c>
      <c r="X25" s="1569"/>
      <c r="Y25" s="3465"/>
      <c r="Z25" s="1150" t="str">
        <f>Q25</f>
        <v>公共配套设施</v>
      </c>
      <c r="AA25" s="1575">
        <f>D25/F25</f>
        <v>1</v>
      </c>
      <c r="AB25" s="1575">
        <f>D25/H25</f>
        <v>1</v>
      </c>
      <c r="AC25" s="1575">
        <f>D25/J25</f>
        <v>1</v>
      </c>
    </row>
    <row r="26" spans="1:29" s="1220" customFormat="1" ht="15">
      <c r="A26" s="577"/>
      <c r="B26" s="595"/>
      <c r="C26" s="2592"/>
      <c r="D26" s="555"/>
      <c r="E26" s="554"/>
      <c r="F26" s="555"/>
      <c r="G26" s="554"/>
      <c r="H26" s="555"/>
      <c r="I26" s="576"/>
      <c r="J26" s="555"/>
      <c r="K26" s="531"/>
      <c r="L26" s="2135"/>
      <c r="M26" s="2136"/>
      <c r="N26" s="2136"/>
      <c r="O26" s="2137"/>
      <c r="P26" s="3465"/>
      <c r="Q26" s="1151"/>
      <c r="R26" s="1567"/>
      <c r="S26" s="1568"/>
      <c r="T26" s="1567"/>
      <c r="U26" s="1568"/>
      <c r="V26" s="1567"/>
      <c r="W26" s="1568"/>
      <c r="X26" s="1569"/>
      <c r="Y26" s="3465"/>
      <c r="Z26" s="1150"/>
      <c r="AA26" s="1570">
        <v>1</v>
      </c>
      <c r="AB26" s="1570">
        <v>1</v>
      </c>
      <c r="AC26" s="1570">
        <v>1</v>
      </c>
    </row>
    <row r="27" spans="1:29" s="1220" customFormat="1" ht="41.4">
      <c r="A27" s="577"/>
      <c r="B27" s="2593"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65"/>
      <c r="Q27" s="2578" t="str">
        <f t="shared" ref="Q27" si="9">B27</f>
        <v>基础设施水平</v>
      </c>
      <c r="R27" s="1567" t="s">
        <v>8</v>
      </c>
      <c r="S27" s="1568">
        <f>F27</f>
        <v>100</v>
      </c>
      <c r="T27" s="1567" t="s">
        <v>8</v>
      </c>
      <c r="U27" s="1568">
        <f>H27</f>
        <v>100</v>
      </c>
      <c r="V27" s="1567" t="s">
        <v>8</v>
      </c>
      <c r="W27" s="1568">
        <f>J27</f>
        <v>100</v>
      </c>
      <c r="X27" s="1569"/>
      <c r="Y27" s="3465"/>
      <c r="Z27" s="2575" t="str">
        <f>Q27</f>
        <v>基础设施水平</v>
      </c>
      <c r="AA27" s="1575">
        <f>D27/F27</f>
        <v>1</v>
      </c>
      <c r="AB27" s="1575">
        <f>D27/H27</f>
        <v>1</v>
      </c>
      <c r="AC27" s="1575">
        <f>D27/J27</f>
        <v>1</v>
      </c>
    </row>
    <row r="28" spans="1:29" s="1220" customFormat="1" ht="15">
      <c r="A28" s="577"/>
      <c r="B28" s="595"/>
      <c r="C28" s="2592"/>
      <c r="D28" s="555"/>
      <c r="E28" s="579"/>
      <c r="F28" s="555"/>
      <c r="G28" s="579"/>
      <c r="H28" s="555"/>
      <c r="I28" s="579"/>
      <c r="J28" s="555"/>
      <c r="K28" s="531"/>
      <c r="L28" s="2135"/>
      <c r="M28" s="2136"/>
      <c r="N28" s="2136"/>
      <c r="O28" s="2137"/>
      <c r="P28" s="3465"/>
      <c r="Q28" s="2578"/>
      <c r="R28" s="1567"/>
      <c r="S28" s="1568"/>
      <c r="T28" s="1567"/>
      <c r="U28" s="1568"/>
      <c r="V28" s="1567"/>
      <c r="W28" s="1568"/>
      <c r="X28" s="1569"/>
      <c r="Y28" s="3465"/>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6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5"/>
      <c r="Z29" s="1574" t="str">
        <f t="shared" ref="Z29:Z42" si="13">Q29</f>
        <v>临街状况</v>
      </c>
      <c r="AA29" s="1575">
        <f t="shared" si="3"/>
        <v>1</v>
      </c>
      <c r="AB29" s="1575">
        <f t="shared" si="4"/>
        <v>1</v>
      </c>
      <c r="AC29" s="1575">
        <f t="shared" si="5"/>
        <v>1</v>
      </c>
    </row>
    <row r="30" spans="1:29" ht="28.8">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65"/>
      <c r="Q30" s="1571" t="str">
        <f t="shared" si="8"/>
        <v>毗邻道路的类型与等级</v>
      </c>
      <c r="R30" s="1572" t="s">
        <v>8</v>
      </c>
      <c r="S30" s="1573">
        <f t="shared" si="10"/>
        <v>100</v>
      </c>
      <c r="T30" s="1572" t="s">
        <v>8</v>
      </c>
      <c r="U30" s="1573">
        <f t="shared" si="11"/>
        <v>100</v>
      </c>
      <c r="V30" s="1572" t="s">
        <v>8</v>
      </c>
      <c r="W30" s="1573">
        <f t="shared" si="12"/>
        <v>100</v>
      </c>
      <c r="X30" s="1566"/>
      <c r="Y30" s="346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65"/>
      <c r="Q31" s="1571"/>
      <c r="R31" s="1572"/>
      <c r="S31" s="1573"/>
      <c r="T31" s="1572"/>
      <c r="U31" s="1573"/>
      <c r="V31" s="1572"/>
      <c r="W31" s="1573"/>
      <c r="X31" s="1566"/>
      <c r="Y31" s="3465"/>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65"/>
      <c r="Q32" s="1571" t="str">
        <f t="shared" si="8"/>
        <v>土地级别</v>
      </c>
      <c r="R32" s="1572" t="s">
        <v>8</v>
      </c>
      <c r="S32" s="1573">
        <f t="shared" si="10"/>
        <v>100</v>
      </c>
      <c r="T32" s="1572" t="s">
        <v>8</v>
      </c>
      <c r="U32" s="1573">
        <f t="shared" si="11"/>
        <v>100</v>
      </c>
      <c r="V32" s="1572" t="s">
        <v>8</v>
      </c>
      <c r="W32" s="1573">
        <f t="shared" si="12"/>
        <v>100</v>
      </c>
      <c r="X32" s="1566"/>
      <c r="Y32" s="346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65"/>
      <c r="Q33" s="1571">
        <f t="shared" si="8"/>
        <v>111</v>
      </c>
      <c r="R33" s="1572" t="s">
        <v>8</v>
      </c>
      <c r="S33" s="1573">
        <f t="shared" si="10"/>
        <v>100</v>
      </c>
      <c r="T33" s="1572" t="s">
        <v>8</v>
      </c>
      <c r="U33" s="1573">
        <f t="shared" si="11"/>
        <v>100</v>
      </c>
      <c r="V33" s="1572" t="s">
        <v>8</v>
      </c>
      <c r="W33" s="1573">
        <f t="shared" si="12"/>
        <v>100</v>
      </c>
      <c r="X33" s="1566"/>
      <c r="Y33" s="346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66" t="s">
        <v>549</v>
      </c>
      <c r="Q34" s="1571">
        <f t="shared" si="8"/>
        <v>111</v>
      </c>
      <c r="R34" s="1572" t="s">
        <v>8</v>
      </c>
      <c r="S34" s="1573">
        <f t="shared" si="10"/>
        <v>100</v>
      </c>
      <c r="T34" s="1572" t="s">
        <v>8</v>
      </c>
      <c r="U34" s="1573">
        <f t="shared" si="11"/>
        <v>100</v>
      </c>
      <c r="V34" s="1572" t="s">
        <v>8</v>
      </c>
      <c r="W34" s="1573">
        <f t="shared" si="12"/>
        <v>100</v>
      </c>
      <c r="X34" s="1566"/>
      <c r="Y34" s="3467" t="s">
        <v>549</v>
      </c>
      <c r="Z34" s="1574">
        <f t="shared" si="13"/>
        <v>111</v>
      </c>
      <c r="AA34" s="1575">
        <f t="shared" si="3"/>
        <v>1</v>
      </c>
      <c r="AB34" s="1575">
        <f t="shared" si="4"/>
        <v>1</v>
      </c>
      <c r="AC34" s="1575">
        <f t="shared" si="5"/>
        <v>1</v>
      </c>
    </row>
    <row r="35" spans="1:29" s="1339" customFormat="1" ht="15.6"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67"/>
      <c r="Q35" s="1571">
        <f t="shared" si="8"/>
        <v>111</v>
      </c>
      <c r="R35" s="1576" t="s">
        <v>8</v>
      </c>
      <c r="S35" s="1577">
        <f t="shared" si="10"/>
        <v>100</v>
      </c>
      <c r="T35" s="1576" t="s">
        <v>8</v>
      </c>
      <c r="U35" s="1577">
        <f t="shared" si="11"/>
        <v>100</v>
      </c>
      <c r="V35" s="1576" t="s">
        <v>8</v>
      </c>
      <c r="W35" s="1577">
        <f t="shared" si="12"/>
        <v>100</v>
      </c>
      <c r="X35" s="1578"/>
      <c r="Y35" s="3467"/>
      <c r="Z35" s="1579">
        <f t="shared" si="13"/>
        <v>111</v>
      </c>
      <c r="AA35" s="1575">
        <f t="shared" si="3"/>
        <v>1</v>
      </c>
      <c r="AB35" s="1575">
        <f t="shared" si="4"/>
        <v>1</v>
      </c>
      <c r="AC35" s="1575">
        <f t="shared" si="5"/>
        <v>1</v>
      </c>
    </row>
    <row r="36" spans="1:29" ht="15">
      <c r="A36" s="2907"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67"/>
      <c r="Q36" s="1571" t="str">
        <f>B36</f>
        <v>宗地面积</v>
      </c>
      <c r="R36" s="1572" t="s">
        <v>8</v>
      </c>
      <c r="S36" s="1573" t="e">
        <f t="shared" si="10"/>
        <v>#N/A</v>
      </c>
      <c r="T36" s="1572" t="s">
        <v>8</v>
      </c>
      <c r="U36" s="1573" t="e">
        <f t="shared" si="11"/>
        <v>#N/A</v>
      </c>
      <c r="V36" s="1572" t="s">
        <v>8</v>
      </c>
      <c r="W36" s="1573" t="e">
        <f t="shared" si="12"/>
        <v>#N/A</v>
      </c>
      <c r="X36" s="1566"/>
      <c r="Y36" s="3467"/>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67"/>
      <c r="Q37" s="1571" t="str">
        <f t="shared" ref="Q37:Q42" si="14">B37</f>
        <v>宗地形状</v>
      </c>
      <c r="R37" s="1572" t="s">
        <v>8</v>
      </c>
      <c r="S37" s="1573">
        <f t="shared" si="10"/>
        <v>100</v>
      </c>
      <c r="T37" s="1572" t="s">
        <v>8</v>
      </c>
      <c r="U37" s="1573">
        <f t="shared" si="11"/>
        <v>100</v>
      </c>
      <c r="V37" s="1572" t="s">
        <v>8</v>
      </c>
      <c r="W37" s="1573">
        <f t="shared" si="12"/>
        <v>100</v>
      </c>
      <c r="X37" s="1566"/>
      <c r="Y37" s="3467"/>
      <c r="Z37" s="1574" t="str">
        <f t="shared" si="13"/>
        <v>宗地形状</v>
      </c>
      <c r="AA37" s="1575">
        <f t="shared" si="3"/>
        <v>1</v>
      </c>
      <c r="AB37" s="1575">
        <f t="shared" si="4"/>
        <v>1</v>
      </c>
      <c r="AC37" s="1575">
        <f t="shared" si="5"/>
        <v>1</v>
      </c>
    </row>
    <row r="38" spans="1:29" s="1220" customFormat="1" ht="15">
      <c r="A38" s="600"/>
      <c r="B38" s="1895"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67"/>
      <c r="Q38" s="1571" t="str">
        <f t="shared" si="14"/>
        <v>宗地开发程度</v>
      </c>
      <c r="R38" s="1567" t="s">
        <v>8</v>
      </c>
      <c r="S38" s="1568">
        <f t="shared" si="10"/>
        <v>100</v>
      </c>
      <c r="T38" s="1567" t="s">
        <v>8</v>
      </c>
      <c r="U38" s="1568">
        <f t="shared" si="11"/>
        <v>100</v>
      </c>
      <c r="V38" s="1567" t="s">
        <v>8</v>
      </c>
      <c r="W38" s="1568">
        <f t="shared" si="12"/>
        <v>100</v>
      </c>
      <c r="X38" s="1569"/>
      <c r="Y38" s="3467"/>
      <c r="Z38" s="1150"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t="s">
        <v>600</v>
      </c>
      <c r="Q39" s="1571" t="str">
        <f t="shared" si="14"/>
        <v>工程地质条件</v>
      </c>
      <c r="R39" s="1572" t="s">
        <v>8</v>
      </c>
      <c r="S39" s="1573">
        <f t="shared" si="10"/>
        <v>100</v>
      </c>
      <c r="T39" s="1572" t="s">
        <v>8</v>
      </c>
      <c r="U39" s="1573">
        <f t="shared" si="11"/>
        <v>100</v>
      </c>
      <c r="V39" s="1572" t="s">
        <v>8</v>
      </c>
      <c r="W39" s="1573">
        <f t="shared" si="12"/>
        <v>100</v>
      </c>
      <c r="X39" s="1566"/>
      <c r="Y39" s="3467"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67"/>
      <c r="Q40" s="1571">
        <f t="shared" si="14"/>
        <v>111</v>
      </c>
      <c r="R40" s="1572" t="s">
        <v>8</v>
      </c>
      <c r="S40" s="1573">
        <f t="shared" si="10"/>
        <v>100</v>
      </c>
      <c r="T40" s="1572" t="s">
        <v>8</v>
      </c>
      <c r="U40" s="1573">
        <f t="shared" si="11"/>
        <v>100</v>
      </c>
      <c r="V40" s="1572" t="s">
        <v>8</v>
      </c>
      <c r="W40" s="1573">
        <f t="shared" si="12"/>
        <v>100</v>
      </c>
      <c r="X40" s="1566"/>
      <c r="Y40" s="346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67"/>
      <c r="Q41" s="1571">
        <f t="shared" si="14"/>
        <v>111</v>
      </c>
      <c r="R41" s="1572" t="s">
        <v>8</v>
      </c>
      <c r="S41" s="1573">
        <f t="shared" si="10"/>
        <v>100</v>
      </c>
      <c r="T41" s="1572" t="s">
        <v>8</v>
      </c>
      <c r="U41" s="1573">
        <f t="shared" si="11"/>
        <v>100</v>
      </c>
      <c r="V41" s="1572" t="s">
        <v>8</v>
      </c>
      <c r="W41" s="1573">
        <f t="shared" si="12"/>
        <v>100</v>
      </c>
      <c r="X41" s="1566"/>
      <c r="Y41" s="3467"/>
      <c r="Z41" s="1574">
        <f t="shared" si="13"/>
        <v>111</v>
      </c>
      <c r="AA41" s="1575">
        <f t="shared" si="3"/>
        <v>1</v>
      </c>
      <c r="AB41" s="1575">
        <f t="shared" si="4"/>
        <v>1</v>
      </c>
      <c r="AC41" s="1575">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67"/>
      <c r="Q42" s="1571">
        <f t="shared" si="14"/>
        <v>111</v>
      </c>
      <c r="R42" s="1576" t="s">
        <v>8</v>
      </c>
      <c r="S42" s="1577">
        <f t="shared" si="10"/>
        <v>100</v>
      </c>
      <c r="T42" s="1576" t="s">
        <v>8</v>
      </c>
      <c r="U42" s="1577">
        <f t="shared" si="11"/>
        <v>100</v>
      </c>
      <c r="V42" s="1576" t="s">
        <v>8</v>
      </c>
      <c r="W42" s="1577">
        <f t="shared" si="12"/>
        <v>100</v>
      </c>
      <c r="X42" s="1578"/>
      <c r="Y42" s="3467"/>
      <c r="Z42" s="1579">
        <f t="shared" si="13"/>
        <v>111</v>
      </c>
      <c r="AA42" s="1575">
        <f t="shared" si="3"/>
        <v>1</v>
      </c>
      <c r="AB42" s="1575">
        <f t="shared" si="4"/>
        <v>1</v>
      </c>
      <c r="AC42" s="1575">
        <f t="shared" si="5"/>
        <v>1</v>
      </c>
    </row>
    <row r="43" spans="1:29" ht="14.4">
      <c r="A43" s="607" t="s">
        <v>555</v>
      </c>
      <c r="B43" s="608" t="s">
        <v>2929</v>
      </c>
      <c r="C43" s="609" t="s">
        <v>1</v>
      </c>
      <c r="D43" s="610"/>
      <c r="E43" s="611"/>
      <c r="F43" s="612"/>
      <c r="G43" s="613"/>
      <c r="H43" s="614"/>
      <c r="I43" s="611"/>
      <c r="J43" s="614"/>
      <c r="K43" s="1340"/>
      <c r="L43" s="2144"/>
      <c r="M43" s="2134"/>
      <c r="N43" s="2134"/>
      <c r="O43" s="2145"/>
      <c r="P43" s="3462" t="str">
        <f>A43</f>
        <v>成交单价</v>
      </c>
      <c r="Q43" s="3462"/>
      <c r="R43" s="3476">
        <f>E43</f>
        <v>0</v>
      </c>
      <c r="S43" s="3476"/>
      <c r="T43" s="3476">
        <f>G43</f>
        <v>0</v>
      </c>
      <c r="U43" s="3476"/>
      <c r="V43" s="3476">
        <f>I43</f>
        <v>0</v>
      </c>
      <c r="W43" s="3476"/>
      <c r="X43" s="1558"/>
      <c r="Y43" s="1580"/>
      <c r="Z43" s="1558"/>
      <c r="AA43" s="1558"/>
      <c r="AB43" s="1558"/>
      <c r="AC43" s="1558"/>
    </row>
    <row r="44" spans="1:29" ht="15" thickBot="1">
      <c r="A44" s="615" t="s">
        <v>2690</v>
      </c>
      <c r="B44" s="616"/>
      <c r="C44" s="617" t="e">
        <f>R45</f>
        <v>#DIV/0!</v>
      </c>
      <c r="D44" s="618"/>
      <c r="E44" s="617" t="e">
        <f>R44</f>
        <v>#DIV/0!</v>
      </c>
      <c r="F44" s="619"/>
      <c r="G44" s="620" t="e">
        <f>T44</f>
        <v>#DIV/0!</v>
      </c>
      <c r="H44" s="618"/>
      <c r="I44" s="617" t="e">
        <f>V44</f>
        <v>#DIV/0!</v>
      </c>
      <c r="J44" s="618"/>
      <c r="K44" s="1341"/>
      <c r="L44" s="2144"/>
      <c r="M44" s="2134"/>
      <c r="N44" s="2134"/>
      <c r="O44" s="2145"/>
      <c r="P44" s="3462" t="str">
        <f>A44</f>
        <v>比较价格（元/平方米）</v>
      </c>
      <c r="Q44" s="3462"/>
      <c r="R44" s="3488" t="e">
        <f>ROUND(PRODUCT(R43,AA9:AA42),0)</f>
        <v>#DIV/0!</v>
      </c>
      <c r="S44" s="3488"/>
      <c r="T44" s="3488" t="e">
        <f>ROUND(PRODUCT(T43,AB9:AB42),0)</f>
        <v>#DIV/0!</v>
      </c>
      <c r="U44" s="3488"/>
      <c r="V44" s="3488" t="e">
        <f>ROUND(PRODUCT(V43,AC9:AC42),0)</f>
        <v>#DIV/0!</v>
      </c>
      <c r="W44" s="3488"/>
      <c r="X44" s="1558"/>
      <c r="Y44" s="1558"/>
      <c r="Z44" s="1558"/>
      <c r="AA44" s="1558"/>
      <c r="AB44" s="1558"/>
      <c r="AC44" s="1558"/>
    </row>
    <row r="45" spans="1:29" ht="15" thickBot="1">
      <c r="A45" s="621" t="s">
        <v>2930</v>
      </c>
      <c r="B45" s="622"/>
      <c r="C45" s="623" t="e">
        <f>R45</f>
        <v>#DIV/0!</v>
      </c>
      <c r="D45" s="623"/>
      <c r="E45" s="623"/>
      <c r="F45" s="623"/>
      <c r="G45" s="623"/>
      <c r="H45" s="623"/>
      <c r="I45" s="623"/>
      <c r="J45" s="623"/>
      <c r="K45" s="1342"/>
      <c r="L45" s="2144"/>
      <c r="M45" s="2134"/>
      <c r="N45" s="2134"/>
      <c r="O45" s="2145"/>
      <c r="P45" s="3485" t="str">
        <f>A45</f>
        <v>估价对象XX用房的比较价格（楼面单价，元/平方米）</v>
      </c>
      <c r="Q45" s="3486"/>
      <c r="R45" s="3487" t="e">
        <f>ROUND(AVERAGE(R44:V44),0)</f>
        <v>#DIV/0!</v>
      </c>
      <c r="S45" s="3487"/>
      <c r="T45" s="3487"/>
      <c r="U45" s="3487"/>
      <c r="V45" s="3487"/>
      <c r="W45" s="348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4.4"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8.8">
      <c r="A52" s="629" t="s">
        <v>559</v>
      </c>
      <c r="B52" s="630" t="s">
        <v>560</v>
      </c>
      <c r="C52" s="1559" t="s">
        <v>1723</v>
      </c>
      <c r="D52" s="2227" t="s">
        <v>2293</v>
      </c>
      <c r="E52" s="631" t="s">
        <v>561</v>
      </c>
      <c r="F52" s="1951" t="s">
        <v>562</v>
      </c>
      <c r="G52" s="3494" t="s">
        <v>2284</v>
      </c>
      <c r="H52" s="3495"/>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3.2">
      <c r="A53" s="633" t="s">
        <v>563</v>
      </c>
      <c r="B53" s="634" t="e">
        <f>C45</f>
        <v>#DIV/0!</v>
      </c>
      <c r="C53" s="635">
        <v>1</v>
      </c>
      <c r="D53" s="2228">
        <v>1</v>
      </c>
      <c r="E53" s="635">
        <f>'数据-汇总表'!E8+'数据-汇总表'!E9</f>
        <v>102043.5</v>
      </c>
      <c r="F53" s="1950" t="e">
        <f t="shared" ref="F53:F62" si="15">ROUND(B53*E53/10000,0)</f>
        <v>#DIV/0!</v>
      </c>
      <c r="G53" s="3496"/>
      <c r="H53" s="349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3.2">
      <c r="A54" s="637" t="s">
        <v>564</v>
      </c>
      <c r="B54" s="638" t="e">
        <f>ROUND($C$45*C54*D54,0)</f>
        <v>#DIV/0!</v>
      </c>
      <c r="C54" s="378">
        <f t="shared" ref="C54:C62" si="16">IF($C$52="北京市系数",I54,J54)</f>
        <v>0</v>
      </c>
      <c r="D54" s="2229">
        <v>0.25</v>
      </c>
      <c r="E54" s="639"/>
      <c r="F54" s="1950" t="e">
        <f t="shared" si="15"/>
        <v>#DIV/0!</v>
      </c>
      <c r="G54" s="3498"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3.2">
      <c r="A55" s="637" t="s">
        <v>565</v>
      </c>
      <c r="B55" s="638" t="e">
        <f t="shared" ref="B55:B62" si="17">ROUND($C$45*C55*D55,0)</f>
        <v>#DIV/0!</v>
      </c>
      <c r="C55" s="378">
        <f t="shared" si="16"/>
        <v>0</v>
      </c>
      <c r="D55" s="2229">
        <v>0.25</v>
      </c>
      <c r="E55" s="639"/>
      <c r="F55" s="1950" t="e">
        <f t="shared" si="15"/>
        <v>#DIV/0!</v>
      </c>
      <c r="G55" s="349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3.2">
      <c r="A56" s="637" t="s">
        <v>566</v>
      </c>
      <c r="B56" s="638" t="e">
        <f t="shared" si="17"/>
        <v>#DIV/0!</v>
      </c>
      <c r="C56" s="378">
        <f t="shared" si="16"/>
        <v>0</v>
      </c>
      <c r="D56" s="2229">
        <v>0.25</v>
      </c>
      <c r="E56" s="639"/>
      <c r="F56" s="1950" t="e">
        <f t="shared" si="15"/>
        <v>#DIV/0!</v>
      </c>
      <c r="G56" s="349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3.2">
      <c r="A57" s="637" t="s">
        <v>567</v>
      </c>
      <c r="B57" s="638" t="e">
        <f t="shared" si="17"/>
        <v>#DIV/0!</v>
      </c>
      <c r="C57" s="378">
        <f t="shared" si="16"/>
        <v>0</v>
      </c>
      <c r="D57" s="2229">
        <v>0.25</v>
      </c>
      <c r="E57" s="639"/>
      <c r="F57" s="1950" t="e">
        <f t="shared" si="15"/>
        <v>#DIV/0!</v>
      </c>
      <c r="G57" s="349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3.2">
      <c r="A58" s="2331" t="s">
        <v>2328</v>
      </c>
      <c r="B58" s="638" t="e">
        <f t="shared" si="17"/>
        <v>#DIV/0!</v>
      </c>
      <c r="C58" s="378">
        <f t="shared" si="16"/>
        <v>0</v>
      </c>
      <c r="D58" s="2229">
        <v>0.25</v>
      </c>
      <c r="E58" s="641">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3.2">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3.2">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3.2">
      <c r="A61" s="637" t="s">
        <v>570</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thickBot="1">
      <c r="A62" s="637" t="s">
        <v>571</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thickBot="1">
      <c r="A63" s="642" t="s">
        <v>572</v>
      </c>
      <c r="B63" s="643" t="s">
        <v>17</v>
      </c>
      <c r="C63" s="643" t="s">
        <v>18</v>
      </c>
      <c r="D63" s="643" t="s">
        <v>2294</v>
      </c>
      <c r="E63" s="643">
        <f>IF(B43="楼面地价",SUM(E53:E62),'数据-汇总表'!D3)</f>
        <v>68029</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2019-6-1</v>
      </c>
      <c r="D65" s="2799">
        <f>EDATE(C65,-3)</f>
        <v>43525</v>
      </c>
      <c r="E65" s="2799">
        <f t="shared" ref="E65:N65" si="18">EDATE(D65,-3)</f>
        <v>43435</v>
      </c>
      <c r="F65" s="2799">
        <f t="shared" si="18"/>
        <v>43344</v>
      </c>
      <c r="G65" s="2799">
        <f t="shared" si="18"/>
        <v>43252</v>
      </c>
      <c r="H65" s="2799">
        <f t="shared" si="18"/>
        <v>43160</v>
      </c>
      <c r="I65" s="2799">
        <f t="shared" si="18"/>
        <v>43070</v>
      </c>
      <c r="J65" s="2799">
        <f t="shared" si="18"/>
        <v>42979</v>
      </c>
      <c r="K65" s="2799">
        <f t="shared" si="18"/>
        <v>42887</v>
      </c>
      <c r="L65" s="2799">
        <f t="shared" si="18"/>
        <v>42795</v>
      </c>
      <c r="M65" s="2799">
        <f t="shared" si="18"/>
        <v>42705</v>
      </c>
      <c r="N65" s="2799">
        <f t="shared" si="18"/>
        <v>42614</v>
      </c>
      <c r="O65" s="2145"/>
      <c r="P65" s="2145"/>
      <c r="Q65" s="2145"/>
      <c r="R65" s="2145"/>
      <c r="S65" s="2145"/>
      <c r="T65" s="2145"/>
      <c r="U65" s="2145"/>
      <c r="V65" s="2145"/>
      <c r="W65" s="2145"/>
      <c r="X65" s="2145"/>
      <c r="Y65" s="2145"/>
      <c r="Z65" s="2145"/>
      <c r="AA65" s="2145"/>
      <c r="AB65" s="2145"/>
      <c r="AC65" s="2145"/>
    </row>
    <row r="66" spans="1:29" ht="22.2"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7" customFormat="1" ht="14.4">
      <c r="A67" s="2568" t="s">
        <v>2531</v>
      </c>
      <c r="B67" s="646"/>
      <c r="C67" s="2794" t="str">
        <f>YEAR(C65)&amp;"-"&amp;ROUNDUP(MONTH(C65)/3,0)</f>
        <v>2019-2</v>
      </c>
      <c r="D67" s="2801" t="str">
        <f t="shared" ref="D67:N67" si="19">YEAR(D65)&amp;"-"&amp;ROUNDUP(MONTH(D65)/3,0)</f>
        <v>2019-1</v>
      </c>
      <c r="E67" s="2801" t="str">
        <f t="shared" si="19"/>
        <v>2018-4</v>
      </c>
      <c r="F67" s="2801" t="str">
        <f t="shared" si="19"/>
        <v>2018-3</v>
      </c>
      <c r="G67" s="2801" t="str">
        <f t="shared" si="19"/>
        <v>2018-2</v>
      </c>
      <c r="H67" s="2801" t="str">
        <f t="shared" si="19"/>
        <v>2018-1</v>
      </c>
      <c r="I67" s="2801" t="str">
        <f t="shared" si="19"/>
        <v>2017-4</v>
      </c>
      <c r="J67" s="2801" t="str">
        <f t="shared" si="19"/>
        <v>2017-3</v>
      </c>
      <c r="K67" s="2801" t="str">
        <f t="shared" si="19"/>
        <v>2017-2</v>
      </c>
      <c r="L67" s="2801" t="str">
        <f t="shared" si="19"/>
        <v>2017-1</v>
      </c>
      <c r="M67" s="2801" t="str">
        <f t="shared" si="19"/>
        <v>2016-4</v>
      </c>
      <c r="N67" s="2801"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2646</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4.4">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4.4"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ht="14.4">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4.4"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9.4"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4.4"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4.4"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4.4"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4.4"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4.4"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4.4"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ht="14.4">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9.4"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9.4"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 thickTop="1">
      <c r="A93" s="687"/>
      <c r="B93" s="1896" t="s">
        <v>2546</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 thickTop="1">
      <c r="A95" s="687"/>
      <c r="B95" s="2597" t="s">
        <v>2548</v>
      </c>
      <c r="C95" s="2598" t="s">
        <v>2549</v>
      </c>
      <c r="D95" s="2598" t="s">
        <v>2550</v>
      </c>
      <c r="E95" s="2598" t="s">
        <v>2551</v>
      </c>
      <c r="F95" s="2598" t="s">
        <v>2552</v>
      </c>
      <c r="G95" s="2598" t="s">
        <v>2553</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9.4"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4.4"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4.4"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4.4"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4.4"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4.4"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2425</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4.4"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4.4"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4.4"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4.4"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4.4"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7734375" style="1403" customWidth="1"/>
    <col min="2" max="2" width="19.21875" style="1527" customWidth="1"/>
    <col min="3" max="4" width="12" style="1404"/>
    <col min="5" max="5" width="14.6640625" style="1404" customWidth="1"/>
    <col min="6" max="8" width="12" style="1404"/>
    <col min="9" max="9" width="12.21875" style="1404" bestFit="1" customWidth="1"/>
    <col min="10" max="10" width="12" style="1404"/>
    <col min="11" max="11" width="9.6640625" style="1401" customWidth="1"/>
    <col min="12" max="12" width="12" style="1404"/>
    <col min="13" max="14" width="10.6640625" style="1404" customWidth="1"/>
    <col min="15" max="17" width="12" style="1404"/>
    <col min="18" max="18" width="12" style="1403"/>
    <col min="19" max="22" width="15.44140625" style="1403" customWidth="1"/>
    <col min="23" max="28" width="12" style="1404"/>
    <col min="29" max="29" width="9.33203125" style="1403" customWidth="1"/>
    <col min="30" max="35" width="9.33203125" style="1402" customWidth="1"/>
    <col min="36" max="39" width="9.33203125" style="1403" customWidth="1"/>
    <col min="40" max="41" width="9.33203125" style="1404" customWidth="1"/>
    <col min="42" max="16384" width="12" style="1404"/>
  </cols>
  <sheetData>
    <row r="1" spans="1:39" ht="20.399999999999999">
      <c r="A1" s="1398" t="s">
        <v>1693</v>
      </c>
      <c r="B1" s="1399"/>
      <c r="C1" s="1405" t="s">
        <v>2426</v>
      </c>
      <c r="D1" s="1520">
        <f>SUM(D29:D30,D33:D39)</f>
        <v>0</v>
      </c>
      <c r="E1" s="1405" t="s">
        <v>2427</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6" t="s">
        <v>2759</v>
      </c>
      <c r="S1" s="2936" t="s">
        <v>2760</v>
      </c>
      <c r="T1" s="2936" t="s">
        <v>2781</v>
      </c>
      <c r="U1" s="2936" t="s">
        <v>2782</v>
      </c>
      <c r="V1" s="2936" t="s">
        <v>2783</v>
      </c>
      <c r="W1" s="2189"/>
      <c r="X1" s="2189"/>
      <c r="Y1" s="2189"/>
      <c r="Z1" s="2189"/>
      <c r="AA1" s="2189"/>
      <c r="AB1" s="2189"/>
      <c r="AC1" s="2190"/>
    </row>
    <row r="2" spans="1:39" ht="15.6">
      <c r="A2" s="1405" t="s">
        <v>919</v>
      </c>
      <c r="B2" s="1038"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6">
      <c r="A3" s="1410" t="s">
        <v>1686</v>
      </c>
      <c r="B3" s="1038" t="e">
        <f>ROUND(B2*10000/D1,0)</f>
        <v>#DIV/0!</v>
      </c>
      <c r="C3" s="1406" t="s">
        <v>926</v>
      </c>
      <c r="D3" s="1407" t="s">
        <v>927</v>
      </c>
      <c r="E3" s="1411"/>
      <c r="F3" s="1412" t="s">
        <v>2931</v>
      </c>
      <c r="G3" s="1039">
        <f>IF(F3="宗地容积率",'数据-汇总表'!I4,IF(F3="估价对象容积率",'数据-汇总表'!I6,'数据-汇总表'!I7))</f>
        <v>1.5</v>
      </c>
      <c r="H3" s="1413" t="s">
        <v>928</v>
      </c>
      <c r="I3" s="1040">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31.2">
      <c r="A4" s="1891" t="s">
        <v>2280</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6" thickBot="1">
      <c r="A5" s="1637" t="s">
        <v>1822</v>
      </c>
      <c r="B5" s="1414" t="s">
        <v>930</v>
      </c>
      <c r="C5" s="1041" t="e">
        <f>ROUND(IF(E2="商业",IF(F16="增加",C6*C7+C16,C6*C7-C16),IF(E2="住宅",IF(F16="增加",C6*C12+C16,C6*C12-C16),IF(F16="增加",C6+C16,C6-C16))),0)</f>
        <v>#DIV/0!</v>
      </c>
      <c r="D5" s="3117">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6" thickBot="1">
      <c r="A6" s="1638" t="s">
        <v>1869</v>
      </c>
      <c r="B6" s="1421" t="s">
        <v>930</v>
      </c>
      <c r="C6" s="1042">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506" t="str">
        <f>IF(E2="商业",IF(C8="不临58条商业街","",2),"")</f>
        <v/>
      </c>
      <c r="B7" s="1426" t="s">
        <v>931</v>
      </c>
      <c r="C7" s="1043" t="e">
        <f>IF(C8="不临58条商业街",1,ROUND(1+(1.6*E8+1.2*E9+0.8*E10+0.4*E11)*C9,4))</f>
        <v>#DIV/0!</v>
      </c>
      <c r="D7" s="1427" t="s">
        <v>932</v>
      </c>
      <c r="E7" s="1044"/>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2762</v>
      </c>
      <c r="X7" s="2927">
        <f>G2</f>
        <v>0</v>
      </c>
      <c r="Y7" s="2927" t="s">
        <v>2763</v>
      </c>
      <c r="Z7" s="2928">
        <f>G3</f>
        <v>1.5</v>
      </c>
      <c r="AA7" s="2192"/>
      <c r="AB7" s="2192"/>
      <c r="AC7" s="2193"/>
      <c r="AD7" s="2929"/>
      <c r="AE7" s="2929"/>
      <c r="AF7" s="2929"/>
      <c r="AG7" s="2929"/>
      <c r="AH7" s="2929"/>
      <c r="AI7" s="2929"/>
      <c r="AJ7" s="2930"/>
    </row>
    <row r="8" spans="1:39" ht="15">
      <c r="A8" s="3507"/>
      <c r="B8" s="1413" t="s">
        <v>933</v>
      </c>
      <c r="C8" s="1528"/>
      <c r="D8" s="1045" t="s">
        <v>934</v>
      </c>
      <c r="E8" s="1046"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516" t="s">
        <v>2780</v>
      </c>
      <c r="X8" s="3517"/>
      <c r="Y8" s="1849" t="s">
        <v>2764</v>
      </c>
      <c r="Z8" s="1849" t="s">
        <v>2765</v>
      </c>
      <c r="AA8" s="1849" t="s">
        <v>2766</v>
      </c>
      <c r="AB8" s="1849" t="s">
        <v>2767</v>
      </c>
      <c r="AC8" s="1849" t="s">
        <v>2768</v>
      </c>
      <c r="AD8" s="1849" t="s">
        <v>2769</v>
      </c>
      <c r="AE8" s="1849" t="s">
        <v>2770</v>
      </c>
      <c r="AF8" s="1849" t="s">
        <v>2771</v>
      </c>
      <c r="AG8" s="1849" t="s">
        <v>2772</v>
      </c>
      <c r="AH8" s="1849" t="s">
        <v>2773</v>
      </c>
      <c r="AI8" s="1849" t="s">
        <v>2774</v>
      </c>
      <c r="AJ8" s="1849" t="s">
        <v>2775</v>
      </c>
    </row>
    <row r="9" spans="1:39" ht="15">
      <c r="A9" s="3507"/>
      <c r="B9" s="1413" t="s">
        <v>936</v>
      </c>
      <c r="C9" s="1047">
        <f>SUMIF(修正!C59:C119,C8,修正!E59:E119)</f>
        <v>0</v>
      </c>
      <c r="D9" s="1048" t="s">
        <v>937</v>
      </c>
      <c r="E9" s="1048"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515" t="s">
        <v>2776</v>
      </c>
      <c r="X9" s="2931" t="s">
        <v>2777</v>
      </c>
      <c r="Y9" s="3095"/>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507"/>
      <c r="B10" s="1413" t="s">
        <v>939</v>
      </c>
      <c r="C10" s="1048">
        <f>SUMIF(修正!C59:C119,C8,修正!F59:F119)</f>
        <v>0</v>
      </c>
      <c r="D10" s="1048" t="s">
        <v>940</v>
      </c>
      <c r="E10" s="1048"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51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507"/>
      <c r="B11" s="1434" t="s">
        <v>942</v>
      </c>
      <c r="C11" s="1049">
        <f>C10/4</f>
        <v>0</v>
      </c>
      <c r="D11" s="1049" t="s">
        <v>943</v>
      </c>
      <c r="E11" s="1049"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515" t="s">
        <v>2778</v>
      </c>
      <c r="X11" s="1048" t="s">
        <v>2763</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8" thickBot="1">
      <c r="A12" s="3506" t="s">
        <v>1870</v>
      </c>
      <c r="B12" s="1438" t="s">
        <v>945</v>
      </c>
      <c r="C12" s="1043">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515"/>
      <c r="X12" s="2934" t="s">
        <v>2779</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508"/>
      <c r="B13" s="1443" t="s">
        <v>1695</v>
      </c>
      <c r="C13" s="1444" t="s">
        <v>1696</v>
      </c>
      <c r="D13" s="1089" t="s">
        <v>1697</v>
      </c>
      <c r="E13" s="1089" t="s">
        <v>1698</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515"/>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508"/>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509"/>
      <c r="B15" s="1458" t="s">
        <v>1699</v>
      </c>
      <c r="C15" s="1051">
        <f>IF(C14="有",1.1,1)</f>
        <v>1</v>
      </c>
      <c r="D15" s="1051">
        <f>IF(D14="有",1.1,1)</f>
        <v>1</v>
      </c>
      <c r="E15" s="1051">
        <f>IF(E14="有",1.1,1)</f>
        <v>1</v>
      </c>
      <c r="F15" s="1051">
        <f>IF(F14="500米范围内",1.2,IF(F14="500-1000米",1.1,1))</f>
        <v>1</v>
      </c>
      <c r="G15" s="1052">
        <v>1</v>
      </c>
      <c r="H15" s="1052">
        <v>1</v>
      </c>
      <c r="I15" s="1052">
        <v>1</v>
      </c>
      <c r="J15" s="1053">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506" t="s">
        <v>1837</v>
      </c>
      <c r="B16" s="1426" t="s">
        <v>949</v>
      </c>
      <c r="C16" s="1054" t="e">
        <f>ROUND(SUM(G17:J17)/C17,0)</f>
        <v>#DIV/0!</v>
      </c>
      <c r="D16" s="1459" t="s">
        <v>950</v>
      </c>
      <c r="E16" s="1460"/>
      <c r="F16" s="1461"/>
      <c r="G16" s="1462"/>
      <c r="H16" s="1462"/>
      <c r="I16" s="1462"/>
      <c r="J16" s="1462"/>
      <c r="K16" s="1400"/>
      <c r="L16" s="1463" t="s">
        <v>987</v>
      </c>
      <c r="M16" s="1047">
        <v>0.25</v>
      </c>
      <c r="N16" s="1047">
        <v>0.2</v>
      </c>
      <c r="O16" s="1047">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24.6" thickBot="1">
      <c r="A17" s="3507"/>
      <c r="B17" s="1464" t="s">
        <v>952</v>
      </c>
      <c r="C17" s="1055">
        <f>SUMPRODUCT((修正!A2:A5=E2)*(修正!B1:M1=G2)*(修正!B2:M5))</f>
        <v>0</v>
      </c>
      <c r="D17" s="1466" t="s">
        <v>953</v>
      </c>
      <c r="E17" s="1467" t="str">
        <f>IF(OR(G2="八级",G2="九级",G2="十级",G2="十一级",G2="十二级"),"五通一平","七通一平")</f>
        <v>七通一平</v>
      </c>
      <c r="F17" s="1465"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 thickBot="1">
      <c r="A18" s="1640" t="s">
        <v>1828</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9.4" thickBot="1">
      <c r="A19" s="1639" t="s">
        <v>1834</v>
      </c>
      <c r="B19" s="1469" t="s">
        <v>956</v>
      </c>
      <c r="C19" s="1057" t="e">
        <f>ROUND(IF(H19="按公示增长率计算",SUMPRODUCT((地价!A3:A24=YEAR(G19)&amp;"-"&amp;ROUNDUP(MONTH(G19)/3,0))*(地价!X2:AB2=E2)*(地价!X3:AB24)),IF(H19="地价指数",M20/M19,(1+I19)^O19)),4)</f>
        <v>#DIV/0!</v>
      </c>
      <c r="D19" s="1473" t="s">
        <v>957</v>
      </c>
      <c r="E19" s="1058">
        <v>41640</v>
      </c>
      <c r="F19" s="1473" t="s">
        <v>958</v>
      </c>
      <c r="G19" s="1059">
        <f>'数据-取费表'!B2</f>
        <v>43626</v>
      </c>
      <c r="H19" s="1474" t="s">
        <v>2932</v>
      </c>
      <c r="I19" s="2784" t="str">
        <f>IF(H19="季度增幅（自定义）",SUMIF(N21:N24,E2,O21:O24),"")</f>
        <v/>
      </c>
      <c r="J19" s="1470"/>
      <c r="K19" s="1480"/>
      <c r="L19" s="3038" t="s">
        <v>2838</v>
      </c>
      <c r="M19" s="3039">
        <f>ROUND(SUMIF(地价!B2:F2,E2,地价!B24:F24),0)</f>
        <v>0</v>
      </c>
      <c r="N19" s="2786" t="s">
        <v>1676</v>
      </c>
      <c r="O19" s="2785">
        <f>ROUNDDOWN(DATEDIF(E19,G19,"M")/3,0)</f>
        <v>21</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9.4" thickBot="1">
      <c r="A20" s="2778" t="s">
        <v>1835</v>
      </c>
      <c r="B20" s="2779" t="s">
        <v>971</v>
      </c>
      <c r="C20" s="2780" t="e">
        <f>ROUND(POWER(1+G20,J20-I20)*(POWER(1+G20,I20)-1)/(POWER(1+G20,J20)-1),4)</f>
        <v>#DIV/0!</v>
      </c>
      <c r="D20" s="2781" t="s">
        <v>972</v>
      </c>
      <c r="E20" s="3092">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0" t="s">
        <v>2839</v>
      </c>
      <c r="M20" s="3041">
        <f>ROUND(SUMPRODUCT((地价!A4:A24=YEAR(G19)&amp;"-"&amp;ROUNDUP(MONTH(G19)/3,0))*(地价!B2:F2=E2)*(地价!B4:F24)),0)</f>
        <v>0</v>
      </c>
      <c r="N20" s="2789" t="s">
        <v>2643</v>
      </c>
      <c r="O20" s="2787" t="s">
        <v>2642</v>
      </c>
      <c r="P20" s="2788" t="s">
        <v>2647</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4">
      <c r="A21" s="1641" t="s">
        <v>1836</v>
      </c>
      <c r="B21" s="1479" t="s">
        <v>2758</v>
      </c>
      <c r="C21" s="1158">
        <f>IF(B21="容积率修正",IF(G3&lt;=10,D22,J22),C23)</f>
        <v>0</v>
      </c>
      <c r="D21" s="1480"/>
      <c r="E21" s="1480"/>
      <c r="F21" s="1480"/>
      <c r="G21" s="1480"/>
      <c r="H21" s="1480"/>
      <c r="I21" s="1480"/>
      <c r="J21" s="1481"/>
      <c r="K21" s="1480"/>
      <c r="L21" s="1480"/>
      <c r="M21" s="1480"/>
      <c r="N21" s="1477" t="s">
        <v>975</v>
      </c>
      <c r="O21" s="1541"/>
      <c r="P21" s="2769">
        <f>SUMPRODUCT((地价!A3:A24=YEAR(G19)&amp;"-"&amp;ROUNDUP(MONTH(G19)/3,0))*(地价!AD2:AH2=N21)*(地价!AD3:AH24))</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4">
      <c r="A22" s="1642" t="s">
        <v>1869</v>
      </c>
      <c r="B22" s="1482" t="s">
        <v>976</v>
      </c>
      <c r="C22" s="1060" t="s">
        <v>1701</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0"/>
      <c r="L22" s="1480"/>
      <c r="M22" s="1480"/>
      <c r="N22" s="1477" t="s">
        <v>978</v>
      </c>
      <c r="O22" s="1541"/>
      <c r="P22" s="2769">
        <f>SUMPRODUCT((地价!A3:A24=YEAR(G19)&amp;"-"&amp;ROUNDUP(MONTH(G19)/3,0))*(地价!AD2:AH2=N22)*(地价!AD3:AH24))</f>
        <v>0</v>
      </c>
      <c r="R22" s="2925"/>
      <c r="S22" s="2925"/>
      <c r="T22" s="2925"/>
      <c r="U22" s="2925"/>
      <c r="V22" s="2925"/>
      <c r="W22" s="2195"/>
      <c r="X22" s="2195"/>
      <c r="Y22" s="2195"/>
      <c r="Z22" s="2195"/>
      <c r="AA22" s="2195"/>
      <c r="AB22" s="2195"/>
      <c r="AC22" s="2195"/>
      <c r="AD22" s="1471"/>
      <c r="AE22" s="1471"/>
      <c r="AF22" s="1471"/>
      <c r="AG22" s="1471"/>
      <c r="AH22" s="1471"/>
      <c r="AI22" s="1471"/>
    </row>
    <row r="23" spans="1:40" ht="29.4" thickBot="1">
      <c r="A23" s="1642" t="s">
        <v>1870</v>
      </c>
      <c r="B23" s="1482" t="s">
        <v>979</v>
      </c>
      <c r="C23" s="1061">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SUMPRODUCT((地价!A3:A24=YEAR(G19)&amp;"-"&amp;ROUNDUP(MONTH(G19)/3,0))*(地价!AD2:AH2=N23)*(地价!AD3:AH24))</f>
        <v>0</v>
      </c>
      <c r="R23" s="2925"/>
      <c r="S23" s="2925"/>
      <c r="T23" s="2925"/>
      <c r="U23" s="2925"/>
      <c r="V23" s="2925"/>
      <c r="W23" s="2195"/>
      <c r="X23" s="2195"/>
      <c r="Y23" s="2195"/>
      <c r="Z23" s="2195"/>
      <c r="AA23" s="2195"/>
      <c r="AB23" s="2195"/>
      <c r="AC23" s="2195"/>
      <c r="AN23" s="1403"/>
    </row>
    <row r="24" spans="1:40" s="1420" customFormat="1" ht="15" thickBot="1">
      <c r="A24" s="1640" t="s">
        <v>1871</v>
      </c>
      <c r="B24" s="1414" t="s">
        <v>980</v>
      </c>
      <c r="C24" s="1062">
        <f>SUMIF(A44:A87,E2,B44:B87)</f>
        <v>0</v>
      </c>
      <c r="D24" s="1534"/>
      <c r="E24" s="1535"/>
      <c r="F24" s="1535"/>
      <c r="G24" s="1535"/>
      <c r="H24" s="1535"/>
      <c r="I24" s="1535"/>
      <c r="J24" s="1535"/>
      <c r="K24" s="1480"/>
      <c r="L24" s="1480"/>
      <c r="M24" s="1480"/>
      <c r="N24" s="1483" t="s">
        <v>981</v>
      </c>
      <c r="O24" s="1542"/>
      <c r="P24" s="1540">
        <f>SUMPRODUCT((地价!A3:A24=YEAR(G19)&amp;"-"&amp;ROUNDUP(MONTH(G19)/3,0))*(地价!AD2:AH2=N24)*(地价!AD3:AH24))</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1872</v>
      </c>
      <c r="B25" s="1485" t="s">
        <v>982</v>
      </c>
      <c r="C25" s="1486"/>
      <c r="D25" s="1429"/>
      <c r="E25" s="1429"/>
      <c r="F25" s="1487"/>
      <c r="G25" s="1429"/>
      <c r="H25" s="1429"/>
      <c r="I25" s="1429"/>
      <c r="J25" s="1430"/>
      <c r="K25" s="1400"/>
      <c r="L25" s="2195"/>
      <c r="M25" s="2195"/>
      <c r="N25" s="2797" t="s">
        <v>2645</v>
      </c>
      <c r="O25" s="2195"/>
      <c r="P25" s="1540">
        <f>SUMPRODUCT((地价!A3:A24=YEAR(G19)&amp;"-"&amp;ROUNDUP(MONTH(G19)/3,0))*(地价!AD2:AH2=N25)*(地价!AD3:AH24))</f>
        <v>0</v>
      </c>
      <c r="R25" s="2925"/>
      <c r="S25" s="2925"/>
      <c r="T25" s="2925"/>
      <c r="U25" s="2925"/>
      <c r="V25" s="2925"/>
      <c r="W25" s="2195"/>
      <c r="X25" s="2195"/>
      <c r="Y25" s="2195"/>
      <c r="Z25" s="2195"/>
      <c r="AA25" s="2195"/>
      <c r="AB25" s="2195"/>
      <c r="AC25" s="2195"/>
    </row>
    <row r="26" spans="1:40" ht="14.4">
      <c r="A26" s="1488"/>
      <c r="B26" s="1482" t="s">
        <v>986</v>
      </c>
      <c r="C26" s="1063"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4"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4">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3" t="e">
        <f>ROUND(C5*C18*C19*C20*C21*C24,0)</f>
        <v>#DIV/0!</v>
      </c>
      <c r="D29" s="1503"/>
      <c r="E29" s="1849" t="e">
        <f>ROUND(C29*D29/10000,0)</f>
        <v>#DIV/0!</v>
      </c>
      <c r="F29" s="1504" t="s">
        <v>1700</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6" thickBot="1">
      <c r="A30" s="1507"/>
      <c r="B30" s="1508" t="s">
        <v>994</v>
      </c>
      <c r="C30" s="1051"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36">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3.2">
      <c r="A33" s="3512" t="s">
        <v>2958</v>
      </c>
      <c r="B33" s="1523" t="s">
        <v>999</v>
      </c>
      <c r="C33" s="1063" t="e">
        <f>ROUND(D5*C19*C20*C24*F33,0)</f>
        <v>#DIV/0!</v>
      </c>
      <c r="D33" s="1536"/>
      <c r="E33" s="1048" t="e">
        <f>ROUND(C33*D33/10000,0)</f>
        <v>#DIV/0!</v>
      </c>
      <c r="F33" s="1048">
        <f>SUMIF(修正!A45:A56,G2,修正!B45:B56)</f>
        <v>0</v>
      </c>
      <c r="G33" s="1048" t="e">
        <f t="shared" ref="G33" si="6">ROUND(IF(E2="工业",C33*$M$39,C33*$M$38),0)</f>
        <v>#DIV/0!</v>
      </c>
      <c r="H33" s="1048">
        <f>D33</f>
        <v>0</v>
      </c>
      <c r="I33" s="1048"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3.2">
      <c r="A34" s="3513"/>
      <c r="B34" s="1444" t="s">
        <v>1000</v>
      </c>
      <c r="C34" s="1063" t="e">
        <f>ROUND(D5*C19*C20*C24*F34,0)</f>
        <v>#DIV/0!</v>
      </c>
      <c r="D34" s="1536"/>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3.2">
      <c r="A35" s="3513"/>
      <c r="B35" s="1444" t="s">
        <v>1001</v>
      </c>
      <c r="C35" s="1063" t="e">
        <f>ROUND(D5*C19*C20*C24*F35,0)</f>
        <v>#DIV/0!</v>
      </c>
      <c r="D35" s="1536"/>
      <c r="E35" s="1048" t="e">
        <f t="shared" si="7"/>
        <v>#DIV/0!</v>
      </c>
      <c r="F35" s="1048">
        <f>SUMIF(修正!A45:A56,G2,修正!D45:D56)</f>
        <v>0</v>
      </c>
      <c r="G35" s="1048" t="e">
        <f>ROUND(IF(E2="工业",C35*$M$39,C35*$M$38),0)</f>
        <v>#DIV/0!</v>
      </c>
      <c r="H35" s="1048">
        <f t="shared" si="8"/>
        <v>0</v>
      </c>
      <c r="I35" s="1048"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8" thickBot="1">
      <c r="A36" s="3514"/>
      <c r="B36" s="1444" t="s">
        <v>1002</v>
      </c>
      <c r="C36" s="1063" t="e">
        <f>ROUND(D5*C19*C20*C24*F36,0)</f>
        <v>#DIV/0!</v>
      </c>
      <c r="D36" s="1536"/>
      <c r="E36" s="1048" t="e">
        <f t="shared" si="7"/>
        <v>#DIV/0!</v>
      </c>
      <c r="F36" s="1048">
        <f>SUMIF(修正!A45:A56,G2,修正!E45:E56)</f>
        <v>0</v>
      </c>
      <c r="G36" s="1048" t="e">
        <f>ROUND(IF(E2="工业",C36*$M$39,C36*$M$38),0)</f>
        <v>#DIV/0!</v>
      </c>
      <c r="H36" s="1048">
        <f t="shared" si="8"/>
        <v>0</v>
      </c>
      <c r="I36" s="1048"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3.2">
      <c r="A37" s="1522"/>
      <c r="B37" s="1444" t="s">
        <v>1003</v>
      </c>
      <c r="C37" s="1048" t="e">
        <f>ROUND(C5*C19*C20*C24*F37,0)</f>
        <v>#DIV/0!</v>
      </c>
      <c r="D37" s="1536"/>
      <c r="E37" s="1048" t="e">
        <f t="shared" si="7"/>
        <v>#DIV/0!</v>
      </c>
      <c r="F37" s="1063">
        <f>SUMIF(修正!A45:A56,G2,修正!F45:F56)</f>
        <v>0</v>
      </c>
      <c r="G37" s="1048" t="e">
        <f>ROUND(IF(E2="工业",C37*$M$39,C37*$M$38),0)</f>
        <v>#DIV/0!</v>
      </c>
      <c r="H37" s="1048">
        <f t="shared" si="8"/>
        <v>0</v>
      </c>
      <c r="I37" s="1048"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3.2">
      <c r="A38" s="1522"/>
      <c r="B38" s="1444" t="s">
        <v>1004</v>
      </c>
      <c r="C38" s="1048" t="e">
        <f>ROUND(C5*C19*C20*C24*F38,0)</f>
        <v>#DIV/0!</v>
      </c>
      <c r="D38" s="1536"/>
      <c r="E38" s="1048" t="e">
        <f t="shared" si="7"/>
        <v>#DIV/0!</v>
      </c>
      <c r="F38" s="1063">
        <f>SUMIF(修正!A45:A56,G2,修正!G45:G56)</f>
        <v>0</v>
      </c>
      <c r="G38" s="1048" t="e">
        <f>ROUND(IF(E2="工业",C38*$M$39,C38*$M$38),0)</f>
        <v>#DIV/0!</v>
      </c>
      <c r="H38" s="1048">
        <f t="shared" si="8"/>
        <v>0</v>
      </c>
      <c r="I38" s="1048"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8" thickBot="1">
      <c r="A39" s="1507"/>
      <c r="B39" s="1525" t="s">
        <v>1005</v>
      </c>
      <c r="C39" s="1051" t="e">
        <f>ROUND(C5*C19*C20*C24*F39,0)</f>
        <v>#DIV/0!</v>
      </c>
      <c r="D39" s="1537"/>
      <c r="E39" s="1051" t="e">
        <f t="shared" si="7"/>
        <v>#DIV/0!</v>
      </c>
      <c r="F39" s="1065">
        <f>SUMIF(修正!A45:A56,G2,修正!H45:H56)</f>
        <v>0</v>
      </c>
      <c r="G39" s="1051" t="e">
        <f>ROUND(IF(E2="工业",C39*$M$39,C39*$M$38),0)</f>
        <v>#DIV/0!</v>
      </c>
      <c r="H39" s="1051">
        <f t="shared" si="8"/>
        <v>0</v>
      </c>
      <c r="I39" s="1051"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4.4">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7" t="s">
        <v>1008</v>
      </c>
      <c r="B46" s="2408" t="s">
        <v>1009</v>
      </c>
      <c r="C46" s="2430" t="s">
        <v>1010</v>
      </c>
      <c r="D46" s="2431" t="s">
        <v>1011</v>
      </c>
      <c r="E46" s="2432" t="s">
        <v>1013</v>
      </c>
      <c r="F46" s="2433" t="s">
        <v>2251</v>
      </c>
      <c r="G46" s="2431" t="s">
        <v>1014</v>
      </c>
      <c r="H46" s="2414" t="s">
        <v>2418</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7" t="s">
        <v>1020</v>
      </c>
      <c r="B47" s="2411" t="str">
        <f>估价对象房地状况!C16</f>
        <v>估价对象周边商业氛围较差，人流量较小，商业繁华度一般</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7" t="s">
        <v>1021</v>
      </c>
      <c r="B48" s="2408" t="str">
        <f>估价对象房地状况!C18</f>
        <v>估价对象周边道路通达状况较好、公共交通通达情况一般、停车较便捷，综合评价交通便捷度一般</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7" t="s">
        <v>1022</v>
      </c>
      <c r="B49" s="2408" t="str">
        <f>估价对象房地状况!C19</f>
        <v>较不一致</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48">
      <c r="A50" s="1067" t="s">
        <v>1023</v>
      </c>
      <c r="B50" s="3094" t="s">
        <v>2934</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7" t="s">
        <v>1024</v>
      </c>
      <c r="B51" s="2408" t="str">
        <f>估价对象房地状况!C24</f>
        <v>次干道——麻柳大道</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36">
      <c r="A52" s="1067" t="s">
        <v>1025</v>
      </c>
      <c r="B52" s="3093" t="s">
        <v>2933</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36">
      <c r="A53" s="2440" t="s">
        <v>1026</v>
      </c>
      <c r="B53" s="2409" t="str">
        <f>估价对象房地状况!C21</f>
        <v>估价对象所在区域公共配套设施齐备情况一般</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估价对象所在区域基础设施水平达六通</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6" thickBot="1">
      <c r="A55" s="2441" t="s">
        <v>1028</v>
      </c>
      <c r="B55" s="2412" t="str">
        <f>估价对象房地状况!C20</f>
        <v>区域自然环境较好；人文环境一般；综合评价环境状况一般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4.4">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7" t="s">
        <v>1008</v>
      </c>
      <c r="B57" s="2408"/>
      <c r="C57" s="2430" t="s">
        <v>1010</v>
      </c>
      <c r="D57" s="2431" t="s">
        <v>1011</v>
      </c>
      <c r="E57" s="2432" t="s">
        <v>1013</v>
      </c>
      <c r="F57" s="2433" t="s">
        <v>2252</v>
      </c>
      <c r="G57" s="2431" t="s">
        <v>1014</v>
      </c>
      <c r="H57" s="2414" t="s">
        <v>2418</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7" t="s">
        <v>1021</v>
      </c>
      <c r="B59" s="2408" t="str">
        <f>估价对象房地状况!C18</f>
        <v>估价对象周边道路通达状况较好、公共交通通达情况一般、停车较便捷，综合评价交通便捷度一般</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7" t="s">
        <v>1022</v>
      </c>
      <c r="B60" s="2408" t="str">
        <f>估价对象房地状况!C19</f>
        <v>较不一致</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48">
      <c r="A61" s="1067" t="s">
        <v>1023</v>
      </c>
      <c r="B61" s="3094" t="s">
        <v>2935</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7" t="s">
        <v>1024</v>
      </c>
      <c r="B62" s="2408" t="str">
        <f>估价对象房地状况!C24</f>
        <v>次干道——麻柳大道</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36">
      <c r="A63" s="1067" t="s">
        <v>1025</v>
      </c>
      <c r="B63" s="3093" t="s">
        <v>2933</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36">
      <c r="A64" s="1067" t="s">
        <v>1026</v>
      </c>
      <c r="B64" s="2409" t="str">
        <f>估价对象房地状况!C21</f>
        <v>估价对象所在区域公共配套设施齐备情况一般</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7" t="s">
        <v>1027</v>
      </c>
      <c r="B65" s="2409" t="str">
        <f>估价对象房地状况!C22</f>
        <v>估价对象所在区域基础设施水平达六通</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6" thickBot="1">
      <c r="A66" s="2441" t="s">
        <v>1028</v>
      </c>
      <c r="B66" s="2413" t="str">
        <f>估价对象房地状况!C20</f>
        <v>区域自然环境较好；人文环境一般；综合评价环境状况一般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4.4">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7" t="s">
        <v>1008</v>
      </c>
      <c r="B68" s="2408"/>
      <c r="C68" s="2430" t="s">
        <v>1010</v>
      </c>
      <c r="D68" s="2431" t="s">
        <v>1011</v>
      </c>
      <c r="E68" s="2432" t="s">
        <v>1013</v>
      </c>
      <c r="F68" s="2433" t="s">
        <v>2253</v>
      </c>
      <c r="G68" s="2431" t="s">
        <v>1014</v>
      </c>
      <c r="H68" s="2414" t="s">
        <v>2418</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7" t="s">
        <v>1032</v>
      </c>
      <c r="B69" s="2411" t="str">
        <f>估价对象房地状况!C15</f>
        <v>估价对象周边居住用地比例较小、钱佳花园海愉半岛花园、钰海帝景等居住小区，社区发展较完善，综合评价居住社区成熟度一般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7" t="s">
        <v>1033</v>
      </c>
      <c r="B70" s="2408" t="str">
        <f>估价对象房地状况!C18</f>
        <v>估价对象周边道路通达状况较好、公共交通通达情况一般、停车较便捷，综合评价交通便捷度一般</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7" t="s">
        <v>1022</v>
      </c>
      <c r="B71" s="2408" t="str">
        <f>估价对象房地状况!C19</f>
        <v>较不一致</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3.8">
      <c r="A72" s="1067" t="s">
        <v>1034</v>
      </c>
      <c r="B72" s="2408" t="str">
        <f>估价对象房地状况!C24</f>
        <v>次干道——麻柳大道</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36">
      <c r="A73" s="1067" t="s">
        <v>1026</v>
      </c>
      <c r="B73" s="2409" t="str">
        <f>估价对象房地状况!C21</f>
        <v>估价对象所在区域公共配套设施齐备情况一般</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7" t="s">
        <v>1027</v>
      </c>
      <c r="B74" s="2409" t="str">
        <f>估价对象房地状况!C22</f>
        <v>估价对象所在区域基础设施水平达六通</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36">
      <c r="A75" s="1067" t="s">
        <v>1025</v>
      </c>
      <c r="B75" s="3093" t="s">
        <v>2933</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7" t="s">
        <v>1028</v>
      </c>
      <c r="B76" s="2411" t="str">
        <f>估价对象房地状况!C20</f>
        <v>区域自然环境较好；人文环境一般；综合评价环境状况一般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36.6" thickBot="1">
      <c r="A77" s="2441" t="s">
        <v>1035</v>
      </c>
      <c r="B77" s="1850"/>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4.4">
      <c r="A78" s="2424" t="s">
        <v>1036</v>
      </c>
      <c r="B78" s="2425">
        <f>1+E80</f>
        <v>1</v>
      </c>
      <c r="C78" s="2444"/>
      <c r="D78" s="2427"/>
      <c r="E78" s="2428"/>
      <c r="F78" s="2429"/>
      <c r="G78" s="2423"/>
      <c r="H78" s="2423"/>
      <c r="I78" s="2423"/>
      <c r="J78" s="1066"/>
      <c r="K78" s="1066"/>
      <c r="L78" s="1066"/>
      <c r="M78" s="1066"/>
      <c r="N78" s="1066"/>
      <c r="AC78" s="1404"/>
      <c r="AD78" s="1403"/>
      <c r="AJ78" s="1402"/>
      <c r="AN78" s="1403"/>
    </row>
    <row r="79" spans="1:40" ht="24">
      <c r="A79" s="1067" t="s">
        <v>1008</v>
      </c>
      <c r="B79" s="2408"/>
      <c r="C79" s="2430" t="s">
        <v>1010</v>
      </c>
      <c r="D79" s="2431" t="s">
        <v>1011</v>
      </c>
      <c r="E79" s="2432" t="s">
        <v>1013</v>
      </c>
      <c r="F79" s="2433" t="s">
        <v>2254</v>
      </c>
      <c r="G79" s="2431" t="s">
        <v>1014</v>
      </c>
      <c r="H79" s="2414" t="s">
        <v>2418</v>
      </c>
      <c r="I79" s="2431" t="s">
        <v>1012</v>
      </c>
      <c r="J79" s="2434" t="s">
        <v>1015</v>
      </c>
      <c r="K79" s="2434" t="s">
        <v>1016</v>
      </c>
      <c r="L79" s="2434" t="s">
        <v>1017</v>
      </c>
      <c r="M79" s="2434" t="s">
        <v>1018</v>
      </c>
      <c r="N79" s="2434" t="s">
        <v>1019</v>
      </c>
      <c r="AC79" s="1404"/>
      <c r="AD79" s="1403"/>
      <c r="AJ79" s="1402"/>
      <c r="AN79" s="1403"/>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60">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3.8">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36">
      <c r="A86" s="1067" t="s">
        <v>1025</v>
      </c>
      <c r="B86" s="3093" t="s">
        <v>2933</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48.6"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510" t="s">
        <v>1633</v>
      </c>
      <c r="B90" s="3510"/>
      <c r="C90" s="3510"/>
      <c r="D90" s="3510"/>
      <c r="E90" s="3510"/>
      <c r="F90" s="3510"/>
      <c r="G90" s="3510"/>
      <c r="H90" s="3510"/>
      <c r="I90" s="3510"/>
      <c r="J90" s="3510"/>
      <c r="K90" s="2450"/>
      <c r="L90" s="2450"/>
      <c r="M90" s="2450"/>
      <c r="N90" s="2450"/>
    </row>
    <row r="91" spans="1:40">
      <c r="A91" s="3511" t="s">
        <v>1443</v>
      </c>
      <c r="B91" s="3511" t="s">
        <v>1634</v>
      </c>
      <c r="C91" s="1140" t="s">
        <v>1635</v>
      </c>
      <c r="D91" s="1141"/>
      <c r="E91" s="1141"/>
      <c r="F91" s="1141"/>
      <c r="G91" s="1141"/>
      <c r="H91" s="1141"/>
      <c r="I91" s="1141"/>
      <c r="J91" s="1142"/>
      <c r="K91" s="1134"/>
      <c r="L91" s="1134"/>
      <c r="M91" s="1134"/>
      <c r="N91" s="1134"/>
    </row>
    <row r="92" spans="1:40">
      <c r="A92" s="3511"/>
      <c r="B92" s="3511"/>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518"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1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18"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519"/>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519"/>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519"/>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519"/>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519"/>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519"/>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519"/>
      <c r="B108" s="352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0"/>
      <c r="B109" s="3522"/>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505" t="s">
        <v>1639</v>
      </c>
      <c r="B110" s="3505"/>
      <c r="C110" s="3505"/>
      <c r="D110" s="3505"/>
      <c r="E110" s="3505"/>
      <c r="F110" s="3505"/>
      <c r="G110" s="3505"/>
      <c r="H110" s="3505"/>
      <c r="I110" s="3505"/>
      <c r="J110" s="3505"/>
      <c r="K110" s="2448"/>
      <c r="L110" s="2448"/>
      <c r="M110" s="2448"/>
      <c r="N110" s="2448"/>
    </row>
    <row r="112" spans="1:14" ht="12.6" thickBot="1"/>
    <row r="113" spans="1:13" ht="25.8" thickBot="1">
      <c r="A113" s="1016" t="s">
        <v>895</v>
      </c>
      <c r="B113" s="2451">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3.2">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3.2">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3.2">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3.2">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8"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8" customFormat="1" ht="19.5" customHeight="1">
      <c r="A18" s="3511" t="s">
        <v>1007</v>
      </c>
      <c r="B18" s="1154" t="s">
        <v>1446</v>
      </c>
      <c r="C18" s="1131" t="s">
        <v>1447</v>
      </c>
      <c r="D18" s="1132"/>
      <c r="E18" s="1154">
        <v>1</v>
      </c>
      <c r="F18" s="1133" t="s">
        <v>1448</v>
      </c>
      <c r="G18" s="1134"/>
      <c r="H18" s="1105"/>
      <c r="I18" s="1105"/>
    </row>
    <row r="19" spans="1:9" s="1598" customFormat="1" ht="19.5" customHeight="1">
      <c r="A19" s="3511"/>
      <c r="B19" s="3511" t="s">
        <v>1449</v>
      </c>
      <c r="C19" s="1131" t="s">
        <v>1450</v>
      </c>
      <c r="D19" s="1132"/>
      <c r="E19" s="1154">
        <v>0.9</v>
      </c>
      <c r="F19" s="1133" t="s">
        <v>1451</v>
      </c>
      <c r="G19" s="1134"/>
      <c r="H19" s="1105"/>
      <c r="I19" s="1105"/>
    </row>
    <row r="20" spans="1:9" s="1598" customFormat="1" ht="19.5" customHeight="1">
      <c r="A20" s="3511"/>
      <c r="B20" s="3511"/>
      <c r="C20" s="1131" t="s">
        <v>1452</v>
      </c>
      <c r="D20" s="1132"/>
      <c r="E20" s="1154">
        <v>1.1000000000000001</v>
      </c>
      <c r="F20" s="1133" t="s">
        <v>1453</v>
      </c>
      <c r="G20" s="1134"/>
      <c r="H20" s="1105"/>
      <c r="I20" s="1105"/>
    </row>
    <row r="21" spans="1:9" s="1598" customFormat="1" ht="19.5" customHeight="1">
      <c r="A21" s="3511"/>
      <c r="B21" s="3511"/>
      <c r="C21" s="1131" t="s">
        <v>1454</v>
      </c>
      <c r="D21" s="1132"/>
      <c r="E21" s="1154">
        <v>0.8</v>
      </c>
      <c r="F21" s="1133" t="s">
        <v>1455</v>
      </c>
      <c r="G21" s="1134"/>
      <c r="H21" s="1105"/>
      <c r="I21" s="1105"/>
    </row>
    <row r="22" spans="1:9" s="1598" customFormat="1" ht="19.5" customHeight="1">
      <c r="A22" s="3511"/>
      <c r="B22" s="3511"/>
      <c r="C22" s="1131" t="s">
        <v>1456</v>
      </c>
      <c r="D22" s="1132"/>
      <c r="E22" s="1154">
        <v>0.5</v>
      </c>
      <c r="F22" s="1133"/>
      <c r="G22" s="1134"/>
      <c r="H22" s="1105"/>
      <c r="I22" s="1105"/>
    </row>
    <row r="23" spans="1:9" s="1598" customFormat="1" ht="19.5" customHeight="1">
      <c r="A23" s="3511" t="s">
        <v>1029</v>
      </c>
      <c r="B23" s="1154" t="s">
        <v>1446</v>
      </c>
      <c r="C23" s="1131" t="s">
        <v>1457</v>
      </c>
      <c r="D23" s="1132"/>
      <c r="E23" s="1154">
        <v>1</v>
      </c>
      <c r="F23" s="1133" t="s">
        <v>1458</v>
      </c>
      <c r="G23" s="1134"/>
      <c r="H23" s="1105"/>
      <c r="I23" s="1105"/>
    </row>
    <row r="24" spans="1:9" s="1598" customFormat="1" ht="19.5" customHeight="1">
      <c r="A24" s="3511"/>
      <c r="B24" s="3511" t="s">
        <v>1449</v>
      </c>
      <c r="C24" s="1131" t="s">
        <v>1459</v>
      </c>
      <c r="D24" s="1132"/>
      <c r="E24" s="1154">
        <v>0.5</v>
      </c>
      <c r="F24" s="1133"/>
      <c r="G24" s="1134"/>
      <c r="H24" s="1105"/>
      <c r="I24" s="1105"/>
    </row>
    <row r="25" spans="1:9" s="1598" customFormat="1" ht="19.5" customHeight="1">
      <c r="A25" s="3511"/>
      <c r="B25" s="3511"/>
      <c r="C25" s="1131" t="s">
        <v>1460</v>
      </c>
      <c r="D25" s="1132"/>
      <c r="E25" s="1154">
        <v>1.1000000000000001</v>
      </c>
      <c r="F25" s="1133"/>
      <c r="G25" s="1134"/>
      <c r="H25" s="1105"/>
      <c r="I25" s="1105"/>
    </row>
    <row r="26" spans="1:9" s="1598" customFormat="1" ht="19.5" customHeight="1">
      <c r="A26" s="3511"/>
      <c r="B26" s="3511"/>
      <c r="C26" s="1131" t="s">
        <v>1461</v>
      </c>
      <c r="D26" s="1132"/>
      <c r="E26" s="1154">
        <v>1.1000000000000001</v>
      </c>
      <c r="F26" s="1133"/>
      <c r="G26" s="1134"/>
      <c r="H26" s="1105"/>
      <c r="I26" s="1105"/>
    </row>
    <row r="27" spans="1:9" s="1598" customFormat="1" ht="19.5" customHeight="1">
      <c r="A27" s="3511"/>
      <c r="B27" s="3511"/>
      <c r="C27" s="1131" t="s">
        <v>1462</v>
      </c>
      <c r="D27" s="1132"/>
      <c r="E27" s="1154">
        <v>0.9</v>
      </c>
      <c r="F27" s="1133" t="s">
        <v>1463</v>
      </c>
      <c r="G27" s="1134"/>
      <c r="H27" s="1105"/>
      <c r="I27" s="1105"/>
    </row>
    <row r="28" spans="1:9" s="1598" customFormat="1" ht="19.5" customHeight="1">
      <c r="A28" s="3511"/>
      <c r="B28" s="3511"/>
      <c r="C28" s="1131" t="s">
        <v>1464</v>
      </c>
      <c r="D28" s="1132"/>
      <c r="E28" s="1154">
        <v>0.9</v>
      </c>
      <c r="F28" s="1133" t="s">
        <v>1465</v>
      </c>
      <c r="G28" s="1134"/>
      <c r="H28" s="1105"/>
      <c r="I28" s="1105"/>
    </row>
    <row r="29" spans="1:9" s="1598" customFormat="1" ht="19.5" customHeight="1">
      <c r="A29" s="3511"/>
      <c r="B29" s="3511"/>
      <c r="C29" s="1131" t="s">
        <v>1466</v>
      </c>
      <c r="D29" s="1132"/>
      <c r="E29" s="1154">
        <v>0.9</v>
      </c>
      <c r="F29" s="1133" t="s">
        <v>1467</v>
      </c>
      <c r="G29" s="1134"/>
      <c r="H29" s="1105"/>
      <c r="I29" s="1105"/>
    </row>
    <row r="30" spans="1:9" s="1598" customFormat="1" ht="19.5" customHeight="1">
      <c r="A30" s="3511"/>
      <c r="B30" s="3511"/>
      <c r="C30" s="1131" t="s">
        <v>1468</v>
      </c>
      <c r="D30" s="1132"/>
      <c r="E30" s="1154">
        <v>0.9</v>
      </c>
      <c r="F30" s="1133" t="s">
        <v>1469</v>
      </c>
      <c r="G30" s="1134"/>
      <c r="H30" s="1105"/>
      <c r="I30" s="1105"/>
    </row>
    <row r="31" spans="1:9" s="1598" customFormat="1" ht="19.5" customHeight="1">
      <c r="A31" s="3511"/>
      <c r="B31" s="3511"/>
      <c r="C31" s="1131" t="s">
        <v>1470</v>
      </c>
      <c r="D31" s="1132"/>
      <c r="E31" s="1154">
        <v>0.8</v>
      </c>
      <c r="F31" s="1133" t="s">
        <v>1471</v>
      </c>
      <c r="G31" s="1134"/>
      <c r="H31" s="1105"/>
      <c r="I31" s="1105"/>
    </row>
    <row r="32" spans="1:9" s="1598" customFormat="1" ht="19.5" customHeight="1">
      <c r="A32" s="3511"/>
      <c r="B32" s="3511"/>
      <c r="C32" s="1131" t="s">
        <v>1472</v>
      </c>
      <c r="D32" s="1132"/>
      <c r="E32" s="1154">
        <v>0.8</v>
      </c>
      <c r="F32" s="1133" t="s">
        <v>1473</v>
      </c>
      <c r="G32" s="1134"/>
      <c r="H32" s="1105"/>
      <c r="I32" s="1105"/>
    </row>
    <row r="33" spans="1:9" s="1598" customFormat="1" ht="19.5" customHeight="1">
      <c r="A33" s="3511" t="s">
        <v>1474</v>
      </c>
      <c r="B33" s="1154" t="s">
        <v>1446</v>
      </c>
      <c r="C33" s="1131" t="s">
        <v>1475</v>
      </c>
      <c r="D33" s="1132"/>
      <c r="E33" s="1154">
        <v>1</v>
      </c>
      <c r="F33" s="1133" t="s">
        <v>1476</v>
      </c>
      <c r="G33" s="1134"/>
      <c r="H33" s="1105"/>
      <c r="I33" s="1105"/>
    </row>
    <row r="34" spans="1:9" s="1598" customFormat="1" ht="19.5" customHeight="1">
      <c r="A34" s="3511"/>
      <c r="B34" s="1154" t="s">
        <v>1449</v>
      </c>
      <c r="C34" s="1131" t="s">
        <v>1477</v>
      </c>
      <c r="D34" s="1132"/>
      <c r="E34" s="1154">
        <v>1.5</v>
      </c>
      <c r="F34" s="1133" t="s">
        <v>1478</v>
      </c>
      <c r="G34" s="1134"/>
      <c r="H34" s="1105"/>
      <c r="I34" s="1105"/>
    </row>
    <row r="35" spans="1:9" s="1598" customFormat="1" ht="19.5" customHeight="1">
      <c r="A35" s="3511" t="s">
        <v>1432</v>
      </c>
      <c r="B35" s="1154" t="s">
        <v>1446</v>
      </c>
      <c r="C35" s="1131" t="s">
        <v>1479</v>
      </c>
      <c r="D35" s="1132"/>
      <c r="E35" s="1154">
        <v>1</v>
      </c>
      <c r="F35" s="1133" t="s">
        <v>1480</v>
      </c>
      <c r="G35" s="1134"/>
      <c r="H35" s="1105"/>
      <c r="I35" s="1105"/>
    </row>
    <row r="36" spans="1:9" s="1598" customFormat="1" ht="19.5" customHeight="1">
      <c r="A36" s="3511"/>
      <c r="B36" s="3511" t="s">
        <v>1449</v>
      </c>
      <c r="C36" s="1131" t="s">
        <v>1481</v>
      </c>
      <c r="D36" s="1132"/>
      <c r="E36" s="1154">
        <v>1</v>
      </c>
      <c r="F36" s="1133" t="s">
        <v>1482</v>
      </c>
      <c r="G36" s="1134"/>
      <c r="H36" s="1105"/>
      <c r="I36" s="1105"/>
    </row>
    <row r="37" spans="1:9" s="1598" customFormat="1" ht="19.5" customHeight="1">
      <c r="A37" s="3511"/>
      <c r="B37" s="3511"/>
      <c r="C37" s="1131" t="s">
        <v>1483</v>
      </c>
      <c r="D37" s="1132"/>
      <c r="E37" s="1154">
        <v>1.5</v>
      </c>
      <c r="F37" s="1133" t="s">
        <v>1484</v>
      </c>
      <c r="G37" s="1134"/>
      <c r="H37" s="1105"/>
      <c r="I37" s="1105"/>
    </row>
    <row r="38" spans="1:9" s="1598" customFormat="1" ht="19.5" customHeight="1">
      <c r="A38" s="3511"/>
      <c r="B38" s="3511"/>
      <c r="C38" s="1131" t="s">
        <v>1485</v>
      </c>
      <c r="D38" s="1132"/>
      <c r="E38" s="1154">
        <v>1</v>
      </c>
      <c r="F38" s="1133" t="s">
        <v>1486</v>
      </c>
      <c r="G38" s="1134"/>
      <c r="H38" s="1105"/>
      <c r="I38" s="1105"/>
    </row>
    <row r="39" spans="1:9" s="1598" customFormat="1" ht="19.5" customHeight="1">
      <c r="A39" s="3511"/>
      <c r="B39" s="3511"/>
      <c r="C39" s="1131" t="s">
        <v>1487</v>
      </c>
      <c r="D39" s="1132"/>
      <c r="E39" s="1154">
        <v>1</v>
      </c>
      <c r="F39" s="1133" t="s">
        <v>1488</v>
      </c>
      <c r="G39" s="1134"/>
      <c r="H39" s="1105"/>
      <c r="I39" s="1105"/>
    </row>
    <row r="40" spans="1:9" s="1598" customFormat="1" ht="19.5" customHeight="1">
      <c r="A40" s="1599" t="s">
        <v>1489</v>
      </c>
      <c r="B40" s="1599"/>
      <c r="C40" s="1599"/>
      <c r="D40" s="1599"/>
      <c r="E40" s="1599"/>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36">
      <c r="A61" s="1154">
        <v>1</v>
      </c>
      <c r="B61" s="3511" t="s">
        <v>1501</v>
      </c>
      <c r="C61" s="1068" t="s">
        <v>1502</v>
      </c>
      <c r="D61" s="1068" t="s">
        <v>1503</v>
      </c>
      <c r="E61" s="1139">
        <v>0.5</v>
      </c>
      <c r="F61" s="1154">
        <v>80</v>
      </c>
      <c r="H61" s="1105">
        <f>SUMIF(C59:C119,基准地价!C8,E59:E119)</f>
        <v>0</v>
      </c>
    </row>
    <row r="62" spans="1:8" s="1105" customFormat="1" ht="36">
      <c r="A62" s="1154">
        <v>2</v>
      </c>
      <c r="B62" s="3511"/>
      <c r="C62" s="1068" t="s">
        <v>1504</v>
      </c>
      <c r="D62" s="1068" t="s">
        <v>1505</v>
      </c>
      <c r="E62" s="1139">
        <v>0.5</v>
      </c>
      <c r="F62" s="1154">
        <v>80</v>
      </c>
    </row>
    <row r="63" spans="1:8" s="1105" customFormat="1" ht="48">
      <c r="A63" s="1154">
        <v>3</v>
      </c>
      <c r="B63" s="3511"/>
      <c r="C63" s="1068" t="s">
        <v>1506</v>
      </c>
      <c r="D63" s="1068" t="s">
        <v>1507</v>
      </c>
      <c r="E63" s="1139">
        <v>0.5</v>
      </c>
      <c r="F63" s="1154">
        <v>80</v>
      </c>
    </row>
    <row r="64" spans="1:8" s="1105" customFormat="1" ht="48">
      <c r="A64" s="1154">
        <v>4</v>
      </c>
      <c r="B64" s="3511"/>
      <c r="C64" s="1068" t="s">
        <v>1508</v>
      </c>
      <c r="D64" s="1068" t="s">
        <v>1509</v>
      </c>
      <c r="E64" s="1139">
        <v>0.4</v>
      </c>
      <c r="F64" s="1154">
        <v>60</v>
      </c>
    </row>
    <row r="65" spans="1:6" s="1105" customFormat="1" ht="48">
      <c r="A65" s="1154">
        <v>5</v>
      </c>
      <c r="B65" s="3511"/>
      <c r="C65" s="1068" t="s">
        <v>1510</v>
      </c>
      <c r="D65" s="1068" t="s">
        <v>1511</v>
      </c>
      <c r="E65" s="1139">
        <v>0.2</v>
      </c>
      <c r="F65" s="1154">
        <v>30</v>
      </c>
    </row>
    <row r="66" spans="1:6" s="1105" customFormat="1" ht="48">
      <c r="A66" s="1154">
        <v>6</v>
      </c>
      <c r="B66" s="3511"/>
      <c r="C66" s="1068" t="s">
        <v>1512</v>
      </c>
      <c r="D66" s="1068" t="s">
        <v>1513</v>
      </c>
      <c r="E66" s="1139">
        <v>0.3</v>
      </c>
      <c r="F66" s="1154">
        <v>50</v>
      </c>
    </row>
    <row r="67" spans="1:6" s="1105" customFormat="1" ht="48">
      <c r="A67" s="1154">
        <v>7</v>
      </c>
      <c r="B67" s="3511"/>
      <c r="C67" s="1068" t="s">
        <v>1514</v>
      </c>
      <c r="D67" s="1068" t="s">
        <v>1515</v>
      </c>
      <c r="E67" s="1139">
        <v>0.2</v>
      </c>
      <c r="F67" s="1154">
        <v>30</v>
      </c>
    </row>
    <row r="68" spans="1:6" s="1105" customFormat="1" ht="48">
      <c r="A68" s="1154">
        <v>8</v>
      </c>
      <c r="B68" s="3511"/>
      <c r="C68" s="1068" t="s">
        <v>1516</v>
      </c>
      <c r="D68" s="1068" t="s">
        <v>1517</v>
      </c>
      <c r="E68" s="1139">
        <v>0.2</v>
      </c>
      <c r="F68" s="1154">
        <v>30</v>
      </c>
    </row>
    <row r="69" spans="1:6" s="1105" customFormat="1" ht="48">
      <c r="A69" s="1154">
        <v>9</v>
      </c>
      <c r="B69" s="3511"/>
      <c r="C69" s="1068" t="s">
        <v>1518</v>
      </c>
      <c r="D69" s="1068" t="s">
        <v>1519</v>
      </c>
      <c r="E69" s="1139">
        <v>0.2</v>
      </c>
      <c r="F69" s="1154">
        <v>30</v>
      </c>
    </row>
    <row r="70" spans="1:6" s="1105" customFormat="1" ht="60">
      <c r="A70" s="1154">
        <v>10</v>
      </c>
      <c r="B70" s="3511"/>
      <c r="C70" s="1068" t="s">
        <v>1520</v>
      </c>
      <c r="D70" s="1068" t="s">
        <v>1521</v>
      </c>
      <c r="E70" s="1139">
        <v>0.2</v>
      </c>
      <c r="F70" s="1154">
        <v>30</v>
      </c>
    </row>
    <row r="71" spans="1:6" s="1105" customFormat="1" ht="60">
      <c r="A71" s="1154">
        <v>11</v>
      </c>
      <c r="B71" s="3511"/>
      <c r="C71" s="1068" t="s">
        <v>1522</v>
      </c>
      <c r="D71" s="1068" t="s">
        <v>1523</v>
      </c>
      <c r="E71" s="1139">
        <v>0.2</v>
      </c>
      <c r="F71" s="1154">
        <v>30</v>
      </c>
    </row>
    <row r="72" spans="1:6" s="1105" customFormat="1" ht="36">
      <c r="A72" s="1154">
        <v>12</v>
      </c>
      <c r="B72" s="3511"/>
      <c r="C72" s="1068" t="s">
        <v>1524</v>
      </c>
      <c r="D72" s="1068" t="s">
        <v>1525</v>
      </c>
      <c r="E72" s="1139">
        <v>0.5</v>
      </c>
      <c r="F72" s="1154">
        <v>80</v>
      </c>
    </row>
    <row r="73" spans="1:6" s="1105" customFormat="1" ht="36">
      <c r="A73" s="1154">
        <v>13</v>
      </c>
      <c r="B73" s="3511"/>
      <c r="C73" s="1068" t="s">
        <v>1526</v>
      </c>
      <c r="D73" s="1068" t="s">
        <v>1527</v>
      </c>
      <c r="E73" s="1139">
        <v>0.4</v>
      </c>
      <c r="F73" s="1154">
        <v>60</v>
      </c>
    </row>
    <row r="74" spans="1:6" s="1105" customFormat="1" ht="36">
      <c r="A74" s="1154">
        <v>14</v>
      </c>
      <c r="B74" s="3511"/>
      <c r="C74" s="1068" t="s">
        <v>1528</v>
      </c>
      <c r="D74" s="1068" t="s">
        <v>1529</v>
      </c>
      <c r="E74" s="1139">
        <v>0.2</v>
      </c>
      <c r="F74" s="1154">
        <v>30</v>
      </c>
    </row>
    <row r="75" spans="1:6" s="1105" customFormat="1" ht="36">
      <c r="A75" s="1154">
        <v>15</v>
      </c>
      <c r="B75" s="3511"/>
      <c r="C75" s="1068" t="s">
        <v>1530</v>
      </c>
      <c r="D75" s="1068" t="s">
        <v>1531</v>
      </c>
      <c r="E75" s="1139">
        <v>0.2</v>
      </c>
      <c r="F75" s="1154">
        <v>30</v>
      </c>
    </row>
    <row r="76" spans="1:6" s="1105" customFormat="1" ht="36">
      <c r="A76" s="1154">
        <v>16</v>
      </c>
      <c r="B76" s="3511" t="s">
        <v>1532</v>
      </c>
      <c r="C76" s="1068" t="s">
        <v>1533</v>
      </c>
      <c r="D76" s="1068" t="s">
        <v>1534</v>
      </c>
      <c r="E76" s="1139">
        <v>0.5</v>
      </c>
      <c r="F76" s="1154">
        <v>80</v>
      </c>
    </row>
    <row r="77" spans="1:6" s="1105" customFormat="1" ht="36">
      <c r="A77" s="1154">
        <v>17</v>
      </c>
      <c r="B77" s="3511"/>
      <c r="C77" s="1068" t="s">
        <v>1535</v>
      </c>
      <c r="D77" s="1068" t="s">
        <v>1536</v>
      </c>
      <c r="E77" s="1139">
        <v>0.5</v>
      </c>
      <c r="F77" s="1154">
        <v>80</v>
      </c>
    </row>
    <row r="78" spans="1:6" s="1105" customFormat="1" ht="36">
      <c r="A78" s="1154">
        <v>18</v>
      </c>
      <c r="B78" s="3511"/>
      <c r="C78" s="1068" t="s">
        <v>1537</v>
      </c>
      <c r="D78" s="1068" t="s">
        <v>1538</v>
      </c>
      <c r="E78" s="1139">
        <v>0.2</v>
      </c>
      <c r="F78" s="1154">
        <v>30</v>
      </c>
    </row>
    <row r="79" spans="1:6" s="1105" customFormat="1" ht="36">
      <c r="A79" s="1154">
        <v>19</v>
      </c>
      <c r="B79" s="3511"/>
      <c r="C79" s="1068" t="s">
        <v>1539</v>
      </c>
      <c r="D79" s="1068" t="s">
        <v>1540</v>
      </c>
      <c r="E79" s="1139">
        <v>0.5</v>
      </c>
      <c r="F79" s="1154">
        <v>80</v>
      </c>
    </row>
    <row r="80" spans="1:6" s="1105" customFormat="1" ht="36">
      <c r="A80" s="1154">
        <v>20</v>
      </c>
      <c r="B80" s="3511"/>
      <c r="C80" s="1068" t="s">
        <v>1541</v>
      </c>
      <c r="D80" s="1068" t="s">
        <v>1542</v>
      </c>
      <c r="E80" s="1139">
        <v>0.2</v>
      </c>
      <c r="F80" s="1154">
        <v>30</v>
      </c>
    </row>
    <row r="81" spans="1:6" s="1105" customFormat="1" ht="36">
      <c r="A81" s="1154">
        <v>21</v>
      </c>
      <c r="B81" s="3511"/>
      <c r="C81" s="1068" t="s">
        <v>1543</v>
      </c>
      <c r="D81" s="1068" t="s">
        <v>1544</v>
      </c>
      <c r="E81" s="1139">
        <v>0.2</v>
      </c>
      <c r="F81" s="1154">
        <v>30</v>
      </c>
    </row>
    <row r="82" spans="1:6" s="1105" customFormat="1" ht="60">
      <c r="A82" s="1154">
        <v>22</v>
      </c>
      <c r="B82" s="3511"/>
      <c r="C82" s="1068" t="s">
        <v>1545</v>
      </c>
      <c r="D82" s="1068" t="s">
        <v>1546</v>
      </c>
      <c r="E82" s="1139">
        <v>0.2</v>
      </c>
      <c r="F82" s="1154">
        <v>30</v>
      </c>
    </row>
    <row r="83" spans="1:6" s="1105" customFormat="1" ht="60">
      <c r="A83" s="1154">
        <v>23</v>
      </c>
      <c r="B83" s="3511"/>
      <c r="C83" s="1068" t="s">
        <v>1547</v>
      </c>
      <c r="D83" s="1068" t="s">
        <v>1548</v>
      </c>
      <c r="E83" s="1139">
        <v>0.2</v>
      </c>
      <c r="F83" s="1154">
        <v>30</v>
      </c>
    </row>
    <row r="84" spans="1:6" s="1105" customFormat="1" ht="48">
      <c r="A84" s="1154">
        <v>24</v>
      </c>
      <c r="B84" s="3511"/>
      <c r="C84" s="1068" t="s">
        <v>1549</v>
      </c>
      <c r="D84" s="1068" t="s">
        <v>1550</v>
      </c>
      <c r="E84" s="1139">
        <v>0.2</v>
      </c>
      <c r="F84" s="1154">
        <v>30</v>
      </c>
    </row>
    <row r="85" spans="1:6" s="1105" customFormat="1" ht="36">
      <c r="A85" s="1154">
        <v>25</v>
      </c>
      <c r="B85" s="3511"/>
      <c r="C85" s="1068" t="s">
        <v>1551</v>
      </c>
      <c r="D85" s="1068" t="s">
        <v>1552</v>
      </c>
      <c r="E85" s="1139">
        <v>0.5</v>
      </c>
      <c r="F85" s="1154">
        <v>80</v>
      </c>
    </row>
    <row r="86" spans="1:6" s="1105" customFormat="1" ht="36">
      <c r="A86" s="1154">
        <v>26</v>
      </c>
      <c r="B86" s="3511"/>
      <c r="C86" s="1068" t="s">
        <v>1553</v>
      </c>
      <c r="D86" s="1068" t="s">
        <v>1554</v>
      </c>
      <c r="E86" s="1139">
        <v>0.2</v>
      </c>
      <c r="F86" s="1154">
        <v>30</v>
      </c>
    </row>
    <row r="87" spans="1:6" s="1105" customFormat="1" ht="36">
      <c r="A87" s="1154">
        <v>27</v>
      </c>
      <c r="B87" s="3511"/>
      <c r="C87" s="1068" t="s">
        <v>1555</v>
      </c>
      <c r="D87" s="1068" t="s">
        <v>1556</v>
      </c>
      <c r="E87" s="1139">
        <v>0.2</v>
      </c>
      <c r="F87" s="1154">
        <v>30</v>
      </c>
    </row>
    <row r="88" spans="1:6" s="1105" customFormat="1" ht="36">
      <c r="A88" s="1154">
        <v>28</v>
      </c>
      <c r="B88" s="3511"/>
      <c r="C88" s="1068" t="s">
        <v>1557</v>
      </c>
      <c r="D88" s="1068" t="s">
        <v>1558</v>
      </c>
      <c r="E88" s="1139">
        <v>0.2</v>
      </c>
      <c r="F88" s="1154">
        <v>30</v>
      </c>
    </row>
    <row r="89" spans="1:6" s="1105" customFormat="1" ht="36">
      <c r="A89" s="1154">
        <v>29</v>
      </c>
      <c r="B89" s="3511"/>
      <c r="C89" s="1068" t="s">
        <v>1559</v>
      </c>
      <c r="D89" s="1068" t="s">
        <v>1560</v>
      </c>
      <c r="E89" s="1139">
        <v>0.2</v>
      </c>
      <c r="F89" s="1154">
        <v>30</v>
      </c>
    </row>
    <row r="90" spans="1:6" s="1105" customFormat="1" ht="36">
      <c r="A90" s="1154">
        <v>30</v>
      </c>
      <c r="B90" s="3511"/>
      <c r="C90" s="1068" t="s">
        <v>1561</v>
      </c>
      <c r="D90" s="1068" t="s">
        <v>1562</v>
      </c>
      <c r="E90" s="1139">
        <v>0.2</v>
      </c>
      <c r="F90" s="1154">
        <v>30</v>
      </c>
    </row>
    <row r="91" spans="1:6" s="1105" customFormat="1" ht="48">
      <c r="A91" s="1154">
        <v>31</v>
      </c>
      <c r="B91" s="3511"/>
      <c r="C91" s="1068" t="s">
        <v>1563</v>
      </c>
      <c r="D91" s="1068" t="s">
        <v>1564</v>
      </c>
      <c r="E91" s="1139">
        <v>0.2</v>
      </c>
      <c r="F91" s="1154">
        <v>30</v>
      </c>
    </row>
    <row r="92" spans="1:6" s="1105" customFormat="1" ht="36">
      <c r="A92" s="1154">
        <v>32</v>
      </c>
      <c r="B92" s="3511" t="s">
        <v>1565</v>
      </c>
      <c r="C92" s="1154" t="s">
        <v>1566</v>
      </c>
      <c r="D92" s="1068" t="s">
        <v>1567</v>
      </c>
      <c r="E92" s="1139">
        <v>0.2</v>
      </c>
      <c r="F92" s="1154">
        <v>30</v>
      </c>
    </row>
    <row r="93" spans="1:6" s="1105" customFormat="1" ht="36">
      <c r="A93" s="1154">
        <v>33</v>
      </c>
      <c r="B93" s="3511"/>
      <c r="C93" s="1154" t="s">
        <v>1568</v>
      </c>
      <c r="D93" s="1068" t="s">
        <v>1569</v>
      </c>
      <c r="E93" s="1139">
        <v>0.2</v>
      </c>
      <c r="F93" s="1154">
        <v>30</v>
      </c>
    </row>
    <row r="94" spans="1:6" s="1105" customFormat="1" ht="60">
      <c r="A94" s="1154">
        <v>34</v>
      </c>
      <c r="B94" s="3511"/>
      <c r="C94" s="1154" t="s">
        <v>1570</v>
      </c>
      <c r="D94" s="1068" t="s">
        <v>1571</v>
      </c>
      <c r="E94" s="1139">
        <v>0.2</v>
      </c>
      <c r="F94" s="1154">
        <v>30</v>
      </c>
    </row>
    <row r="95" spans="1:6" s="1105" customFormat="1" ht="48">
      <c r="A95" s="1154">
        <v>35</v>
      </c>
      <c r="B95" s="3511"/>
      <c r="C95" s="1154" t="s">
        <v>1572</v>
      </c>
      <c r="D95" s="1068" t="s">
        <v>1573</v>
      </c>
      <c r="E95" s="1139">
        <v>0.2</v>
      </c>
      <c r="F95" s="1154">
        <v>30</v>
      </c>
    </row>
    <row r="96" spans="1:6" s="1105" customFormat="1" ht="72">
      <c r="A96" s="1154">
        <v>36</v>
      </c>
      <c r="B96" s="3511"/>
      <c r="C96" s="1068" t="s">
        <v>1574</v>
      </c>
      <c r="D96" s="1068" t="s">
        <v>1575</v>
      </c>
      <c r="E96" s="1139">
        <v>0.2</v>
      </c>
      <c r="F96" s="1154">
        <v>30</v>
      </c>
    </row>
    <row r="97" spans="1:6" s="1105" customFormat="1" ht="36">
      <c r="A97" s="1154">
        <v>37</v>
      </c>
      <c r="B97" s="3511"/>
      <c r="C97" s="1154" t="s">
        <v>1576</v>
      </c>
      <c r="D97" s="1068" t="s">
        <v>1577</v>
      </c>
      <c r="E97" s="1139">
        <v>0.2</v>
      </c>
      <c r="F97" s="1154">
        <v>30</v>
      </c>
    </row>
    <row r="98" spans="1:6" s="1105" customFormat="1" ht="36">
      <c r="A98" s="1154">
        <v>38</v>
      </c>
      <c r="B98" s="3511"/>
      <c r="C98" s="1154" t="s">
        <v>1578</v>
      </c>
      <c r="D98" s="1068" t="s">
        <v>1579</v>
      </c>
      <c r="E98" s="1139">
        <v>0.2</v>
      </c>
      <c r="F98" s="1154">
        <v>30</v>
      </c>
    </row>
    <row r="99" spans="1:6" s="1105" customFormat="1" ht="36">
      <c r="A99" s="1154">
        <v>39</v>
      </c>
      <c r="B99" s="3511" t="s">
        <v>1580</v>
      </c>
      <c r="C99" s="1154" t="s">
        <v>1581</v>
      </c>
      <c r="D99" s="1068" t="s">
        <v>1582</v>
      </c>
      <c r="E99" s="1139">
        <v>0.3</v>
      </c>
      <c r="F99" s="1154">
        <v>50</v>
      </c>
    </row>
    <row r="100" spans="1:6" s="1105" customFormat="1" ht="36">
      <c r="A100" s="1154">
        <v>40</v>
      </c>
      <c r="B100" s="3511"/>
      <c r="C100" s="1154" t="s">
        <v>1583</v>
      </c>
      <c r="D100" s="1068" t="s">
        <v>1584</v>
      </c>
      <c r="E100" s="1139">
        <v>0.2</v>
      </c>
      <c r="F100" s="1154">
        <v>30</v>
      </c>
    </row>
    <row r="101" spans="1:6" s="1105" customFormat="1" ht="36">
      <c r="A101" s="1154">
        <v>41</v>
      </c>
      <c r="B101" s="3511"/>
      <c r="C101" s="1154" t="s">
        <v>1585</v>
      </c>
      <c r="D101" s="1068" t="s">
        <v>1582</v>
      </c>
      <c r="E101" s="1139">
        <v>0.2</v>
      </c>
      <c r="F101" s="1154">
        <v>30</v>
      </c>
    </row>
    <row r="102" spans="1:6" s="1105" customFormat="1" ht="72">
      <c r="A102" s="1154">
        <v>42</v>
      </c>
      <c r="B102" s="1154" t="s">
        <v>1586</v>
      </c>
      <c r="C102" s="1068" t="s">
        <v>1587</v>
      </c>
      <c r="D102" s="1068" t="s">
        <v>1588</v>
      </c>
      <c r="E102" s="1139">
        <v>0.2</v>
      </c>
      <c r="F102" s="1154">
        <v>30</v>
      </c>
    </row>
    <row r="103" spans="1:6" s="1105" customFormat="1" ht="36">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48">
      <c r="A105" s="1154">
        <v>45</v>
      </c>
      <c r="B105" s="3511" t="s">
        <v>1595</v>
      </c>
      <c r="C105" s="1154" t="s">
        <v>1596</v>
      </c>
      <c r="D105" s="1068" t="s">
        <v>1597</v>
      </c>
      <c r="E105" s="1139">
        <v>0.2</v>
      </c>
      <c r="F105" s="1154">
        <v>30</v>
      </c>
    </row>
    <row r="106" spans="1:6" s="1105" customFormat="1" ht="48">
      <c r="A106" s="1154">
        <v>46</v>
      </c>
      <c r="B106" s="3511"/>
      <c r="C106" s="1154" t="s">
        <v>1598</v>
      </c>
      <c r="D106" s="1068" t="s">
        <v>1599</v>
      </c>
      <c r="E106" s="1139">
        <v>0.2</v>
      </c>
      <c r="F106" s="1154">
        <v>30</v>
      </c>
    </row>
    <row r="107" spans="1:6" s="1105" customFormat="1" ht="36">
      <c r="A107" s="1154">
        <v>47</v>
      </c>
      <c r="B107" s="3511" t="s">
        <v>1600</v>
      </c>
      <c r="C107" s="1154" t="s">
        <v>1601</v>
      </c>
      <c r="D107" s="1068" t="s">
        <v>1602</v>
      </c>
      <c r="E107" s="1139">
        <v>0.3</v>
      </c>
      <c r="F107" s="1154">
        <v>50</v>
      </c>
    </row>
    <row r="108" spans="1:6" s="1105" customFormat="1" ht="48">
      <c r="A108" s="1154">
        <v>48</v>
      </c>
      <c r="B108" s="3511"/>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48">
      <c r="A110" s="1154">
        <v>50</v>
      </c>
      <c r="B110" s="1154" t="s">
        <v>1608</v>
      </c>
      <c r="C110" s="1154" t="s">
        <v>1609</v>
      </c>
      <c r="D110" s="1068" t="s">
        <v>1610</v>
      </c>
      <c r="E110" s="1139">
        <v>0.2</v>
      </c>
      <c r="F110" s="1154">
        <v>30</v>
      </c>
    </row>
    <row r="111" spans="1:6" s="1105" customFormat="1" ht="48">
      <c r="A111" s="1154">
        <v>51</v>
      </c>
      <c r="B111" s="3511" t="s">
        <v>1611</v>
      </c>
      <c r="C111" s="1154" t="s">
        <v>1612</v>
      </c>
      <c r="D111" s="1068" t="s">
        <v>1613</v>
      </c>
      <c r="E111" s="1139">
        <v>0.2</v>
      </c>
      <c r="F111" s="1154">
        <v>30</v>
      </c>
    </row>
    <row r="112" spans="1:6" s="1105" customFormat="1" ht="36">
      <c r="A112" s="1154">
        <v>52</v>
      </c>
      <c r="B112" s="3511"/>
      <c r="C112" s="1154" t="s">
        <v>1614</v>
      </c>
      <c r="D112" s="1068" t="s">
        <v>1615</v>
      </c>
      <c r="E112" s="1139">
        <v>0.2</v>
      </c>
      <c r="F112" s="1154">
        <v>30</v>
      </c>
    </row>
    <row r="113" spans="1:14" s="1105" customFormat="1" ht="36">
      <c r="A113" s="1154">
        <v>53</v>
      </c>
      <c r="B113" s="3511"/>
      <c r="C113" s="1154" t="s">
        <v>1616</v>
      </c>
      <c r="D113" s="1068" t="s">
        <v>1617</v>
      </c>
      <c r="E113" s="1139">
        <v>0.2</v>
      </c>
      <c r="F113" s="1154">
        <v>30</v>
      </c>
    </row>
    <row r="114" spans="1:14" ht="48">
      <c r="A114" s="1154">
        <v>54</v>
      </c>
      <c r="B114" s="1154" t="s">
        <v>1618</v>
      </c>
      <c r="C114" s="1154" t="s">
        <v>1619</v>
      </c>
      <c r="D114" s="1068" t="s">
        <v>1620</v>
      </c>
      <c r="E114" s="1139">
        <v>0.2</v>
      </c>
      <c r="F114" s="1154">
        <v>30</v>
      </c>
    </row>
    <row r="115" spans="1:14" ht="36">
      <c r="A115" s="1154">
        <v>55</v>
      </c>
      <c r="B115" s="1154" t="s">
        <v>1621</v>
      </c>
      <c r="C115" s="1154" t="s">
        <v>1622</v>
      </c>
      <c r="D115" s="1068" t="s">
        <v>1623</v>
      </c>
      <c r="E115" s="1139">
        <v>0.2</v>
      </c>
      <c r="F115" s="1154">
        <v>30</v>
      </c>
    </row>
    <row r="116" spans="1:14" ht="36">
      <c r="A116" s="1154">
        <v>56</v>
      </c>
      <c r="B116" s="3511" t="s">
        <v>1624</v>
      </c>
      <c r="C116" s="1154" t="s">
        <v>1625</v>
      </c>
      <c r="D116" s="1068" t="s">
        <v>1626</v>
      </c>
      <c r="E116" s="1139">
        <v>0.2</v>
      </c>
      <c r="F116" s="1154">
        <v>30</v>
      </c>
    </row>
    <row r="117" spans="1:14" ht="36">
      <c r="A117" s="1154">
        <v>57</v>
      </c>
      <c r="B117" s="3511"/>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4.4">
      <c r="A119" s="1154"/>
      <c r="B119" s="1154"/>
      <c r="C119" s="1154"/>
      <c r="D119" s="1154"/>
      <c r="E119" s="1139"/>
      <c r="F119" s="1154"/>
    </row>
    <row r="121" spans="1:14" ht="19.5" customHeight="1">
      <c r="A121" s="3510" t="s">
        <v>1633</v>
      </c>
      <c r="B121" s="3510"/>
      <c r="C121" s="3510"/>
      <c r="D121" s="3510"/>
      <c r="E121" s="3510"/>
      <c r="F121" s="3510"/>
      <c r="G121" s="3510"/>
      <c r="H121" s="3510"/>
      <c r="I121" s="3510"/>
      <c r="J121" s="35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523" t="s">
        <v>1039</v>
      </c>
      <c r="B1" s="3523"/>
      <c r="C1" s="3523"/>
      <c r="D1" s="3523"/>
      <c r="E1" s="3523"/>
      <c r="F1" s="35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5" thickBot="1">
      <c r="A2" s="3524" t="s">
        <v>1052</v>
      </c>
      <c r="B2" s="3524"/>
      <c r="C2" s="3524"/>
      <c r="D2" s="3524"/>
      <c r="E2" s="3524"/>
      <c r="F2" s="35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5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5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903</v>
      </c>
      <c r="B103" s="1010"/>
      <c r="C103" s="1010"/>
      <c r="D103" s="1010"/>
      <c r="E103" s="1010"/>
      <c r="F103" s="1010"/>
      <c r="G103" s="1010"/>
      <c r="H103" s="1010"/>
      <c r="I103" s="1010"/>
      <c r="J103" s="1010"/>
      <c r="K103" s="1010"/>
      <c r="L103" s="1010"/>
      <c r="M103" s="1010"/>
      <c r="N103" s="1010"/>
    </row>
    <row r="104" spans="1:14" ht="15.6">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52.2">
      <c r="A7" s="1795" t="s">
        <v>2744</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2938</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34.799999999999997">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17.399999999999999">
      <c r="A21" s="1791" t="s">
        <v>2075</v>
      </c>
    </row>
    <row r="22" spans="1:1" ht="52.2">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本次估价对象为出让国有建设用地使用权，《国有土地使用证》[]证载土地终止日期为住宅2064年6月30日、商业2054年6月30日。截至估价期日，出让国有建设用地使用权剩余土地使用年限为。</v>
      </c>
    </row>
    <row r="23" spans="1:1" ht="17.399999999999999">
      <c r="A23" s="1791" t="str">
        <f>IF(项目基本情况!B16="出让","本次评估设定估价对象剩余土地使用年限为"&amp;项目基本情况!D20&amp;"。","")</f>
        <v>本次评估设定估价对象剩余土地使用年限为。</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0" customWidth="1"/>
    <col min="2" max="2" width="10.21875" style="1881" customWidth="1"/>
  </cols>
  <sheetData>
    <row r="1" spans="1:6">
      <c r="A1" s="3527" t="s">
        <v>2080</v>
      </c>
      <c r="B1" s="3527"/>
    </row>
    <row r="2" spans="1:6" ht="15" thickBot="1">
      <c r="A2" s="1851"/>
      <c r="B2" s="1851"/>
    </row>
    <row r="3" spans="1:6" ht="15" thickBot="1">
      <c r="A3" s="1851"/>
      <c r="B3" s="1851"/>
      <c r="C3" s="1852" t="s">
        <v>2081</v>
      </c>
      <c r="D3" s="1852" t="s">
        <v>2082</v>
      </c>
      <c r="E3" s="1852" t="s">
        <v>2083</v>
      </c>
      <c r="F3" s="1852" t="s">
        <v>2084</v>
      </c>
    </row>
    <row r="4" spans="1:6" ht="15" thickBot="1">
      <c r="A4" s="1853" t="s">
        <v>2085</v>
      </c>
      <c r="B4" s="1854" t="s">
        <v>2086</v>
      </c>
      <c r="C4" s="1852"/>
      <c r="D4" s="1852"/>
      <c r="E4" s="1852"/>
      <c r="F4" s="1852"/>
    </row>
    <row r="5" spans="1:6" ht="15" thickBot="1">
      <c r="A5" s="1855" t="s">
        <v>2087</v>
      </c>
      <c r="B5" s="1856" t="s">
        <v>2088</v>
      </c>
      <c r="C5" s="1857">
        <v>8.8999999999999996E-2</v>
      </c>
      <c r="D5" s="1857">
        <v>7.3999999999999996E-2</v>
      </c>
      <c r="E5" s="1857">
        <v>7.4999999999999997E-2</v>
      </c>
      <c r="F5" s="1858">
        <v>0.1</v>
      </c>
    </row>
    <row r="6" spans="1:6" ht="15" thickBot="1">
      <c r="A6" s="1855" t="s">
        <v>1096</v>
      </c>
      <c r="B6" s="1859" t="s">
        <v>2089</v>
      </c>
      <c r="C6" s="1860">
        <v>0.1</v>
      </c>
      <c r="D6" s="1860">
        <v>9.0999999999999998E-2</v>
      </c>
      <c r="E6" s="1860">
        <v>9.0999999999999998E-2</v>
      </c>
      <c r="F6" s="1861">
        <v>0.1</v>
      </c>
    </row>
    <row r="7" spans="1:6" ht="15" thickBot="1">
      <c r="A7" s="1855" t="s">
        <v>1096</v>
      </c>
      <c r="B7" s="1862" t="s">
        <v>1084</v>
      </c>
      <c r="C7" s="1860">
        <v>8.5999999999999993E-2</v>
      </c>
      <c r="D7" s="1860">
        <v>9.6000000000000002E-2</v>
      </c>
      <c r="E7" s="1860">
        <v>7.5999999999999998E-2</v>
      </c>
      <c r="F7" s="1861">
        <v>0.1</v>
      </c>
    </row>
    <row r="8" spans="1:6" ht="15" thickBot="1">
      <c r="A8" s="1855" t="s">
        <v>1096</v>
      </c>
      <c r="B8" s="1859" t="s">
        <v>1097</v>
      </c>
      <c r="C8" s="1860">
        <v>9.9000000000000005E-2</v>
      </c>
      <c r="D8" s="1860">
        <v>9.8000000000000004E-2</v>
      </c>
      <c r="E8" s="1860">
        <v>9.8000000000000004E-2</v>
      </c>
      <c r="F8" s="1861">
        <v>0.1</v>
      </c>
    </row>
    <row r="9" spans="1:6" ht="15" thickBot="1">
      <c r="A9" s="1863" t="s">
        <v>1096</v>
      </c>
      <c r="B9" s="1864" t="s">
        <v>1111</v>
      </c>
      <c r="C9" s="1865">
        <v>0.05</v>
      </c>
      <c r="D9" s="1866"/>
      <c r="E9" s="1866"/>
      <c r="F9" s="1867"/>
    </row>
    <row r="10" spans="1:6" ht="15" thickBot="1">
      <c r="A10" s="1855" t="s">
        <v>1155</v>
      </c>
      <c r="B10" s="1856" t="s">
        <v>2090</v>
      </c>
      <c r="C10" s="1857">
        <v>8.8999999999999996E-2</v>
      </c>
      <c r="D10" s="1857">
        <v>7.2999999999999995E-2</v>
      </c>
      <c r="E10" s="1857">
        <v>8.2000000000000003E-2</v>
      </c>
      <c r="F10" s="1858">
        <v>0.1</v>
      </c>
    </row>
    <row r="11" spans="1:6" ht="15" thickBot="1">
      <c r="A11" s="1855" t="s">
        <v>1155</v>
      </c>
      <c r="B11" s="1862" t="s">
        <v>1071</v>
      </c>
      <c r="C11" s="1860">
        <v>8.8999999999999996E-2</v>
      </c>
      <c r="D11" s="1860">
        <v>7.2999999999999995E-2</v>
      </c>
      <c r="E11" s="1860">
        <v>8.2000000000000003E-2</v>
      </c>
      <c r="F11" s="1861">
        <v>0.1</v>
      </c>
    </row>
    <row r="12" spans="1:6" ht="15" thickBot="1">
      <c r="A12" s="1855" t="s">
        <v>1155</v>
      </c>
      <c r="B12" s="1862" t="s">
        <v>1085</v>
      </c>
      <c r="C12" s="1860">
        <v>6.0999999999999999E-2</v>
      </c>
      <c r="D12" s="1860">
        <v>7.0999999999999994E-2</v>
      </c>
      <c r="E12" s="1860">
        <v>9.6000000000000002E-2</v>
      </c>
      <c r="F12" s="1861">
        <v>0.1</v>
      </c>
    </row>
    <row r="13" spans="1:6" ht="15" thickBot="1">
      <c r="A13" s="1855" t="s">
        <v>1155</v>
      </c>
      <c r="B13" s="1862" t="s">
        <v>1098</v>
      </c>
      <c r="C13" s="1860">
        <v>6.9000000000000006E-2</v>
      </c>
      <c r="D13" s="1860">
        <v>6.5000000000000002E-2</v>
      </c>
      <c r="E13" s="1860">
        <v>6.6000000000000003E-2</v>
      </c>
      <c r="F13" s="1861">
        <v>0.1</v>
      </c>
    </row>
    <row r="14" spans="1:6" ht="15" thickBot="1">
      <c r="A14" s="1855" t="s">
        <v>1155</v>
      </c>
      <c r="B14" s="1862" t="s">
        <v>1112</v>
      </c>
      <c r="C14" s="1860">
        <v>0.1</v>
      </c>
      <c r="D14" s="1860">
        <v>6.5000000000000002E-2</v>
      </c>
      <c r="E14" s="1860">
        <v>7.0000000000000007E-2</v>
      </c>
      <c r="F14" s="1861">
        <v>0.1</v>
      </c>
    </row>
    <row r="15" spans="1:6" ht="15" thickBot="1">
      <c r="A15" s="1855" t="s">
        <v>1155</v>
      </c>
      <c r="B15" s="1862" t="s">
        <v>1123</v>
      </c>
      <c r="C15" s="1860">
        <v>9.8000000000000004E-2</v>
      </c>
      <c r="D15" s="1860">
        <v>8.8999999999999996E-2</v>
      </c>
      <c r="E15" s="1860">
        <v>8.8999999999999996E-2</v>
      </c>
      <c r="F15" s="1861">
        <v>0.1</v>
      </c>
    </row>
    <row r="16" spans="1:6" ht="15" thickBot="1">
      <c r="A16" s="1855" t="s">
        <v>1155</v>
      </c>
      <c r="B16" s="1862" t="s">
        <v>1134</v>
      </c>
      <c r="C16" s="1860">
        <v>7.0000000000000007E-2</v>
      </c>
      <c r="D16" s="1860">
        <v>9.2999999999999999E-2</v>
      </c>
      <c r="E16" s="1860">
        <v>9.6000000000000002E-2</v>
      </c>
      <c r="F16" s="1861">
        <v>0.1</v>
      </c>
    </row>
    <row r="17" spans="1:6" ht="15" thickBot="1">
      <c r="A17" s="1855" t="s">
        <v>1155</v>
      </c>
      <c r="B17" s="1862" t="s">
        <v>1145</v>
      </c>
      <c r="C17" s="1860">
        <v>9.5000000000000001E-2</v>
      </c>
      <c r="D17" s="1860">
        <v>0.1</v>
      </c>
      <c r="E17" s="1860">
        <v>0.1</v>
      </c>
      <c r="F17" s="1868"/>
    </row>
    <row r="18" spans="1:6" ht="15" thickBot="1">
      <c r="A18" s="1855" t="s">
        <v>1155</v>
      </c>
      <c r="B18" s="1862" t="s">
        <v>1157</v>
      </c>
      <c r="C18" s="1860">
        <v>7.3999999999999996E-2</v>
      </c>
      <c r="D18" s="1860">
        <v>9.9000000000000005E-2</v>
      </c>
      <c r="E18" s="1860">
        <v>0.1</v>
      </c>
      <c r="F18" s="1868"/>
    </row>
    <row r="19" spans="1:6" ht="15" thickBot="1">
      <c r="A19" s="1855" t="s">
        <v>1155</v>
      </c>
      <c r="B19" s="1862" t="s">
        <v>1167</v>
      </c>
      <c r="C19" s="1860">
        <v>9.9000000000000005E-2</v>
      </c>
      <c r="D19" s="1860">
        <v>7.5999999999999998E-2</v>
      </c>
      <c r="E19" s="1860">
        <v>8.6999999999999994E-2</v>
      </c>
      <c r="F19" s="1868"/>
    </row>
    <row r="20" spans="1:6" ht="15" thickBot="1">
      <c r="A20" s="1855" t="s">
        <v>1155</v>
      </c>
      <c r="B20" s="1862" t="s">
        <v>1177</v>
      </c>
      <c r="C20" s="1860">
        <v>9.8000000000000004E-2</v>
      </c>
      <c r="D20" s="1860">
        <v>8.5000000000000006E-2</v>
      </c>
      <c r="E20" s="1860">
        <v>8.2000000000000003E-2</v>
      </c>
      <c r="F20" s="1868"/>
    </row>
    <row r="21" spans="1:6" ht="15" thickBot="1">
      <c r="A21" s="1855" t="s">
        <v>1155</v>
      </c>
      <c r="B21" s="1862" t="s">
        <v>1187</v>
      </c>
      <c r="C21" s="1860">
        <v>6.6000000000000003E-2</v>
      </c>
      <c r="D21" s="1860">
        <v>6.4000000000000001E-2</v>
      </c>
      <c r="E21" s="1860">
        <v>6.5000000000000002E-2</v>
      </c>
      <c r="F21" s="1868"/>
    </row>
    <row r="22" spans="1:6" ht="15" thickBot="1">
      <c r="A22" s="1855" t="s">
        <v>1155</v>
      </c>
      <c r="B22" s="1862" t="s">
        <v>2091</v>
      </c>
      <c r="C22" s="1860">
        <v>0.08</v>
      </c>
      <c r="D22" s="1860">
        <v>9.8000000000000004E-2</v>
      </c>
      <c r="E22" s="1860">
        <v>9.8000000000000004E-2</v>
      </c>
      <c r="F22" s="1868"/>
    </row>
    <row r="23" spans="1:6" ht="15" thickBot="1">
      <c r="A23" s="1855" t="s">
        <v>1155</v>
      </c>
      <c r="B23" s="1862" t="s">
        <v>1207</v>
      </c>
      <c r="C23" s="1860">
        <v>9.9000000000000005E-2</v>
      </c>
      <c r="D23" s="1860">
        <v>9.8000000000000004E-2</v>
      </c>
      <c r="E23" s="1860">
        <v>9.0999999999999998E-2</v>
      </c>
      <c r="F23" s="1868"/>
    </row>
    <row r="24" spans="1:6" ht="15" thickBot="1">
      <c r="A24" s="1855" t="s">
        <v>1155</v>
      </c>
      <c r="B24" s="1862" t="s">
        <v>1217</v>
      </c>
      <c r="C24" s="1860">
        <v>8.8999999999999996E-2</v>
      </c>
      <c r="D24" s="1860">
        <v>9.7000000000000003E-2</v>
      </c>
      <c r="E24" s="1860">
        <v>7.0000000000000007E-2</v>
      </c>
      <c r="F24" s="1868"/>
    </row>
    <row r="25" spans="1:6" ht="15" thickBot="1">
      <c r="A25" s="1855" t="s">
        <v>1155</v>
      </c>
      <c r="B25" s="1862" t="s">
        <v>1227</v>
      </c>
      <c r="C25" s="1860">
        <v>8.8999999999999996E-2</v>
      </c>
      <c r="D25" s="1860">
        <v>0.1</v>
      </c>
      <c r="E25" s="1860">
        <v>8.1000000000000003E-2</v>
      </c>
      <c r="F25" s="1868"/>
    </row>
    <row r="26" spans="1:6" ht="15" thickBot="1">
      <c r="A26" s="1855" t="s">
        <v>1155</v>
      </c>
      <c r="B26" s="1862" t="s">
        <v>1237</v>
      </c>
      <c r="C26" s="1869"/>
      <c r="D26" s="1860">
        <v>9.6000000000000002E-2</v>
      </c>
      <c r="E26" s="1860">
        <v>9.2999999999999999E-2</v>
      </c>
      <c r="F26" s="1868"/>
    </row>
    <row r="27" spans="1:6" ht="15" thickBot="1">
      <c r="A27" s="1855" t="s">
        <v>1155</v>
      </c>
      <c r="B27" s="1862" t="s">
        <v>1247</v>
      </c>
      <c r="C27" s="1869"/>
      <c r="D27" s="1860">
        <v>7.5999999999999998E-2</v>
      </c>
      <c r="E27" s="1860">
        <v>9.1999999999999998E-2</v>
      </c>
      <c r="F27" s="1868"/>
    </row>
    <row r="28" spans="1:6" ht="15" thickBot="1">
      <c r="A28" s="1863" t="s">
        <v>1155</v>
      </c>
      <c r="B28" s="1864" t="s">
        <v>1257</v>
      </c>
      <c r="C28" s="1866"/>
      <c r="D28" s="1865">
        <v>7.5999999999999998E-2</v>
      </c>
      <c r="E28" s="1865">
        <v>9.1999999999999998E-2</v>
      </c>
      <c r="F28" s="1867"/>
    </row>
    <row r="29" spans="1:6" ht="15" thickBot="1">
      <c r="A29" s="1855" t="s">
        <v>1326</v>
      </c>
      <c r="B29" s="1856" t="s">
        <v>2092</v>
      </c>
      <c r="C29" s="1857">
        <v>6.4000000000000001E-2</v>
      </c>
      <c r="D29" s="1857">
        <v>6.5000000000000002E-2</v>
      </c>
      <c r="E29" s="1857">
        <v>6.9000000000000006E-2</v>
      </c>
      <c r="F29" s="1858">
        <v>0.1</v>
      </c>
    </row>
    <row r="30" spans="1:6" ht="15" thickBot="1">
      <c r="A30" s="1855" t="s">
        <v>1326</v>
      </c>
      <c r="B30" s="1862" t="s">
        <v>1072</v>
      </c>
      <c r="C30" s="1860">
        <v>6.4000000000000001E-2</v>
      </c>
      <c r="D30" s="1860">
        <v>9.9000000000000005E-2</v>
      </c>
      <c r="E30" s="1860">
        <v>0.1</v>
      </c>
      <c r="F30" s="1861">
        <v>0.1</v>
      </c>
    </row>
    <row r="31" spans="1:6" ht="15" thickBot="1">
      <c r="A31" s="1855" t="s">
        <v>1326</v>
      </c>
      <c r="B31" s="1862" t="s">
        <v>1086</v>
      </c>
      <c r="C31" s="1860">
        <v>0.1</v>
      </c>
      <c r="D31" s="1860">
        <v>9.5000000000000001E-2</v>
      </c>
      <c r="E31" s="1860">
        <v>8.8999999999999996E-2</v>
      </c>
      <c r="F31" s="1861">
        <v>0.1</v>
      </c>
    </row>
    <row r="32" spans="1:6" ht="15" thickBot="1">
      <c r="A32" s="1855" t="s">
        <v>1326</v>
      </c>
      <c r="B32" s="1862" t="s">
        <v>1099</v>
      </c>
      <c r="C32" s="1860">
        <v>0.05</v>
      </c>
      <c r="D32" s="1860">
        <v>0.05</v>
      </c>
      <c r="E32" s="1860">
        <v>8.7999999999999995E-2</v>
      </c>
      <c r="F32" s="1861">
        <v>0.1</v>
      </c>
    </row>
    <row r="33" spans="1:6" ht="15" thickBot="1">
      <c r="A33" s="1855" t="s">
        <v>1326</v>
      </c>
      <c r="B33" s="1862" t="s">
        <v>1113</v>
      </c>
      <c r="C33" s="1860">
        <v>7.4999999999999997E-2</v>
      </c>
      <c r="D33" s="1860">
        <v>9.4E-2</v>
      </c>
      <c r="E33" s="1860">
        <v>9.7000000000000003E-2</v>
      </c>
      <c r="F33" s="1861">
        <v>0.1</v>
      </c>
    </row>
    <row r="34" spans="1:6" ht="15" thickBot="1">
      <c r="A34" s="1855" t="s">
        <v>1326</v>
      </c>
      <c r="B34" s="1862" t="s">
        <v>1124</v>
      </c>
      <c r="C34" s="1860">
        <v>9.8000000000000004E-2</v>
      </c>
      <c r="D34" s="1860">
        <v>8.5999999999999993E-2</v>
      </c>
      <c r="E34" s="1860">
        <v>9.7000000000000003E-2</v>
      </c>
      <c r="F34" s="1861">
        <v>0.1</v>
      </c>
    </row>
    <row r="35" spans="1:6" ht="15" thickBot="1">
      <c r="A35" s="1855" t="s">
        <v>1326</v>
      </c>
      <c r="B35" s="1862" t="s">
        <v>1135</v>
      </c>
      <c r="C35" s="1860">
        <v>5.8999999999999997E-2</v>
      </c>
      <c r="D35" s="1860">
        <v>6.5000000000000002E-2</v>
      </c>
      <c r="E35" s="1860">
        <v>7.0000000000000007E-2</v>
      </c>
      <c r="F35" s="1861">
        <v>0.1</v>
      </c>
    </row>
    <row r="36" spans="1:6" ht="15" thickBot="1">
      <c r="A36" s="1855" t="s">
        <v>1326</v>
      </c>
      <c r="B36" s="1862" t="s">
        <v>1146</v>
      </c>
      <c r="C36" s="1860">
        <v>6.3E-2</v>
      </c>
      <c r="D36" s="1860">
        <v>0.1</v>
      </c>
      <c r="E36" s="1860">
        <v>0.1</v>
      </c>
      <c r="F36" s="1861">
        <v>0.1</v>
      </c>
    </row>
    <row r="37" spans="1:6" ht="15" thickBot="1">
      <c r="A37" s="1855" t="s">
        <v>1326</v>
      </c>
      <c r="B37" s="1862" t="s">
        <v>1158</v>
      </c>
      <c r="C37" s="1860">
        <v>7.3999999999999996E-2</v>
      </c>
      <c r="D37" s="1860">
        <v>0.1</v>
      </c>
      <c r="E37" s="1860">
        <v>0.1</v>
      </c>
      <c r="F37" s="1861">
        <v>0.1</v>
      </c>
    </row>
    <row r="38" spans="1:6" ht="15" thickBot="1">
      <c r="A38" s="1855" t="s">
        <v>1326</v>
      </c>
      <c r="B38" s="1862" t="s">
        <v>1168</v>
      </c>
      <c r="C38" s="1860">
        <v>0.1</v>
      </c>
      <c r="D38" s="1860">
        <v>9.6000000000000002E-2</v>
      </c>
      <c r="E38" s="1860">
        <v>9.6000000000000002E-2</v>
      </c>
      <c r="F38" s="1868"/>
    </row>
    <row r="39" spans="1:6" ht="15" thickBot="1">
      <c r="A39" s="1855" t="s">
        <v>1326</v>
      </c>
      <c r="B39" s="1862" t="s">
        <v>1178</v>
      </c>
      <c r="C39" s="1860">
        <v>0.1</v>
      </c>
      <c r="D39" s="1860">
        <v>9.6000000000000002E-2</v>
      </c>
      <c r="E39" s="1860">
        <v>9.6000000000000002E-2</v>
      </c>
      <c r="F39" s="1868"/>
    </row>
    <row r="40" spans="1:6" ht="15" thickBot="1">
      <c r="A40" s="1855" t="s">
        <v>1326</v>
      </c>
      <c r="B40" s="1862" t="s">
        <v>1188</v>
      </c>
      <c r="C40" s="1860">
        <v>9.6000000000000002E-2</v>
      </c>
      <c r="D40" s="1860">
        <v>0.1</v>
      </c>
      <c r="E40" s="1860">
        <v>9.9000000000000005E-2</v>
      </c>
      <c r="F40" s="1868"/>
    </row>
    <row r="41" spans="1:6" ht="15" thickBot="1">
      <c r="A41" s="1855" t="s">
        <v>1326</v>
      </c>
      <c r="B41" s="1862" t="s">
        <v>1198</v>
      </c>
      <c r="C41" s="1860">
        <v>9.6000000000000002E-2</v>
      </c>
      <c r="D41" s="1860">
        <v>9.8000000000000004E-2</v>
      </c>
      <c r="E41" s="1860">
        <v>9.8000000000000004E-2</v>
      </c>
      <c r="F41" s="1868"/>
    </row>
    <row r="42" spans="1:6" ht="15" thickBot="1">
      <c r="A42" s="1855" t="s">
        <v>1326</v>
      </c>
      <c r="B42" s="1862" t="s">
        <v>1208</v>
      </c>
      <c r="C42" s="1860">
        <v>0.1</v>
      </c>
      <c r="D42" s="1860">
        <v>8.7999999999999995E-2</v>
      </c>
      <c r="E42" s="1860">
        <v>0.1</v>
      </c>
      <c r="F42" s="1868"/>
    </row>
    <row r="43" spans="1:6" ht="15" thickBot="1">
      <c r="A43" s="1855" t="s">
        <v>1326</v>
      </c>
      <c r="B43" s="1862" t="s">
        <v>1218</v>
      </c>
      <c r="C43" s="1860">
        <v>9.8000000000000004E-2</v>
      </c>
      <c r="D43" s="1860">
        <v>9.7000000000000003E-2</v>
      </c>
      <c r="E43" s="1860">
        <v>9.6000000000000002E-2</v>
      </c>
      <c r="F43" s="1868"/>
    </row>
    <row r="44" spans="1:6" ht="15" thickBot="1">
      <c r="A44" s="1855" t="s">
        <v>1326</v>
      </c>
      <c r="B44" s="1862" t="s">
        <v>1228</v>
      </c>
      <c r="C44" s="1860">
        <v>8.5999999999999993E-2</v>
      </c>
      <c r="D44" s="1860">
        <v>7.9000000000000001E-2</v>
      </c>
      <c r="E44" s="1860">
        <v>7.0999999999999994E-2</v>
      </c>
      <c r="F44" s="1868"/>
    </row>
    <row r="45" spans="1:6" ht="15" thickBot="1">
      <c r="A45" s="1855" t="s">
        <v>1326</v>
      </c>
      <c r="B45" s="1862" t="s">
        <v>1238</v>
      </c>
      <c r="C45" s="1860">
        <v>9.8000000000000004E-2</v>
      </c>
      <c r="D45" s="1860">
        <v>9.6000000000000002E-2</v>
      </c>
      <c r="E45" s="1860">
        <v>9.6000000000000002E-2</v>
      </c>
      <c r="F45" s="1868"/>
    </row>
    <row r="46" spans="1:6" ht="15" thickBot="1">
      <c r="A46" s="1855" t="s">
        <v>1326</v>
      </c>
      <c r="B46" s="1862" t="s">
        <v>1248</v>
      </c>
      <c r="C46" s="1860">
        <v>8.5999999999999993E-2</v>
      </c>
      <c r="D46" s="1860">
        <v>9.8000000000000004E-2</v>
      </c>
      <c r="E46" s="1860">
        <v>8.7999999999999995E-2</v>
      </c>
      <c r="F46" s="1868"/>
    </row>
    <row r="47" spans="1:6" ht="15" thickBot="1">
      <c r="A47" s="1855" t="s">
        <v>1326</v>
      </c>
      <c r="B47" s="1862" t="s">
        <v>1258</v>
      </c>
      <c r="C47" s="1860">
        <v>9.6000000000000002E-2</v>
      </c>
      <c r="D47" s="1869"/>
      <c r="E47" s="1860">
        <v>6.9000000000000006E-2</v>
      </c>
      <c r="F47" s="1868"/>
    </row>
    <row r="48" spans="1:6" ht="15" thickBot="1">
      <c r="A48" s="1863" t="s">
        <v>1326</v>
      </c>
      <c r="B48" s="1864" t="s">
        <v>1267</v>
      </c>
      <c r="C48" s="1865">
        <v>9.8000000000000004E-2</v>
      </c>
      <c r="D48" s="1866"/>
      <c r="E48" s="1865">
        <v>9.5000000000000001E-2</v>
      </c>
      <c r="F48" s="1867"/>
    </row>
    <row r="49" spans="1:6" ht="15" thickBot="1">
      <c r="A49" s="1855" t="s">
        <v>924</v>
      </c>
      <c r="B49" s="1856" t="s">
        <v>2093</v>
      </c>
      <c r="C49" s="1857">
        <v>9.7000000000000003E-2</v>
      </c>
      <c r="D49" s="1857">
        <v>9.5000000000000001E-2</v>
      </c>
      <c r="E49" s="1857">
        <v>9.7000000000000003E-2</v>
      </c>
      <c r="F49" s="1858">
        <v>0.1</v>
      </c>
    </row>
    <row r="50" spans="1:6" ht="15" thickBot="1">
      <c r="A50" s="1855" t="s">
        <v>924</v>
      </c>
      <c r="B50" s="1859" t="s">
        <v>1073</v>
      </c>
      <c r="C50" s="1860">
        <v>7.4999999999999997E-2</v>
      </c>
      <c r="D50" s="1860">
        <v>9.5000000000000001E-2</v>
      </c>
      <c r="E50" s="1860">
        <v>0.1</v>
      </c>
      <c r="F50" s="1861">
        <v>0.1</v>
      </c>
    </row>
    <row r="51" spans="1:6" ht="15" thickBot="1">
      <c r="A51" s="1855" t="s">
        <v>924</v>
      </c>
      <c r="B51" s="1859" t="s">
        <v>1087</v>
      </c>
      <c r="C51" s="1860">
        <v>9.8000000000000004E-2</v>
      </c>
      <c r="D51" s="1860">
        <v>8.8999999999999996E-2</v>
      </c>
      <c r="E51" s="1860">
        <v>0.1</v>
      </c>
      <c r="F51" s="1861">
        <v>0.1</v>
      </c>
    </row>
    <row r="52" spans="1:6" ht="15" thickBot="1">
      <c r="A52" s="1855" t="s">
        <v>924</v>
      </c>
      <c r="B52" s="1859" t="s">
        <v>1100</v>
      </c>
      <c r="C52" s="1860">
        <v>9.8000000000000004E-2</v>
      </c>
      <c r="D52" s="1860">
        <v>9.7000000000000003E-2</v>
      </c>
      <c r="E52" s="1860">
        <v>8.1000000000000003E-2</v>
      </c>
      <c r="F52" s="1861">
        <v>0.1</v>
      </c>
    </row>
    <row r="53" spans="1:6" ht="15" thickBot="1">
      <c r="A53" s="1855" t="s">
        <v>924</v>
      </c>
      <c r="B53" s="1859" t="s">
        <v>1114</v>
      </c>
      <c r="C53" s="1860">
        <v>9.7000000000000003E-2</v>
      </c>
      <c r="D53" s="1860">
        <v>7.5999999999999998E-2</v>
      </c>
      <c r="E53" s="1860">
        <v>7.0999999999999994E-2</v>
      </c>
      <c r="F53" s="1861">
        <v>0.1</v>
      </c>
    </row>
    <row r="54" spans="1:6" ht="15" thickBot="1">
      <c r="A54" s="1855" t="s">
        <v>924</v>
      </c>
      <c r="B54" s="1859" t="s">
        <v>1125</v>
      </c>
      <c r="C54" s="1860">
        <v>7.5999999999999998E-2</v>
      </c>
      <c r="D54" s="1860">
        <v>0.1</v>
      </c>
      <c r="E54" s="1860">
        <v>9.9000000000000005E-2</v>
      </c>
      <c r="F54" s="1861">
        <v>0.1</v>
      </c>
    </row>
    <row r="55" spans="1:6" ht="15" thickBot="1">
      <c r="A55" s="1855" t="s">
        <v>924</v>
      </c>
      <c r="B55" s="1859" t="s">
        <v>1136</v>
      </c>
      <c r="C55" s="1860">
        <v>0.1</v>
      </c>
      <c r="D55" s="1860">
        <v>0.1</v>
      </c>
      <c r="E55" s="1860">
        <v>9.6000000000000002E-2</v>
      </c>
      <c r="F55" s="1861">
        <v>0.1</v>
      </c>
    </row>
    <row r="56" spans="1:6" ht="15" thickBot="1">
      <c r="A56" s="1855" t="s">
        <v>924</v>
      </c>
      <c r="B56" s="1859" t="s">
        <v>1147</v>
      </c>
      <c r="C56" s="1860">
        <v>0.1</v>
      </c>
      <c r="D56" s="1860">
        <v>9.6000000000000002E-2</v>
      </c>
      <c r="E56" s="1860">
        <v>5.1999999999999998E-2</v>
      </c>
      <c r="F56" s="1861">
        <v>0.1</v>
      </c>
    </row>
    <row r="57" spans="1:6" ht="15" thickBot="1">
      <c r="A57" s="1855" t="s">
        <v>924</v>
      </c>
      <c r="B57" s="1859" t="s">
        <v>1159</v>
      </c>
      <c r="C57" s="1860">
        <v>9.7000000000000003E-2</v>
      </c>
      <c r="D57" s="1860">
        <v>9.6000000000000002E-2</v>
      </c>
      <c r="E57" s="1860">
        <v>9.6000000000000002E-2</v>
      </c>
      <c r="F57" s="1861">
        <v>0.1</v>
      </c>
    </row>
    <row r="58" spans="1:6" ht="15" thickBot="1">
      <c r="A58" s="1855" t="s">
        <v>924</v>
      </c>
      <c r="B58" s="1859" t="s">
        <v>1169</v>
      </c>
      <c r="C58" s="1860">
        <v>9.6000000000000002E-2</v>
      </c>
      <c r="D58" s="1860">
        <v>9.9000000000000005E-2</v>
      </c>
      <c r="E58" s="1860">
        <v>9.6000000000000002E-2</v>
      </c>
      <c r="F58" s="1861">
        <v>0.1</v>
      </c>
    </row>
    <row r="59" spans="1:6" ht="15" thickBot="1">
      <c r="A59" s="1855" t="s">
        <v>924</v>
      </c>
      <c r="B59" s="1859" t="s">
        <v>1179</v>
      </c>
      <c r="C59" s="1860">
        <v>7.1999999999999995E-2</v>
      </c>
      <c r="D59" s="1860">
        <v>9.6000000000000002E-2</v>
      </c>
      <c r="E59" s="1860">
        <v>7.0999999999999994E-2</v>
      </c>
      <c r="F59" s="1861">
        <v>0.1</v>
      </c>
    </row>
    <row r="60" spans="1:6" ht="15" thickBot="1">
      <c r="A60" s="1855" t="s">
        <v>924</v>
      </c>
      <c r="B60" s="1859" t="s">
        <v>1189</v>
      </c>
      <c r="C60" s="1860">
        <v>9.6000000000000002E-2</v>
      </c>
      <c r="D60" s="1860">
        <v>8.8999999999999996E-2</v>
      </c>
      <c r="E60" s="1860">
        <v>9.6000000000000002E-2</v>
      </c>
      <c r="F60" s="1861">
        <v>0.1</v>
      </c>
    </row>
    <row r="61" spans="1:6" ht="15" thickBot="1">
      <c r="A61" s="1855" t="s">
        <v>924</v>
      </c>
      <c r="B61" s="1859" t="s">
        <v>1199</v>
      </c>
      <c r="C61" s="1860">
        <v>8.8999999999999996E-2</v>
      </c>
      <c r="D61" s="1860">
        <v>9.8000000000000004E-2</v>
      </c>
      <c r="E61" s="1860">
        <v>8.7999999999999995E-2</v>
      </c>
      <c r="F61" s="1868"/>
    </row>
    <row r="62" spans="1:6" ht="15" thickBot="1">
      <c r="A62" s="1855" t="s">
        <v>924</v>
      </c>
      <c r="B62" s="1859" t="s">
        <v>1209</v>
      </c>
      <c r="C62" s="1860">
        <v>9.8000000000000004E-2</v>
      </c>
      <c r="D62" s="1860">
        <v>9.2999999999999999E-2</v>
      </c>
      <c r="E62" s="1860">
        <v>9.7000000000000003E-2</v>
      </c>
      <c r="F62" s="1868"/>
    </row>
    <row r="63" spans="1:6" ht="15" thickBot="1">
      <c r="A63" s="1855" t="s">
        <v>924</v>
      </c>
      <c r="B63" s="1859" t="s">
        <v>1219</v>
      </c>
      <c r="C63" s="1860">
        <v>9.6000000000000002E-2</v>
      </c>
      <c r="D63" s="1860">
        <v>9.8000000000000004E-2</v>
      </c>
      <c r="E63" s="1860">
        <v>0.09</v>
      </c>
      <c r="F63" s="1868"/>
    </row>
    <row r="64" spans="1:6" ht="15" thickBot="1">
      <c r="A64" s="1855" t="s">
        <v>924</v>
      </c>
      <c r="B64" s="1859" t="s">
        <v>1229</v>
      </c>
      <c r="C64" s="1860">
        <v>9.9000000000000005E-2</v>
      </c>
      <c r="D64" s="1860">
        <v>9.7000000000000003E-2</v>
      </c>
      <c r="E64" s="1860">
        <v>9.9000000000000005E-2</v>
      </c>
      <c r="F64" s="1868"/>
    </row>
    <row r="65" spans="1:6" ht="15" thickBot="1">
      <c r="A65" s="1855" t="s">
        <v>924</v>
      </c>
      <c r="B65" s="1859" t="s">
        <v>1239</v>
      </c>
      <c r="C65" s="1860">
        <v>9.8000000000000004E-2</v>
      </c>
      <c r="D65" s="1860">
        <v>9.6000000000000002E-2</v>
      </c>
      <c r="E65" s="1860">
        <v>9.6000000000000002E-2</v>
      </c>
      <c r="F65" s="1868"/>
    </row>
    <row r="66" spans="1:6" ht="15" thickBot="1">
      <c r="A66" s="1855" t="s">
        <v>924</v>
      </c>
      <c r="B66" s="1859" t="s">
        <v>1249</v>
      </c>
      <c r="C66" s="1860">
        <v>9.6000000000000002E-2</v>
      </c>
      <c r="D66" s="1860">
        <v>9.1999999999999998E-2</v>
      </c>
      <c r="E66" s="1860">
        <v>9.6000000000000002E-2</v>
      </c>
      <c r="F66" s="1868"/>
    </row>
    <row r="67" spans="1:6" ht="15" thickBot="1">
      <c r="A67" s="1855" t="s">
        <v>924</v>
      </c>
      <c r="B67" s="1859" t="s">
        <v>1259</v>
      </c>
      <c r="C67" s="1860">
        <v>9.4E-2</v>
      </c>
      <c r="D67" s="1860">
        <v>0.1</v>
      </c>
      <c r="E67" s="1860">
        <v>8.7999999999999995E-2</v>
      </c>
      <c r="F67" s="1868"/>
    </row>
    <row r="68" spans="1:6" ht="15" thickBot="1">
      <c r="A68" s="1855" t="s">
        <v>924</v>
      </c>
      <c r="B68" s="1859" t="s">
        <v>1268</v>
      </c>
      <c r="C68" s="1860">
        <v>0.1</v>
      </c>
      <c r="D68" s="1860">
        <v>8.7999999999999995E-2</v>
      </c>
      <c r="E68" s="1860">
        <v>9.7000000000000003E-2</v>
      </c>
      <c r="F68" s="1868"/>
    </row>
    <row r="69" spans="1:6" ht="15" thickBot="1">
      <c r="A69" s="1855" t="s">
        <v>924</v>
      </c>
      <c r="B69" s="1859" t="s">
        <v>1277</v>
      </c>
      <c r="C69" s="1860">
        <v>6.4000000000000001E-2</v>
      </c>
      <c r="D69" s="1860">
        <v>0.1</v>
      </c>
      <c r="E69" s="1860">
        <v>0.1</v>
      </c>
      <c r="F69" s="1868"/>
    </row>
    <row r="70" spans="1:6" ht="15" thickBot="1">
      <c r="A70" s="1855" t="s">
        <v>924</v>
      </c>
      <c r="B70" s="1859" t="s">
        <v>1285</v>
      </c>
      <c r="C70" s="1860">
        <v>9.0999999999999998E-2</v>
      </c>
      <c r="D70" s="1869"/>
      <c r="E70" s="1869"/>
      <c r="F70" s="1868"/>
    </row>
    <row r="71" spans="1:6" ht="15" thickBot="1">
      <c r="A71" s="1855" t="s">
        <v>924</v>
      </c>
      <c r="B71" s="1859" t="s">
        <v>1292</v>
      </c>
      <c r="C71" s="1860">
        <v>0.1</v>
      </c>
      <c r="D71" s="1869"/>
      <c r="E71" s="1869"/>
      <c r="F71" s="1868"/>
    </row>
    <row r="72" spans="1:6" ht="24.6" thickBot="1">
      <c r="A72" s="1855" t="s">
        <v>924</v>
      </c>
      <c r="B72" s="1859" t="s">
        <v>2094</v>
      </c>
      <c r="C72" s="1869"/>
      <c r="D72" s="1869"/>
      <c r="E72" s="1869"/>
      <c r="F72" s="1861">
        <v>0.05</v>
      </c>
    </row>
    <row r="73" spans="1:6" ht="24.6" thickBot="1">
      <c r="A73" s="1855" t="s">
        <v>924</v>
      </c>
      <c r="B73" s="1859" t="s">
        <v>2095</v>
      </c>
      <c r="C73" s="1869"/>
      <c r="D73" s="1869"/>
      <c r="E73" s="1869"/>
      <c r="F73" s="1861">
        <v>0.05</v>
      </c>
    </row>
    <row r="74" spans="1:6" ht="24.6" thickBot="1">
      <c r="A74" s="1855" t="s">
        <v>924</v>
      </c>
      <c r="B74" s="1859" t="s">
        <v>2096</v>
      </c>
      <c r="C74" s="1869"/>
      <c r="D74" s="1869"/>
      <c r="E74" s="1869"/>
      <c r="F74" s="1861">
        <v>0.05</v>
      </c>
    </row>
    <row r="75" spans="1:6" ht="24.6" thickBot="1">
      <c r="A75" s="1863" t="s">
        <v>924</v>
      </c>
      <c r="B75" s="1870" t="s">
        <v>2097</v>
      </c>
      <c r="C75" s="1866"/>
      <c r="D75" s="1866"/>
      <c r="E75" s="1866"/>
      <c r="F75" s="1871">
        <v>0.05</v>
      </c>
    </row>
    <row r="76" spans="1:6" ht="15" thickBot="1">
      <c r="A76" s="1855" t="s">
        <v>1407</v>
      </c>
      <c r="B76" s="1856" t="s">
        <v>2098</v>
      </c>
      <c r="C76" s="1857">
        <v>0.1</v>
      </c>
      <c r="D76" s="1857">
        <v>0.1</v>
      </c>
      <c r="E76" s="1857">
        <v>0.1</v>
      </c>
      <c r="F76" s="1858">
        <v>0.1</v>
      </c>
    </row>
    <row r="77" spans="1:6" ht="15" thickBot="1">
      <c r="A77" s="1855" t="s">
        <v>1407</v>
      </c>
      <c r="B77" s="1859" t="s">
        <v>1074</v>
      </c>
      <c r="C77" s="1860">
        <v>8.7999999999999995E-2</v>
      </c>
      <c r="D77" s="1860">
        <v>8.6999999999999994E-2</v>
      </c>
      <c r="E77" s="1860">
        <v>7.9000000000000001E-2</v>
      </c>
      <c r="F77" s="1861">
        <v>0.1</v>
      </c>
    </row>
    <row r="78" spans="1:6" ht="15" thickBot="1">
      <c r="A78" s="1855" t="s">
        <v>1407</v>
      </c>
      <c r="B78" s="1859" t="s">
        <v>1088</v>
      </c>
      <c r="C78" s="1860">
        <v>8.6999999999999994E-2</v>
      </c>
      <c r="D78" s="1860">
        <v>8.4000000000000005E-2</v>
      </c>
      <c r="E78" s="1860">
        <v>9.6000000000000002E-2</v>
      </c>
      <c r="F78" s="1861">
        <v>0.1</v>
      </c>
    </row>
    <row r="79" spans="1:6" ht="15" thickBot="1">
      <c r="A79" s="1855" t="s">
        <v>1407</v>
      </c>
      <c r="B79" s="1859" t="s">
        <v>1101</v>
      </c>
      <c r="C79" s="1860">
        <v>9.8000000000000004E-2</v>
      </c>
      <c r="D79" s="1860">
        <v>9.8000000000000004E-2</v>
      </c>
      <c r="E79" s="1860">
        <v>9.0999999999999998E-2</v>
      </c>
      <c r="F79" s="1861">
        <v>0.1</v>
      </c>
    </row>
    <row r="80" spans="1:6" ht="15" thickBot="1">
      <c r="A80" s="1855" t="s">
        <v>1407</v>
      </c>
      <c r="B80" s="1859" t="s">
        <v>1115</v>
      </c>
      <c r="C80" s="1860">
        <v>9.6000000000000002E-2</v>
      </c>
      <c r="D80" s="1860">
        <v>9.6000000000000002E-2</v>
      </c>
      <c r="E80" s="1860">
        <v>0.1</v>
      </c>
      <c r="F80" s="1861">
        <v>0.1</v>
      </c>
    </row>
    <row r="81" spans="1:6" ht="15" thickBot="1">
      <c r="A81" s="1855" t="s">
        <v>1407</v>
      </c>
      <c r="B81" s="1859" t="s">
        <v>1126</v>
      </c>
      <c r="C81" s="1860">
        <v>9.9000000000000005E-2</v>
      </c>
      <c r="D81" s="1860">
        <v>9.9000000000000005E-2</v>
      </c>
      <c r="E81" s="1860">
        <v>9.8000000000000004E-2</v>
      </c>
      <c r="F81" s="1861">
        <v>0.1</v>
      </c>
    </row>
    <row r="82" spans="1:6" ht="15" thickBot="1">
      <c r="A82" s="1855" t="s">
        <v>1407</v>
      </c>
      <c r="B82" s="1859" t="s">
        <v>1137</v>
      </c>
      <c r="C82" s="1860">
        <v>9.9000000000000005E-2</v>
      </c>
      <c r="D82" s="1860">
        <v>9.9000000000000005E-2</v>
      </c>
      <c r="E82" s="1860">
        <v>9.7000000000000003E-2</v>
      </c>
      <c r="F82" s="1861">
        <v>0.1</v>
      </c>
    </row>
    <row r="83" spans="1:6" ht="15" thickBot="1">
      <c r="A83" s="1855" t="s">
        <v>1407</v>
      </c>
      <c r="B83" s="1859" t="s">
        <v>1148</v>
      </c>
      <c r="C83" s="1860">
        <v>9.8000000000000004E-2</v>
      </c>
      <c r="D83" s="1860">
        <v>9.8000000000000004E-2</v>
      </c>
      <c r="E83" s="1860">
        <v>9.8000000000000004E-2</v>
      </c>
      <c r="F83" s="1861">
        <v>0.1</v>
      </c>
    </row>
    <row r="84" spans="1:6" ht="15" thickBot="1">
      <c r="A84" s="1855" t="s">
        <v>1407</v>
      </c>
      <c r="B84" s="1859" t="s">
        <v>1160</v>
      </c>
      <c r="C84" s="1860">
        <v>9.9000000000000005E-2</v>
      </c>
      <c r="D84" s="1860">
        <v>9.9000000000000005E-2</v>
      </c>
      <c r="E84" s="1860">
        <v>9.9000000000000005E-2</v>
      </c>
      <c r="F84" s="1861">
        <v>0.1</v>
      </c>
    </row>
    <row r="85" spans="1:6" ht="15" thickBot="1">
      <c r="A85" s="1855" t="s">
        <v>1407</v>
      </c>
      <c r="B85" s="1859" t="s">
        <v>1170</v>
      </c>
      <c r="C85" s="1860">
        <v>9.9000000000000005E-2</v>
      </c>
      <c r="D85" s="1860">
        <v>9.9000000000000005E-2</v>
      </c>
      <c r="E85" s="1860">
        <v>9.9000000000000005E-2</v>
      </c>
      <c r="F85" s="1861">
        <v>0.1</v>
      </c>
    </row>
    <row r="86" spans="1:6" ht="15" thickBot="1">
      <c r="A86" s="1855" t="s">
        <v>1407</v>
      </c>
      <c r="B86" s="1859" t="s">
        <v>1180</v>
      </c>
      <c r="C86" s="1860">
        <v>0.1</v>
      </c>
      <c r="D86" s="1860">
        <v>0.1</v>
      </c>
      <c r="E86" s="1860">
        <v>7.6999999999999999E-2</v>
      </c>
      <c r="F86" s="1861">
        <v>0.1</v>
      </c>
    </row>
    <row r="87" spans="1:6" ht="15" thickBot="1">
      <c r="A87" s="1855" t="s">
        <v>1407</v>
      </c>
      <c r="B87" s="1859" t="s">
        <v>1190</v>
      </c>
      <c r="C87" s="1860">
        <v>0.1</v>
      </c>
      <c r="D87" s="1860">
        <v>0.1</v>
      </c>
      <c r="E87" s="1860">
        <v>9.8000000000000004E-2</v>
      </c>
      <c r="F87" s="1868"/>
    </row>
    <row r="88" spans="1:6" ht="15" thickBot="1">
      <c r="A88" s="1855" t="s">
        <v>1407</v>
      </c>
      <c r="B88" s="1859" t="s">
        <v>1200</v>
      </c>
      <c r="C88" s="1860">
        <v>9.1999999999999998E-2</v>
      </c>
      <c r="D88" s="1860">
        <v>8.5000000000000006E-2</v>
      </c>
      <c r="E88" s="1860">
        <v>9.6000000000000002E-2</v>
      </c>
      <c r="F88" s="1868"/>
    </row>
    <row r="89" spans="1:6" ht="15" thickBot="1">
      <c r="A89" s="1855" t="s">
        <v>1407</v>
      </c>
      <c r="B89" s="1859" t="s">
        <v>1210</v>
      </c>
      <c r="C89" s="1860">
        <v>0.1</v>
      </c>
      <c r="D89" s="1860">
        <v>0.1</v>
      </c>
      <c r="E89" s="1860">
        <v>9.7000000000000003E-2</v>
      </c>
      <c r="F89" s="1868"/>
    </row>
    <row r="90" spans="1:6" ht="15" thickBot="1">
      <c r="A90" s="1855" t="s">
        <v>1407</v>
      </c>
      <c r="B90" s="1859" t="s">
        <v>1220</v>
      </c>
      <c r="C90" s="1860">
        <v>9.8000000000000004E-2</v>
      </c>
      <c r="D90" s="1860">
        <v>9.8000000000000004E-2</v>
      </c>
      <c r="E90" s="1860">
        <v>8.7999999999999995E-2</v>
      </c>
      <c r="F90" s="1868"/>
    </row>
    <row r="91" spans="1:6" ht="15" thickBot="1">
      <c r="A91" s="1855" t="s">
        <v>1407</v>
      </c>
      <c r="B91" s="1859" t="s">
        <v>1230</v>
      </c>
      <c r="C91" s="1860">
        <v>9.9000000000000005E-2</v>
      </c>
      <c r="D91" s="1860">
        <v>9.9000000000000005E-2</v>
      </c>
      <c r="E91" s="1860">
        <v>9.0999999999999998E-2</v>
      </c>
      <c r="F91" s="1868"/>
    </row>
    <row r="92" spans="1:6" ht="15" thickBot="1">
      <c r="A92" s="1855" t="s">
        <v>1407</v>
      </c>
      <c r="B92" s="1859" t="s">
        <v>1240</v>
      </c>
      <c r="C92" s="1860">
        <v>9.6000000000000002E-2</v>
      </c>
      <c r="D92" s="1860">
        <v>9.6000000000000002E-2</v>
      </c>
      <c r="E92" s="1860">
        <v>7.2999999999999995E-2</v>
      </c>
      <c r="F92" s="1868"/>
    </row>
    <row r="93" spans="1:6" ht="15" thickBot="1">
      <c r="A93" s="1855" t="s">
        <v>1407</v>
      </c>
      <c r="B93" s="1859" t="s">
        <v>1250</v>
      </c>
      <c r="C93" s="1860">
        <v>9.6000000000000002E-2</v>
      </c>
      <c r="D93" s="1860">
        <v>9.6000000000000002E-2</v>
      </c>
      <c r="E93" s="1860">
        <v>9.9000000000000005E-2</v>
      </c>
      <c r="F93" s="1868"/>
    </row>
    <row r="94" spans="1:6" ht="15" thickBot="1">
      <c r="A94" s="1855" t="s">
        <v>1407</v>
      </c>
      <c r="B94" s="1859" t="s">
        <v>1260</v>
      </c>
      <c r="C94" s="1860">
        <v>7.5999999999999998E-2</v>
      </c>
      <c r="D94" s="1860">
        <v>7.3999999999999996E-2</v>
      </c>
      <c r="E94" s="1860">
        <v>9.7000000000000003E-2</v>
      </c>
      <c r="F94" s="1868"/>
    </row>
    <row r="95" spans="1:6" ht="15" thickBot="1">
      <c r="A95" s="1855" t="s">
        <v>1407</v>
      </c>
      <c r="B95" s="1859" t="s">
        <v>1269</v>
      </c>
      <c r="C95" s="1860">
        <v>9.9000000000000005E-2</v>
      </c>
      <c r="D95" s="1860">
        <v>9.4E-2</v>
      </c>
      <c r="E95" s="1860">
        <v>9.6000000000000002E-2</v>
      </c>
      <c r="F95" s="1868"/>
    </row>
    <row r="96" spans="1:6" ht="15" thickBot="1">
      <c r="A96" s="1855" t="s">
        <v>1407</v>
      </c>
      <c r="B96" s="1859" t="s">
        <v>1278</v>
      </c>
      <c r="C96" s="1860">
        <v>9.9000000000000005E-2</v>
      </c>
      <c r="D96" s="1860">
        <v>9.9000000000000005E-2</v>
      </c>
      <c r="E96" s="1860">
        <v>9.9000000000000005E-2</v>
      </c>
      <c r="F96" s="1868"/>
    </row>
    <row r="97" spans="1:6" ht="15" thickBot="1">
      <c r="A97" s="1855" t="s">
        <v>1407</v>
      </c>
      <c r="B97" s="1859" t="s">
        <v>1286</v>
      </c>
      <c r="C97" s="1860">
        <v>9.8000000000000004E-2</v>
      </c>
      <c r="D97" s="1860">
        <v>9.8000000000000004E-2</v>
      </c>
      <c r="E97" s="1860">
        <v>9.7000000000000003E-2</v>
      </c>
      <c r="F97" s="1868"/>
    </row>
    <row r="98" spans="1:6" ht="15" thickBot="1">
      <c r="A98" s="1855" t="s">
        <v>1407</v>
      </c>
      <c r="B98" s="1859" t="s">
        <v>1293</v>
      </c>
      <c r="C98" s="1860">
        <v>0.1</v>
      </c>
      <c r="D98" s="1860">
        <v>0.1</v>
      </c>
      <c r="E98" s="1860">
        <v>9.7000000000000003E-2</v>
      </c>
      <c r="F98" s="1868"/>
    </row>
    <row r="99" spans="1:6" ht="15" thickBot="1">
      <c r="A99" s="1855" t="s">
        <v>1407</v>
      </c>
      <c r="B99" s="1859" t="s">
        <v>1300</v>
      </c>
      <c r="C99" s="1860">
        <v>0.1</v>
      </c>
      <c r="D99" s="1860">
        <v>0.1</v>
      </c>
      <c r="E99" s="1869"/>
      <c r="F99" s="1868"/>
    </row>
    <row r="100" spans="1:6" ht="15" thickBot="1">
      <c r="A100" s="1855" t="s">
        <v>1407</v>
      </c>
      <c r="B100" s="1859" t="s">
        <v>1307</v>
      </c>
      <c r="C100" s="1860">
        <v>0.09</v>
      </c>
      <c r="D100" s="1860">
        <v>8.8999999999999996E-2</v>
      </c>
      <c r="E100" s="1869"/>
      <c r="F100" s="1868"/>
    </row>
    <row r="101" spans="1:6" ht="15" thickBot="1">
      <c r="A101" s="1855" t="s">
        <v>1407</v>
      </c>
      <c r="B101" s="1859" t="s">
        <v>1314</v>
      </c>
      <c r="C101" s="1860">
        <v>9.8000000000000004E-2</v>
      </c>
      <c r="D101" s="1860">
        <v>9.7000000000000003E-2</v>
      </c>
      <c r="E101" s="1869"/>
      <c r="F101" s="1868"/>
    </row>
    <row r="102" spans="1:6" ht="24.6" thickBot="1">
      <c r="A102" s="1855" t="s">
        <v>1407</v>
      </c>
      <c r="B102" s="1859" t="s">
        <v>2099</v>
      </c>
      <c r="C102" s="1869"/>
      <c r="D102" s="1869"/>
      <c r="E102" s="1869"/>
      <c r="F102" s="1861">
        <v>0.05</v>
      </c>
    </row>
    <row r="103" spans="1:6" ht="24.6" thickBot="1">
      <c r="A103" s="1855" t="s">
        <v>1407</v>
      </c>
      <c r="B103" s="1859" t="s">
        <v>2100</v>
      </c>
      <c r="C103" s="1869"/>
      <c r="D103" s="1869"/>
      <c r="E103" s="1869"/>
      <c r="F103" s="1861">
        <v>0.05</v>
      </c>
    </row>
    <row r="104" spans="1:6" ht="15" thickBot="1">
      <c r="A104" s="1855" t="s">
        <v>1407</v>
      </c>
      <c r="B104" s="1859" t="s">
        <v>2101</v>
      </c>
      <c r="C104" s="1869"/>
      <c r="D104" s="1869"/>
      <c r="E104" s="1869"/>
      <c r="F104" s="1861">
        <v>0.05</v>
      </c>
    </row>
    <row r="105" spans="1:6" ht="24.6" thickBot="1">
      <c r="A105" s="1855" t="s">
        <v>1407</v>
      </c>
      <c r="B105" s="1859" t="s">
        <v>2102</v>
      </c>
      <c r="C105" s="1869"/>
      <c r="D105" s="1869"/>
      <c r="E105" s="1869"/>
      <c r="F105" s="1861">
        <v>0.05</v>
      </c>
    </row>
    <row r="106" spans="1:6" ht="24.6" thickBot="1">
      <c r="A106" s="1855" t="s">
        <v>1407</v>
      </c>
      <c r="B106" s="1859" t="s">
        <v>2103</v>
      </c>
      <c r="C106" s="1869"/>
      <c r="D106" s="1869"/>
      <c r="E106" s="1869"/>
      <c r="F106" s="1861">
        <v>0.05</v>
      </c>
    </row>
    <row r="107" spans="1:6" ht="24.6" thickBot="1">
      <c r="A107" s="1855" t="s">
        <v>1407</v>
      </c>
      <c r="B107" s="1859" t="s">
        <v>2104</v>
      </c>
      <c r="C107" s="1869"/>
      <c r="D107" s="1869"/>
      <c r="E107" s="1869"/>
      <c r="F107" s="1861">
        <v>0.05</v>
      </c>
    </row>
    <row r="108" spans="1:6" ht="24.6" thickBot="1">
      <c r="A108" s="1855" t="s">
        <v>1407</v>
      </c>
      <c r="B108" s="1859" t="s">
        <v>2105</v>
      </c>
      <c r="C108" s="1869"/>
      <c r="D108" s="1869"/>
      <c r="E108" s="1869"/>
      <c r="F108" s="1861">
        <v>0.05</v>
      </c>
    </row>
    <row r="109" spans="1:6" ht="24.6" thickBot="1">
      <c r="A109" s="1863" t="s">
        <v>1407</v>
      </c>
      <c r="B109" s="1870" t="s">
        <v>2106</v>
      </c>
      <c r="C109" s="1866"/>
      <c r="D109" s="1866"/>
      <c r="E109" s="1866"/>
      <c r="F109" s="1871">
        <v>0.05</v>
      </c>
    </row>
    <row r="110" spans="1:6" ht="15" thickBot="1">
      <c r="A110" s="1855" t="s">
        <v>1409</v>
      </c>
      <c r="B110" s="1856" t="s">
        <v>2107</v>
      </c>
      <c r="C110" s="1857">
        <v>0.129</v>
      </c>
      <c r="D110" s="1857">
        <v>0.129</v>
      </c>
      <c r="E110" s="1857">
        <v>0.126</v>
      </c>
      <c r="F110" s="1858">
        <v>0.13</v>
      </c>
    </row>
    <row r="111" spans="1:6" ht="15" thickBot="1">
      <c r="A111" s="1855" t="s">
        <v>1409</v>
      </c>
      <c r="B111" s="1859" t="s">
        <v>1075</v>
      </c>
      <c r="C111" s="1860">
        <v>0.11</v>
      </c>
      <c r="D111" s="1860">
        <v>0.11</v>
      </c>
      <c r="E111" s="1860">
        <v>9.9000000000000005E-2</v>
      </c>
      <c r="F111" s="1861">
        <v>0.128</v>
      </c>
    </row>
    <row r="112" spans="1:6" ht="15" thickBot="1">
      <c r="A112" s="1855" t="s">
        <v>1409</v>
      </c>
      <c r="B112" s="1859" t="s">
        <v>1089</v>
      </c>
      <c r="C112" s="1860">
        <v>0.125</v>
      </c>
      <c r="D112" s="1860">
        <v>0.125</v>
      </c>
      <c r="E112" s="1860">
        <v>0.12</v>
      </c>
      <c r="F112" s="1861">
        <v>0.125</v>
      </c>
    </row>
    <row r="113" spans="1:6" ht="15" thickBot="1">
      <c r="A113" s="1855" t="s">
        <v>1409</v>
      </c>
      <c r="B113" s="1859" t="s">
        <v>1102</v>
      </c>
      <c r="C113" s="1860">
        <v>0.13</v>
      </c>
      <c r="D113" s="1860">
        <v>0.13</v>
      </c>
      <c r="E113" s="1860">
        <v>0.13</v>
      </c>
      <c r="F113" s="1861">
        <v>0.13</v>
      </c>
    </row>
    <row r="114" spans="1:6" ht="15" thickBot="1">
      <c r="A114" s="1855" t="s">
        <v>1409</v>
      </c>
      <c r="B114" s="1859" t="s">
        <v>1116</v>
      </c>
      <c r="C114" s="1860">
        <v>0.123</v>
      </c>
      <c r="D114" s="1860">
        <v>0.123</v>
      </c>
      <c r="E114" s="1860">
        <v>0.12</v>
      </c>
      <c r="F114" s="1861">
        <v>0.13</v>
      </c>
    </row>
    <row r="115" spans="1:6" ht="15" thickBot="1">
      <c r="A115" s="1855" t="s">
        <v>1409</v>
      </c>
      <c r="B115" s="1859" t="s">
        <v>1127</v>
      </c>
      <c r="C115" s="1860">
        <v>0.125</v>
      </c>
      <c r="D115" s="1860">
        <v>0.125</v>
      </c>
      <c r="E115" s="1860">
        <v>0.11700000000000001</v>
      </c>
      <c r="F115" s="1861">
        <v>0.13</v>
      </c>
    </row>
    <row r="116" spans="1:6" ht="15" thickBot="1">
      <c r="A116" s="1855" t="s">
        <v>1409</v>
      </c>
      <c r="B116" s="1859" t="s">
        <v>1138</v>
      </c>
      <c r="C116" s="1860">
        <v>0.11700000000000001</v>
      </c>
      <c r="D116" s="1860">
        <v>0.11700000000000001</v>
      </c>
      <c r="E116" s="1860">
        <v>8.7999999999999995E-2</v>
      </c>
      <c r="F116" s="1861">
        <v>0.13</v>
      </c>
    </row>
    <row r="117" spans="1:6" ht="15" thickBot="1">
      <c r="A117" s="1855" t="s">
        <v>1409</v>
      </c>
      <c r="B117" s="1859" t="s">
        <v>1149</v>
      </c>
      <c r="C117" s="1860">
        <v>0.13</v>
      </c>
      <c r="D117" s="1860">
        <v>0.13</v>
      </c>
      <c r="E117" s="1860">
        <v>0.129</v>
      </c>
      <c r="F117" s="1861">
        <v>0.13</v>
      </c>
    </row>
    <row r="118" spans="1:6" ht="15" thickBot="1">
      <c r="A118" s="1855" t="s">
        <v>1409</v>
      </c>
      <c r="B118" s="1859" t="s">
        <v>1161</v>
      </c>
      <c r="C118" s="1860">
        <v>0.123</v>
      </c>
      <c r="D118" s="1860">
        <v>0.123</v>
      </c>
      <c r="E118" s="1860">
        <v>0.11600000000000001</v>
      </c>
      <c r="F118" s="1861">
        <v>0.13</v>
      </c>
    </row>
    <row r="119" spans="1:6" ht="15" thickBot="1">
      <c r="A119" s="1855" t="s">
        <v>1409</v>
      </c>
      <c r="B119" s="1859" t="s">
        <v>1171</v>
      </c>
      <c r="C119" s="1860">
        <v>0.127</v>
      </c>
      <c r="D119" s="1860">
        <v>0.127</v>
      </c>
      <c r="E119" s="1860">
        <v>0.124</v>
      </c>
      <c r="F119" s="1861">
        <v>0.13</v>
      </c>
    </row>
    <row r="120" spans="1:6" ht="15" thickBot="1">
      <c r="A120" s="1855" t="s">
        <v>1409</v>
      </c>
      <c r="B120" s="1859" t="s">
        <v>1181</v>
      </c>
      <c r="C120" s="1860">
        <v>0.125</v>
      </c>
      <c r="D120" s="1860">
        <v>0.125</v>
      </c>
      <c r="E120" s="1860">
        <v>0.122</v>
      </c>
      <c r="F120" s="1861">
        <v>0.13</v>
      </c>
    </row>
    <row r="121" spans="1:6" ht="15" thickBot="1">
      <c r="A121" s="1855" t="s">
        <v>1409</v>
      </c>
      <c r="B121" s="1859" t="s">
        <v>1191</v>
      </c>
      <c r="C121" s="1860">
        <v>0.13</v>
      </c>
      <c r="D121" s="1860">
        <v>0.13</v>
      </c>
      <c r="E121" s="1860">
        <v>0.13</v>
      </c>
      <c r="F121" s="1861">
        <v>0.13</v>
      </c>
    </row>
    <row r="122" spans="1:6" ht="15" thickBot="1">
      <c r="A122" s="1855" t="s">
        <v>1409</v>
      </c>
      <c r="B122" s="1859" t="s">
        <v>1201</v>
      </c>
      <c r="C122" s="1860">
        <v>0.13</v>
      </c>
      <c r="D122" s="1860">
        <v>0.13</v>
      </c>
      <c r="E122" s="1860">
        <v>0.125</v>
      </c>
      <c r="F122" s="1861">
        <v>0.13</v>
      </c>
    </row>
    <row r="123" spans="1:6" ht="15" thickBot="1">
      <c r="A123" s="1855" t="s">
        <v>1409</v>
      </c>
      <c r="B123" s="1859" t="s">
        <v>1211</v>
      </c>
      <c r="C123" s="1860">
        <v>0.129</v>
      </c>
      <c r="D123" s="1860">
        <v>0.129</v>
      </c>
      <c r="E123" s="1860">
        <v>0.123</v>
      </c>
      <c r="F123" s="1861">
        <v>0.13</v>
      </c>
    </row>
    <row r="124" spans="1:6" ht="15" thickBot="1">
      <c r="A124" s="1855" t="s">
        <v>1409</v>
      </c>
      <c r="B124" s="1859" t="s">
        <v>1221</v>
      </c>
      <c r="C124" s="1860">
        <v>0.10199999999999999</v>
      </c>
      <c r="D124" s="1860">
        <v>0.10100000000000001</v>
      </c>
      <c r="E124" s="1860">
        <v>0.08</v>
      </c>
      <c r="F124" s="1868"/>
    </row>
    <row r="125" spans="1:6" ht="15" thickBot="1">
      <c r="A125" s="1855" t="s">
        <v>1409</v>
      </c>
      <c r="B125" s="1859" t="s">
        <v>1231</v>
      </c>
      <c r="C125" s="1860">
        <v>0.13</v>
      </c>
      <c r="D125" s="1860">
        <v>0.13</v>
      </c>
      <c r="E125" s="1860">
        <v>0.129</v>
      </c>
      <c r="F125" s="1868"/>
    </row>
    <row r="126" spans="1:6" ht="15" thickBot="1">
      <c r="A126" s="1855" t="s">
        <v>1409</v>
      </c>
      <c r="B126" s="1859" t="s">
        <v>1241</v>
      </c>
      <c r="C126" s="1860">
        <v>0.13</v>
      </c>
      <c r="D126" s="1860">
        <v>0.13</v>
      </c>
      <c r="E126" s="1860">
        <v>0.126</v>
      </c>
      <c r="F126" s="1868"/>
    </row>
    <row r="127" spans="1:6" ht="15" thickBot="1">
      <c r="A127" s="1855" t="s">
        <v>1409</v>
      </c>
      <c r="B127" s="1859" t="s">
        <v>1251</v>
      </c>
      <c r="C127" s="1860">
        <v>0.125</v>
      </c>
      <c r="D127" s="1860">
        <v>0.125</v>
      </c>
      <c r="E127" s="1860">
        <v>0.121</v>
      </c>
      <c r="F127" s="1868"/>
    </row>
    <row r="128" spans="1:6" ht="15" thickBot="1">
      <c r="A128" s="1855" t="s">
        <v>1409</v>
      </c>
      <c r="B128" s="1859" t="s">
        <v>1261</v>
      </c>
      <c r="C128" s="1860">
        <v>0.12</v>
      </c>
      <c r="D128" s="1860">
        <v>0.12</v>
      </c>
      <c r="E128" s="1860">
        <v>0.105</v>
      </c>
      <c r="F128" s="1868"/>
    </row>
    <row r="129" spans="1:6" ht="15" thickBot="1">
      <c r="A129" s="1855" t="s">
        <v>1409</v>
      </c>
      <c r="B129" s="1859" t="s">
        <v>1270</v>
      </c>
      <c r="C129" s="1860">
        <v>0.13</v>
      </c>
      <c r="D129" s="1860">
        <v>0.13</v>
      </c>
      <c r="E129" s="1860">
        <v>0.126</v>
      </c>
      <c r="F129" s="1868"/>
    </row>
    <row r="130" spans="1:6" ht="15" thickBot="1">
      <c r="A130" s="1855" t="s">
        <v>1409</v>
      </c>
      <c r="B130" s="1859" t="s">
        <v>1279</v>
      </c>
      <c r="C130" s="1860">
        <v>0.125</v>
      </c>
      <c r="D130" s="1860">
        <v>0.125</v>
      </c>
      <c r="E130" s="1860">
        <v>0.122</v>
      </c>
      <c r="F130" s="1868"/>
    </row>
    <row r="131" spans="1:6" ht="15" thickBot="1">
      <c r="A131" s="1855" t="s">
        <v>1409</v>
      </c>
      <c r="B131" s="1859" t="s">
        <v>1287</v>
      </c>
      <c r="C131" s="1860">
        <v>0.127</v>
      </c>
      <c r="D131" s="1860">
        <v>0.126</v>
      </c>
      <c r="E131" s="1860">
        <v>0.123</v>
      </c>
      <c r="F131" s="1868"/>
    </row>
    <row r="132" spans="1:6" ht="15" thickBot="1">
      <c r="A132" s="1855" t="s">
        <v>1409</v>
      </c>
      <c r="B132" s="1859" t="s">
        <v>1294</v>
      </c>
      <c r="C132" s="1860">
        <v>9.0999999999999998E-2</v>
      </c>
      <c r="D132" s="1860">
        <v>0.121</v>
      </c>
      <c r="E132" s="1860">
        <v>9.9000000000000005E-2</v>
      </c>
      <c r="F132" s="1868"/>
    </row>
    <row r="133" spans="1:6" ht="15" thickBot="1">
      <c r="A133" s="1855" t="s">
        <v>1409</v>
      </c>
      <c r="B133" s="1859" t="s">
        <v>1301</v>
      </c>
      <c r="C133" s="1860">
        <v>0.13</v>
      </c>
      <c r="D133" s="1860">
        <v>0.13</v>
      </c>
      <c r="E133" s="1860">
        <v>0.129</v>
      </c>
      <c r="F133" s="1868"/>
    </row>
    <row r="134" spans="1:6" ht="15" thickBot="1">
      <c r="A134" s="1855" t="s">
        <v>1409</v>
      </c>
      <c r="B134" s="1859" t="s">
        <v>2108</v>
      </c>
      <c r="C134" s="1860">
        <v>6.8000000000000005E-2</v>
      </c>
      <c r="D134" s="1860">
        <v>6.5000000000000002E-2</v>
      </c>
      <c r="E134" s="1860">
        <v>6.5000000000000002E-2</v>
      </c>
      <c r="F134" s="1861">
        <v>0.13</v>
      </c>
    </row>
    <row r="135" spans="1:6" ht="15" thickBot="1">
      <c r="A135" s="1855" t="s">
        <v>1409</v>
      </c>
      <c r="B135" s="1859" t="s">
        <v>1315</v>
      </c>
      <c r="C135" s="1860">
        <v>0.123</v>
      </c>
      <c r="D135" s="1860">
        <v>0.123</v>
      </c>
      <c r="E135" s="1860">
        <v>0.11</v>
      </c>
      <c r="F135" s="1868"/>
    </row>
    <row r="136" spans="1:6" ht="15" thickBot="1">
      <c r="A136" s="1855" t="s">
        <v>1409</v>
      </c>
      <c r="B136" s="1859" t="s">
        <v>1322</v>
      </c>
      <c r="C136" s="1860">
        <v>0.13</v>
      </c>
      <c r="D136" s="1860">
        <v>0.13</v>
      </c>
      <c r="E136" s="1860">
        <v>0.125</v>
      </c>
      <c r="F136" s="1868"/>
    </row>
    <row r="137" spans="1:6" ht="15" thickBot="1">
      <c r="A137" s="1855" t="s">
        <v>1409</v>
      </c>
      <c r="B137" s="1859" t="s">
        <v>1329</v>
      </c>
      <c r="C137" s="1860">
        <v>0.121</v>
      </c>
      <c r="D137" s="1860">
        <v>0.122</v>
      </c>
      <c r="E137" s="1860">
        <v>0.115</v>
      </c>
      <c r="F137" s="1868"/>
    </row>
    <row r="138" spans="1:6" ht="15" thickBot="1">
      <c r="A138" s="1855" t="s">
        <v>1409</v>
      </c>
      <c r="B138" s="1859" t="s">
        <v>2109</v>
      </c>
      <c r="C138" s="1860">
        <v>0.105</v>
      </c>
      <c r="D138" s="1860">
        <v>0.125</v>
      </c>
      <c r="E138" s="1860">
        <v>0.112</v>
      </c>
      <c r="F138" s="1868"/>
    </row>
    <row r="139" spans="1:6" ht="15" thickBot="1">
      <c r="A139" s="1855" t="s">
        <v>1409</v>
      </c>
      <c r="B139" s="1859" t="s">
        <v>2110</v>
      </c>
      <c r="C139" s="1860">
        <v>0.127</v>
      </c>
      <c r="D139" s="1860">
        <v>0.127</v>
      </c>
      <c r="E139" s="1860">
        <v>0.122</v>
      </c>
      <c r="F139" s="1861">
        <v>0.13</v>
      </c>
    </row>
    <row r="140" spans="1:6" ht="15" thickBot="1">
      <c r="A140" s="1855" t="s">
        <v>1409</v>
      </c>
      <c r="B140" s="1859" t="s">
        <v>2111</v>
      </c>
      <c r="C140" s="1860">
        <v>0.125</v>
      </c>
      <c r="D140" s="1860">
        <v>0.125</v>
      </c>
      <c r="E140" s="1860">
        <v>0.11899999999999999</v>
      </c>
      <c r="F140" s="1861">
        <v>0.13</v>
      </c>
    </row>
    <row r="141" spans="1:6" ht="15" thickBot="1">
      <c r="A141" s="1855" t="s">
        <v>1409</v>
      </c>
      <c r="B141" s="1859" t="s">
        <v>1348</v>
      </c>
      <c r="C141" s="1860">
        <v>0.125</v>
      </c>
      <c r="D141" s="1860">
        <v>0.125</v>
      </c>
      <c r="E141" s="1860">
        <v>0.11700000000000001</v>
      </c>
      <c r="F141" s="1868"/>
    </row>
    <row r="142" spans="1:6" ht="15" thickBot="1">
      <c r="A142" s="1855" t="s">
        <v>1409</v>
      </c>
      <c r="B142" s="1859" t="s">
        <v>1353</v>
      </c>
      <c r="C142" s="1860">
        <v>0.125</v>
      </c>
      <c r="D142" s="1860">
        <v>0.125</v>
      </c>
      <c r="E142" s="1860">
        <v>0.115</v>
      </c>
      <c r="F142" s="1868"/>
    </row>
    <row r="143" spans="1:6" ht="15" thickBot="1">
      <c r="A143" s="1855" t="s">
        <v>1409</v>
      </c>
      <c r="B143" s="1859" t="s">
        <v>1358</v>
      </c>
      <c r="C143" s="1860">
        <v>0.121</v>
      </c>
      <c r="D143" s="1860">
        <v>0.121</v>
      </c>
      <c r="E143" s="1860">
        <v>0.108</v>
      </c>
      <c r="F143" s="1868"/>
    </row>
    <row r="144" spans="1:6" ht="15" thickBot="1">
      <c r="A144" s="1855" t="s">
        <v>1409</v>
      </c>
      <c r="B144" s="1872" t="s">
        <v>2112</v>
      </c>
      <c r="C144" s="1873">
        <v>0.126</v>
      </c>
      <c r="D144" s="1873">
        <v>0.126</v>
      </c>
      <c r="E144" s="1873">
        <v>0.121</v>
      </c>
      <c r="F144" s="1868"/>
    </row>
    <row r="145" spans="1:6" ht="15" thickBot="1">
      <c r="A145" s="1863" t="s">
        <v>1409</v>
      </c>
      <c r="B145" s="1874" t="s">
        <v>2113</v>
      </c>
      <c r="C145" s="1875"/>
      <c r="D145" s="1875"/>
      <c r="E145" s="1875"/>
      <c r="F145" s="1876">
        <v>0.05</v>
      </c>
    </row>
    <row r="146" spans="1:6" ht="24.6" thickBot="1">
      <c r="A146" s="1877" t="s">
        <v>1409</v>
      </c>
      <c r="B146" s="1862" t="s">
        <v>2114</v>
      </c>
      <c r="C146" s="1869"/>
      <c r="D146" s="1869"/>
      <c r="E146" s="1869"/>
      <c r="F146" s="1878">
        <v>0.05</v>
      </c>
    </row>
    <row r="147" spans="1:6" ht="24.6" thickBot="1">
      <c r="A147" s="1855" t="s">
        <v>1409</v>
      </c>
      <c r="B147" s="1859" t="s">
        <v>2115</v>
      </c>
      <c r="C147" s="1869"/>
      <c r="D147" s="1869"/>
      <c r="E147" s="1869"/>
      <c r="F147" s="1861">
        <v>0.05</v>
      </c>
    </row>
    <row r="148" spans="1:6" ht="24.6" thickBot="1">
      <c r="A148" s="1855" t="s">
        <v>1409</v>
      </c>
      <c r="B148" s="1859" t="s">
        <v>2116</v>
      </c>
      <c r="C148" s="1869"/>
      <c r="D148" s="1869"/>
      <c r="E148" s="1869"/>
      <c r="F148" s="1861">
        <v>0.05</v>
      </c>
    </row>
    <row r="149" spans="1:6" ht="24.6" thickBot="1">
      <c r="A149" s="1855" t="s">
        <v>1409</v>
      </c>
      <c r="B149" s="1859" t="s">
        <v>2117</v>
      </c>
      <c r="C149" s="1869"/>
      <c r="D149" s="1869"/>
      <c r="E149" s="1869"/>
      <c r="F149" s="1861">
        <v>0.05</v>
      </c>
    </row>
    <row r="150" spans="1:6" ht="24.6" thickBot="1">
      <c r="A150" s="1855" t="s">
        <v>1409</v>
      </c>
      <c r="B150" s="1859" t="s">
        <v>2118</v>
      </c>
      <c r="C150" s="1869"/>
      <c r="D150" s="1869"/>
      <c r="E150" s="1869"/>
      <c r="F150" s="1861">
        <v>0.05</v>
      </c>
    </row>
    <row r="151" spans="1:6" ht="24.6" thickBot="1">
      <c r="A151" s="1855" t="s">
        <v>1409</v>
      </c>
      <c r="B151" s="1859" t="s">
        <v>2119</v>
      </c>
      <c r="C151" s="1869"/>
      <c r="D151" s="1869"/>
      <c r="E151" s="1869"/>
      <c r="F151" s="1861">
        <v>0.05</v>
      </c>
    </row>
    <row r="152" spans="1:6" ht="24.6" thickBot="1">
      <c r="A152" s="1855" t="s">
        <v>1409</v>
      </c>
      <c r="B152" s="1859" t="s">
        <v>1391</v>
      </c>
      <c r="C152" s="1869"/>
      <c r="D152" s="1869"/>
      <c r="E152" s="1869"/>
      <c r="F152" s="1861">
        <v>0.05</v>
      </c>
    </row>
    <row r="153" spans="1:6" ht="15" thickBot="1">
      <c r="A153" s="1855" t="s">
        <v>1409</v>
      </c>
      <c r="B153" s="1859" t="s">
        <v>2120</v>
      </c>
      <c r="C153" s="1869"/>
      <c r="D153" s="1869"/>
      <c r="E153" s="1869"/>
      <c r="F153" s="1861">
        <v>0.05</v>
      </c>
    </row>
    <row r="154" spans="1:6" ht="15" thickBot="1">
      <c r="A154" s="1855" t="s">
        <v>1409</v>
      </c>
      <c r="B154" s="1859" t="s">
        <v>2121</v>
      </c>
      <c r="C154" s="1869"/>
      <c r="D154" s="1869"/>
      <c r="E154" s="1869"/>
      <c r="F154" s="1861">
        <v>0.05</v>
      </c>
    </row>
    <row r="155" spans="1:6" ht="24.6" thickBot="1">
      <c r="A155" s="1855" t="s">
        <v>1409</v>
      </c>
      <c r="B155" s="1859" t="s">
        <v>2122</v>
      </c>
      <c r="C155" s="1869"/>
      <c r="D155" s="1869"/>
      <c r="E155" s="1869"/>
      <c r="F155" s="1861">
        <v>0.05</v>
      </c>
    </row>
    <row r="156" spans="1:6" ht="24.6" thickBot="1">
      <c r="A156" s="1855" t="s">
        <v>1409</v>
      </c>
      <c r="B156" s="1859" t="s">
        <v>2123</v>
      </c>
      <c r="C156" s="1869"/>
      <c r="D156" s="1869"/>
      <c r="E156" s="1869"/>
      <c r="F156" s="1861">
        <v>0.05</v>
      </c>
    </row>
    <row r="157" spans="1:6" ht="24.6" thickBot="1">
      <c r="A157" s="1863" t="s">
        <v>1409</v>
      </c>
      <c r="B157" s="1870" t="s">
        <v>2124</v>
      </c>
      <c r="C157" s="1866"/>
      <c r="D157" s="1866"/>
      <c r="E157" s="1866"/>
      <c r="F157" s="1871">
        <v>0.05</v>
      </c>
    </row>
    <row r="158" spans="1:6" ht="15" thickBot="1">
      <c r="A158" s="1855" t="s">
        <v>1411</v>
      </c>
      <c r="B158" s="1856" t="s">
        <v>2125</v>
      </c>
      <c r="C158" s="1857">
        <v>0.13</v>
      </c>
      <c r="D158" s="1857">
        <v>0.13</v>
      </c>
      <c r="E158" s="1857">
        <v>0.13</v>
      </c>
      <c r="F158" s="1858">
        <v>0.13</v>
      </c>
    </row>
    <row r="159" spans="1:6" ht="15" thickBot="1">
      <c r="A159" s="1855" t="s">
        <v>1411</v>
      </c>
      <c r="B159" s="1859" t="s">
        <v>1076</v>
      </c>
      <c r="C159" s="1860">
        <v>0.13</v>
      </c>
      <c r="D159" s="1860">
        <v>0.13</v>
      </c>
      <c r="E159" s="1860">
        <v>0.13</v>
      </c>
      <c r="F159" s="1861">
        <v>0.13</v>
      </c>
    </row>
    <row r="160" spans="1:6" ht="15" thickBot="1">
      <c r="A160" s="1855" t="s">
        <v>1411</v>
      </c>
      <c r="B160" s="1859" t="s">
        <v>1090</v>
      </c>
      <c r="C160" s="1860">
        <v>0.13</v>
      </c>
      <c r="D160" s="1860">
        <v>0.13</v>
      </c>
      <c r="E160" s="1860">
        <v>0.129</v>
      </c>
      <c r="F160" s="1861">
        <v>0.13</v>
      </c>
    </row>
    <row r="161" spans="1:6" ht="15" thickBot="1">
      <c r="A161" s="1855" t="s">
        <v>1411</v>
      </c>
      <c r="B161" s="1859" t="s">
        <v>1103</v>
      </c>
      <c r="C161" s="1860">
        <v>0.128</v>
      </c>
      <c r="D161" s="1860">
        <v>0.128</v>
      </c>
      <c r="E161" s="1860">
        <v>0.125</v>
      </c>
      <c r="F161" s="1861">
        <v>0.13</v>
      </c>
    </row>
    <row r="162" spans="1:6" ht="15" thickBot="1">
      <c r="A162" s="1855" t="s">
        <v>1411</v>
      </c>
      <c r="B162" s="1859" t="s">
        <v>1117</v>
      </c>
      <c r="C162" s="1860">
        <v>0.122</v>
      </c>
      <c r="D162" s="1860">
        <v>0.122</v>
      </c>
      <c r="E162" s="1860">
        <v>0.126</v>
      </c>
      <c r="F162" s="1861">
        <v>0.122</v>
      </c>
    </row>
    <row r="163" spans="1:6" ht="15" thickBot="1">
      <c r="A163" s="1855" t="s">
        <v>1411</v>
      </c>
      <c r="B163" s="1859" t="s">
        <v>1128</v>
      </c>
      <c r="C163" s="1860">
        <v>0.13</v>
      </c>
      <c r="D163" s="1860">
        <v>0.13</v>
      </c>
      <c r="E163" s="1860">
        <v>0.125</v>
      </c>
      <c r="F163" s="1861">
        <v>0.13</v>
      </c>
    </row>
    <row r="164" spans="1:6" ht="15" thickBot="1">
      <c r="A164" s="1855" t="s">
        <v>1411</v>
      </c>
      <c r="B164" s="1859" t="s">
        <v>1139</v>
      </c>
      <c r="C164" s="1860">
        <v>0.13</v>
      </c>
      <c r="D164" s="1860">
        <v>0.13</v>
      </c>
      <c r="E164" s="1860">
        <v>0.13</v>
      </c>
      <c r="F164" s="1861">
        <v>0.13</v>
      </c>
    </row>
    <row r="165" spans="1:6" ht="15" thickBot="1">
      <c r="A165" s="1855" t="s">
        <v>1411</v>
      </c>
      <c r="B165" s="1859" t="s">
        <v>1150</v>
      </c>
      <c r="C165" s="1860">
        <v>0.13</v>
      </c>
      <c r="D165" s="1860">
        <v>0.13</v>
      </c>
      <c r="E165" s="1860">
        <v>0.124</v>
      </c>
      <c r="F165" s="1861">
        <v>0.13</v>
      </c>
    </row>
    <row r="166" spans="1:6" ht="15" thickBot="1">
      <c r="A166" s="1855" t="s">
        <v>1411</v>
      </c>
      <c r="B166" s="1859" t="s">
        <v>1162</v>
      </c>
      <c r="C166" s="1860">
        <v>0.13</v>
      </c>
      <c r="D166" s="1860">
        <v>0.13</v>
      </c>
      <c r="E166" s="1860">
        <v>0.13</v>
      </c>
      <c r="F166" s="1861">
        <v>0.13</v>
      </c>
    </row>
    <row r="167" spans="1:6" ht="15" thickBot="1">
      <c r="A167" s="1855" t="s">
        <v>1411</v>
      </c>
      <c r="B167" s="1859" t="s">
        <v>1172</v>
      </c>
      <c r="C167" s="1860">
        <v>0.125</v>
      </c>
      <c r="D167" s="1860">
        <v>0.125</v>
      </c>
      <c r="E167" s="1860">
        <v>0.121</v>
      </c>
      <c r="F167" s="1868"/>
    </row>
    <row r="168" spans="1:6" ht="15" thickBot="1">
      <c r="A168" s="1855" t="s">
        <v>1411</v>
      </c>
      <c r="B168" s="1859" t="s">
        <v>1182</v>
      </c>
      <c r="C168" s="1860">
        <v>0.13</v>
      </c>
      <c r="D168" s="1860">
        <v>0.13</v>
      </c>
      <c r="E168" s="1860">
        <v>0.126</v>
      </c>
      <c r="F168" s="1868"/>
    </row>
    <row r="169" spans="1:6" ht="15" thickBot="1">
      <c r="A169" s="1855" t="s">
        <v>1411</v>
      </c>
      <c r="B169" s="1859" t="s">
        <v>1192</v>
      </c>
      <c r="C169" s="1860">
        <v>0.128</v>
      </c>
      <c r="D169" s="1860">
        <v>0.129</v>
      </c>
      <c r="E169" s="1860">
        <v>0.13</v>
      </c>
      <c r="F169" s="1868"/>
    </row>
    <row r="170" spans="1:6" ht="15" thickBot="1">
      <c r="A170" s="1855" t="s">
        <v>1411</v>
      </c>
      <c r="B170" s="1859" t="s">
        <v>1202</v>
      </c>
      <c r="C170" s="1860">
        <v>0.14099999999999999</v>
      </c>
      <c r="D170" s="1860">
        <v>0.13</v>
      </c>
      <c r="E170" s="1860">
        <v>0.125</v>
      </c>
      <c r="F170" s="1868"/>
    </row>
    <row r="171" spans="1:6" ht="15" thickBot="1">
      <c r="A171" s="1855" t="s">
        <v>1411</v>
      </c>
      <c r="B171" s="1859" t="s">
        <v>2126</v>
      </c>
      <c r="C171" s="1860">
        <v>0.127</v>
      </c>
      <c r="D171" s="1860">
        <v>0.126</v>
      </c>
      <c r="E171" s="1860">
        <v>0.126</v>
      </c>
      <c r="F171" s="1861">
        <v>0.11799999999999999</v>
      </c>
    </row>
    <row r="172" spans="1:6" ht="15" thickBot="1">
      <c r="A172" s="1855" t="s">
        <v>1411</v>
      </c>
      <c r="B172" s="1859" t="s">
        <v>2127</v>
      </c>
      <c r="C172" s="1860">
        <v>0.13</v>
      </c>
      <c r="D172" s="1860">
        <v>0.13</v>
      </c>
      <c r="E172" s="1860">
        <v>0.13</v>
      </c>
      <c r="F172" s="1868"/>
    </row>
    <row r="173" spans="1:6" ht="15" thickBot="1">
      <c r="A173" s="1855" t="s">
        <v>1411</v>
      </c>
      <c r="B173" s="1859" t="s">
        <v>1232</v>
      </c>
      <c r="C173" s="1860">
        <v>0.13</v>
      </c>
      <c r="D173" s="1860">
        <v>0.13</v>
      </c>
      <c r="E173" s="1860">
        <v>0.13</v>
      </c>
      <c r="F173" s="1868"/>
    </row>
    <row r="174" spans="1:6" ht="15" thickBot="1">
      <c r="A174" s="1855" t="s">
        <v>1411</v>
      </c>
      <c r="B174" s="1859" t="s">
        <v>2128</v>
      </c>
      <c r="C174" s="1860">
        <v>0.13</v>
      </c>
      <c r="D174" s="1860">
        <v>0.13</v>
      </c>
      <c r="E174" s="1860">
        <v>0.13</v>
      </c>
      <c r="F174" s="1861">
        <v>0.13</v>
      </c>
    </row>
    <row r="175" spans="1:6" ht="15" thickBot="1">
      <c r="A175" s="1855" t="s">
        <v>1411</v>
      </c>
      <c r="B175" s="1859" t="s">
        <v>2129</v>
      </c>
      <c r="C175" s="1860">
        <v>0.13</v>
      </c>
      <c r="D175" s="1860">
        <v>0.13</v>
      </c>
      <c r="E175" s="1860">
        <v>0.13</v>
      </c>
      <c r="F175" s="1861">
        <v>0.13</v>
      </c>
    </row>
    <row r="176" spans="1:6" ht="15" thickBot="1">
      <c r="A176" s="1855" t="s">
        <v>1411</v>
      </c>
      <c r="B176" s="1859" t="s">
        <v>1262</v>
      </c>
      <c r="C176" s="1860">
        <v>0.13</v>
      </c>
      <c r="D176" s="1860">
        <v>0.13</v>
      </c>
      <c r="E176" s="1860">
        <v>0.13</v>
      </c>
      <c r="F176" s="1861">
        <v>0.13</v>
      </c>
    </row>
    <row r="177" spans="1:6" ht="15" thickBot="1">
      <c r="A177" s="1855" t="s">
        <v>1411</v>
      </c>
      <c r="B177" s="1859" t="s">
        <v>2130</v>
      </c>
      <c r="C177" s="1860">
        <v>0.13</v>
      </c>
      <c r="D177" s="1860">
        <v>0.13</v>
      </c>
      <c r="E177" s="1860">
        <v>0.13</v>
      </c>
      <c r="F177" s="1861">
        <v>0.13</v>
      </c>
    </row>
    <row r="178" spans="1:6" ht="15" thickBot="1">
      <c r="A178" s="1855" t="s">
        <v>1411</v>
      </c>
      <c r="B178" s="1859" t="s">
        <v>1280</v>
      </c>
      <c r="C178" s="1860">
        <v>0.13</v>
      </c>
      <c r="D178" s="1860">
        <v>0.13</v>
      </c>
      <c r="E178" s="1860">
        <v>0.13</v>
      </c>
      <c r="F178" s="1861">
        <v>0.127</v>
      </c>
    </row>
    <row r="179" spans="1:6" ht="15" thickBot="1">
      <c r="A179" s="1855" t="s">
        <v>1411</v>
      </c>
      <c r="B179" s="1859" t="s">
        <v>1288</v>
      </c>
      <c r="C179" s="1860">
        <v>0.13</v>
      </c>
      <c r="D179" s="1860">
        <v>0.13</v>
      </c>
      <c r="E179" s="1860">
        <v>0.13</v>
      </c>
      <c r="F179" s="1868"/>
    </row>
    <row r="180" spans="1:6" ht="15" thickBot="1">
      <c r="A180" s="1855" t="s">
        <v>1411</v>
      </c>
      <c r="B180" s="1859" t="s">
        <v>2131</v>
      </c>
      <c r="C180" s="1860">
        <v>0.13</v>
      </c>
      <c r="D180" s="1860">
        <v>0.13</v>
      </c>
      <c r="E180" s="1860">
        <v>0.125</v>
      </c>
      <c r="F180" s="1861">
        <v>0.13</v>
      </c>
    </row>
    <row r="181" spans="1:6" ht="15" thickBot="1">
      <c r="A181" s="1855" t="s">
        <v>1411</v>
      </c>
      <c r="B181" s="1859" t="s">
        <v>1302</v>
      </c>
      <c r="C181" s="1860">
        <v>0.122</v>
      </c>
      <c r="D181" s="1860">
        <v>0.123</v>
      </c>
      <c r="E181" s="1860">
        <v>0.126</v>
      </c>
      <c r="F181" s="1861">
        <v>0.121</v>
      </c>
    </row>
    <row r="182" spans="1:6" ht="15" thickBot="1">
      <c r="A182" s="1855" t="s">
        <v>1411</v>
      </c>
      <c r="B182" s="1859" t="s">
        <v>1309</v>
      </c>
      <c r="C182" s="1860">
        <v>0.125</v>
      </c>
      <c r="D182" s="1860">
        <v>0.125</v>
      </c>
      <c r="E182" s="1860">
        <v>0.11700000000000001</v>
      </c>
      <c r="F182" s="1861">
        <v>0.13</v>
      </c>
    </row>
    <row r="183" spans="1:6" ht="15" thickBot="1">
      <c r="A183" s="1855" t="s">
        <v>1411</v>
      </c>
      <c r="B183" s="1859" t="s">
        <v>1316</v>
      </c>
      <c r="C183" s="1860">
        <v>0.127</v>
      </c>
      <c r="D183" s="1860">
        <v>0.127</v>
      </c>
      <c r="E183" s="1860">
        <v>0.128</v>
      </c>
      <c r="F183" s="1868"/>
    </row>
    <row r="184" spans="1:6" ht="15" thickBot="1">
      <c r="A184" s="1855" t="s">
        <v>1411</v>
      </c>
      <c r="B184" s="1859" t="s">
        <v>1323</v>
      </c>
      <c r="C184" s="1860">
        <v>0.125</v>
      </c>
      <c r="D184" s="1860">
        <v>0.125</v>
      </c>
      <c r="E184" s="1860">
        <v>0.127</v>
      </c>
      <c r="F184" s="1868"/>
    </row>
    <row r="185" spans="1:6" ht="15" thickBot="1">
      <c r="A185" s="1855" t="s">
        <v>1411</v>
      </c>
      <c r="B185" s="1859" t="s">
        <v>2132</v>
      </c>
      <c r="C185" s="1860">
        <v>0.127</v>
      </c>
      <c r="D185" s="1860">
        <v>0.127</v>
      </c>
      <c r="E185" s="1860">
        <v>0.128</v>
      </c>
      <c r="F185" s="1861">
        <v>0.13</v>
      </c>
    </row>
    <row r="186" spans="1:6" ht="24.6" thickBot="1">
      <c r="A186" s="1855" t="s">
        <v>1411</v>
      </c>
      <c r="B186" s="1859" t="s">
        <v>2133</v>
      </c>
      <c r="C186" s="1869"/>
      <c r="D186" s="1869"/>
      <c r="E186" s="1869"/>
      <c r="F186" s="1861">
        <v>0.05</v>
      </c>
    </row>
    <row r="187" spans="1:6" ht="15" thickBot="1">
      <c r="A187" s="1855" t="s">
        <v>1411</v>
      </c>
      <c r="B187" s="1859" t="s">
        <v>2134</v>
      </c>
      <c r="C187" s="1869"/>
      <c r="D187" s="1869"/>
      <c r="E187" s="1869"/>
      <c r="F187" s="1861">
        <v>0.05</v>
      </c>
    </row>
    <row r="188" spans="1:6" ht="24.6" thickBot="1">
      <c r="A188" s="1855" t="s">
        <v>1411</v>
      </c>
      <c r="B188" s="1859" t="s">
        <v>2135</v>
      </c>
      <c r="C188" s="1869"/>
      <c r="D188" s="1869"/>
      <c r="E188" s="1869"/>
      <c r="F188" s="1861">
        <v>0.05</v>
      </c>
    </row>
    <row r="189" spans="1:6" ht="24.6" thickBot="1">
      <c r="A189" s="1855" t="s">
        <v>1411</v>
      </c>
      <c r="B189" s="1859" t="s">
        <v>2136</v>
      </c>
      <c r="C189" s="1869"/>
      <c r="D189" s="1869"/>
      <c r="E189" s="1869"/>
      <c r="F189" s="1861">
        <v>0.05</v>
      </c>
    </row>
    <row r="190" spans="1:6" ht="24.6" thickBot="1">
      <c r="A190" s="1855" t="s">
        <v>1411</v>
      </c>
      <c r="B190" s="1859" t="s">
        <v>2137</v>
      </c>
      <c r="C190" s="1869"/>
      <c r="D190" s="1869"/>
      <c r="E190" s="1869"/>
      <c r="F190" s="1861">
        <v>0.05</v>
      </c>
    </row>
    <row r="191" spans="1:6" ht="24.6" thickBot="1">
      <c r="A191" s="1855" t="s">
        <v>1411</v>
      </c>
      <c r="B191" s="1859" t="s">
        <v>2138</v>
      </c>
      <c r="C191" s="1869"/>
      <c r="D191" s="1869"/>
      <c r="E191" s="1869"/>
      <c r="F191" s="1861">
        <v>0.05</v>
      </c>
    </row>
    <row r="192" spans="1:6" ht="24.6" thickBot="1">
      <c r="A192" s="1855" t="s">
        <v>1411</v>
      </c>
      <c r="B192" s="1859" t="s">
        <v>2139</v>
      </c>
      <c r="C192" s="1869"/>
      <c r="D192" s="1869"/>
      <c r="E192" s="1869"/>
      <c r="F192" s="1861">
        <v>0.05</v>
      </c>
    </row>
    <row r="193" spans="1:6" ht="24.6" thickBot="1">
      <c r="A193" s="1855" t="s">
        <v>1411</v>
      </c>
      <c r="B193" s="1859" t="s">
        <v>2140</v>
      </c>
      <c r="C193" s="1869"/>
      <c r="D193" s="1869"/>
      <c r="E193" s="1869"/>
      <c r="F193" s="1861">
        <v>0.05</v>
      </c>
    </row>
    <row r="194" spans="1:6" ht="24.6" thickBot="1">
      <c r="A194" s="1855" t="s">
        <v>1411</v>
      </c>
      <c r="B194" s="1859" t="s">
        <v>2141</v>
      </c>
      <c r="C194" s="1869"/>
      <c r="D194" s="1869"/>
      <c r="E194" s="1869"/>
      <c r="F194" s="1861">
        <v>0.05</v>
      </c>
    </row>
    <row r="195" spans="1:6" ht="15" thickBot="1">
      <c r="A195" s="1855" t="s">
        <v>1411</v>
      </c>
      <c r="B195" s="1859" t="s">
        <v>2142</v>
      </c>
      <c r="C195" s="1869"/>
      <c r="D195" s="1869"/>
      <c r="E195" s="1869"/>
      <c r="F195" s="1861">
        <v>0.05</v>
      </c>
    </row>
    <row r="196" spans="1:6" ht="24.6" thickBot="1">
      <c r="A196" s="1855" t="s">
        <v>1411</v>
      </c>
      <c r="B196" s="1859" t="s">
        <v>2143</v>
      </c>
      <c r="C196" s="1869"/>
      <c r="D196" s="1869"/>
      <c r="E196" s="1869"/>
      <c r="F196" s="1861">
        <v>0.05</v>
      </c>
    </row>
    <row r="197" spans="1:6" ht="24.6" thickBot="1">
      <c r="A197" s="1855" t="s">
        <v>1411</v>
      </c>
      <c r="B197" s="1859" t="s">
        <v>2144</v>
      </c>
      <c r="C197" s="1869"/>
      <c r="D197" s="1869"/>
      <c r="E197" s="1869"/>
      <c r="F197" s="1861">
        <v>0.05</v>
      </c>
    </row>
    <row r="198" spans="1:6" ht="24.6" thickBot="1">
      <c r="A198" s="1855" t="s">
        <v>1411</v>
      </c>
      <c r="B198" s="1859" t="s">
        <v>2145</v>
      </c>
      <c r="C198" s="1869"/>
      <c r="D198" s="1869"/>
      <c r="E198" s="1869"/>
      <c r="F198" s="1861">
        <v>0.05</v>
      </c>
    </row>
    <row r="199" spans="1:6" ht="24.6" thickBot="1">
      <c r="A199" s="1855" t="s">
        <v>1411</v>
      </c>
      <c r="B199" s="1859" t="s">
        <v>2146</v>
      </c>
      <c r="C199" s="1869"/>
      <c r="D199" s="1869"/>
      <c r="E199" s="1869"/>
      <c r="F199" s="1861">
        <v>0.05</v>
      </c>
    </row>
    <row r="200" spans="1:6" ht="24.6" thickBot="1">
      <c r="A200" s="1855" t="s">
        <v>1411</v>
      </c>
      <c r="B200" s="1859" t="s">
        <v>2147</v>
      </c>
      <c r="C200" s="1869"/>
      <c r="D200" s="1869"/>
      <c r="E200" s="1869"/>
      <c r="F200" s="1861">
        <v>0.05</v>
      </c>
    </row>
    <row r="201" spans="1:6" ht="24.6" thickBot="1">
      <c r="A201" s="1855" t="s">
        <v>1411</v>
      </c>
      <c r="B201" s="1859" t="s">
        <v>2148</v>
      </c>
      <c r="C201" s="1869"/>
      <c r="D201" s="1869"/>
      <c r="E201" s="1869"/>
      <c r="F201" s="1861">
        <v>0.05</v>
      </c>
    </row>
    <row r="202" spans="1:6" ht="24.6" thickBot="1">
      <c r="A202" s="1855" t="s">
        <v>1411</v>
      </c>
      <c r="B202" s="1859" t="s">
        <v>2149</v>
      </c>
      <c r="C202" s="1869"/>
      <c r="D202" s="1869"/>
      <c r="E202" s="1869"/>
      <c r="F202" s="1861">
        <v>0.05</v>
      </c>
    </row>
    <row r="203" spans="1:6" ht="24.6" thickBot="1">
      <c r="A203" s="1855" t="s">
        <v>1411</v>
      </c>
      <c r="B203" s="1859" t="s">
        <v>2150</v>
      </c>
      <c r="C203" s="1869"/>
      <c r="D203" s="1869"/>
      <c r="E203" s="1869"/>
      <c r="F203" s="1861">
        <v>0.05</v>
      </c>
    </row>
    <row r="204" spans="1:6" ht="15" thickBot="1">
      <c r="A204" s="1855" t="s">
        <v>1411</v>
      </c>
      <c r="B204" s="1859" t="s">
        <v>2151</v>
      </c>
      <c r="C204" s="1869"/>
      <c r="D204" s="1869"/>
      <c r="E204" s="1869"/>
      <c r="F204" s="1861">
        <v>0.05</v>
      </c>
    </row>
    <row r="205" spans="1:6" ht="15" thickBot="1">
      <c r="A205" s="1863" t="s">
        <v>1411</v>
      </c>
      <c r="B205" s="1870" t="s">
        <v>2152</v>
      </c>
      <c r="C205" s="1866"/>
      <c r="D205" s="1866"/>
      <c r="E205" s="1866"/>
      <c r="F205" s="1871">
        <v>0.05</v>
      </c>
    </row>
    <row r="206" spans="1:6" ht="15" thickBot="1">
      <c r="A206" s="1855" t="s">
        <v>1413</v>
      </c>
      <c r="B206" s="1856" t="s">
        <v>2153</v>
      </c>
      <c r="C206" s="1857">
        <v>0.15</v>
      </c>
      <c r="D206" s="1857">
        <v>0.15</v>
      </c>
      <c r="E206" s="1857">
        <v>0.15</v>
      </c>
      <c r="F206" s="1858">
        <v>0.15</v>
      </c>
    </row>
    <row r="207" spans="1:6" ht="15" thickBot="1">
      <c r="A207" s="1855" t="s">
        <v>1413</v>
      </c>
      <c r="B207" s="1859" t="s">
        <v>1077</v>
      </c>
      <c r="C207" s="1860">
        <v>0.15</v>
      </c>
      <c r="D207" s="1860">
        <v>0.15</v>
      </c>
      <c r="E207" s="1860">
        <v>0.15</v>
      </c>
      <c r="F207" s="1861">
        <v>0.14399999999999999</v>
      </c>
    </row>
    <row r="208" spans="1:6" ht="15" thickBot="1">
      <c r="A208" s="1855" t="s">
        <v>1413</v>
      </c>
      <c r="B208" s="1859" t="s">
        <v>1091</v>
      </c>
      <c r="C208" s="1860">
        <v>0.15</v>
      </c>
      <c r="D208" s="1860">
        <v>0.15</v>
      </c>
      <c r="E208" s="1860">
        <v>0.15</v>
      </c>
      <c r="F208" s="1861">
        <v>0.15</v>
      </c>
    </row>
    <row r="209" spans="1:6" ht="15" thickBot="1">
      <c r="A209" s="1855" t="s">
        <v>1413</v>
      </c>
      <c r="B209" s="1859" t="s">
        <v>1104</v>
      </c>
      <c r="C209" s="1860">
        <v>0.13700000000000001</v>
      </c>
      <c r="D209" s="1860">
        <v>0.13700000000000001</v>
      </c>
      <c r="E209" s="1860">
        <v>0.14000000000000001</v>
      </c>
      <c r="F209" s="1861">
        <v>0.11700000000000001</v>
      </c>
    </row>
    <row r="210" spans="1:6" ht="15" thickBot="1">
      <c r="A210" s="1855" t="s">
        <v>1413</v>
      </c>
      <c r="B210" s="1859" t="s">
        <v>2154</v>
      </c>
      <c r="C210" s="1860">
        <v>0.15</v>
      </c>
      <c r="D210" s="1860">
        <v>0.15</v>
      </c>
      <c r="E210" s="1860">
        <v>0.15</v>
      </c>
      <c r="F210" s="1861">
        <v>0.13800000000000001</v>
      </c>
    </row>
    <row r="211" spans="1:6" ht="15" thickBot="1">
      <c r="A211" s="1855" t="s">
        <v>1413</v>
      </c>
      <c r="B211" s="1859" t="s">
        <v>2155</v>
      </c>
      <c r="C211" s="1860">
        <v>0.13700000000000001</v>
      </c>
      <c r="D211" s="1860">
        <v>0.13500000000000001</v>
      </c>
      <c r="E211" s="1860">
        <v>0.13600000000000001</v>
      </c>
      <c r="F211" s="1861">
        <v>0.1</v>
      </c>
    </row>
    <row r="212" spans="1:6" ht="15" thickBot="1">
      <c r="A212" s="1855" t="s">
        <v>1413</v>
      </c>
      <c r="B212" s="1859" t="s">
        <v>2156</v>
      </c>
      <c r="C212" s="1860">
        <v>0.15</v>
      </c>
      <c r="D212" s="1860">
        <v>0.15</v>
      </c>
      <c r="E212" s="1860">
        <v>0.14799999999999999</v>
      </c>
      <c r="F212" s="1861">
        <v>0.13600000000000001</v>
      </c>
    </row>
    <row r="213" spans="1:6" ht="15" thickBot="1">
      <c r="A213" s="1855" t="s">
        <v>1413</v>
      </c>
      <c r="B213" s="1859" t="s">
        <v>1151</v>
      </c>
      <c r="C213" s="1860">
        <v>0.15</v>
      </c>
      <c r="D213" s="1860">
        <v>0.15</v>
      </c>
      <c r="E213" s="1860">
        <v>0.15</v>
      </c>
      <c r="F213" s="1861">
        <v>0.13800000000000001</v>
      </c>
    </row>
    <row r="214" spans="1:6" ht="15" thickBot="1">
      <c r="A214" s="1855" t="s">
        <v>1413</v>
      </c>
      <c r="B214" s="1859" t="s">
        <v>1163</v>
      </c>
      <c r="C214" s="1860">
        <v>9.0999999999999998E-2</v>
      </c>
      <c r="D214" s="1860">
        <v>0.09</v>
      </c>
      <c r="E214" s="1860">
        <v>9.1999999999999998E-2</v>
      </c>
      <c r="F214" s="1868"/>
    </row>
    <row r="215" spans="1:6" ht="15" thickBot="1">
      <c r="A215" s="1855" t="s">
        <v>1413</v>
      </c>
      <c r="B215" s="1859" t="s">
        <v>2157</v>
      </c>
      <c r="C215" s="1860">
        <v>0.15</v>
      </c>
      <c r="D215" s="1860">
        <v>0.15</v>
      </c>
      <c r="E215" s="1860">
        <v>0.15</v>
      </c>
      <c r="F215" s="1861">
        <v>0.15</v>
      </c>
    </row>
    <row r="216" spans="1:6" ht="15" thickBot="1">
      <c r="A216" s="1855" t="s">
        <v>1413</v>
      </c>
      <c r="B216" s="1859" t="s">
        <v>1183</v>
      </c>
      <c r="C216" s="1860">
        <v>0.14699999999999999</v>
      </c>
      <c r="D216" s="1860">
        <v>0.14699999999999999</v>
      </c>
      <c r="E216" s="1860">
        <v>0.15</v>
      </c>
      <c r="F216" s="1861">
        <v>0.14000000000000001</v>
      </c>
    </row>
    <row r="217" spans="1:6" ht="15" thickBot="1">
      <c r="A217" s="1855" t="s">
        <v>1413</v>
      </c>
      <c r="B217" s="1859" t="s">
        <v>1193</v>
      </c>
      <c r="C217" s="1860">
        <v>0.15</v>
      </c>
      <c r="D217" s="1860">
        <v>0.15</v>
      </c>
      <c r="E217" s="1860">
        <v>0.15</v>
      </c>
      <c r="F217" s="1861">
        <v>0.15</v>
      </c>
    </row>
    <row r="218" spans="1:6" ht="15" thickBot="1">
      <c r="A218" s="1855" t="s">
        <v>1413</v>
      </c>
      <c r="B218" s="1859" t="s">
        <v>2158</v>
      </c>
      <c r="C218" s="1860">
        <v>0.15</v>
      </c>
      <c r="D218" s="1860">
        <v>0.15</v>
      </c>
      <c r="E218" s="1860">
        <v>0.15</v>
      </c>
      <c r="F218" s="1861">
        <v>0.15</v>
      </c>
    </row>
    <row r="219" spans="1:6" ht="15" thickBot="1">
      <c r="A219" s="1855" t="s">
        <v>1413</v>
      </c>
      <c r="B219" s="1859" t="s">
        <v>1213</v>
      </c>
      <c r="C219" s="1860">
        <v>0.15</v>
      </c>
      <c r="D219" s="1860">
        <v>0.15</v>
      </c>
      <c r="E219" s="1860">
        <v>0.15</v>
      </c>
      <c r="F219" s="1861">
        <v>0.14799999999999999</v>
      </c>
    </row>
    <row r="220" spans="1:6" ht="15" thickBot="1">
      <c r="A220" s="1855" t="s">
        <v>1413</v>
      </c>
      <c r="B220" s="1859" t="s">
        <v>2159</v>
      </c>
      <c r="C220" s="1860">
        <v>0.15</v>
      </c>
      <c r="D220" s="1860">
        <v>0.15</v>
      </c>
      <c r="E220" s="1860">
        <v>0.15</v>
      </c>
      <c r="F220" s="1861">
        <v>0.15</v>
      </c>
    </row>
    <row r="221" spans="1:6" ht="15" thickBot="1">
      <c r="A221" s="1855" t="s">
        <v>1413</v>
      </c>
      <c r="B221" s="1859" t="s">
        <v>1233</v>
      </c>
      <c r="C221" s="1860"/>
      <c r="D221" s="1869"/>
      <c r="E221" s="1869"/>
      <c r="F221" s="1861">
        <v>0.14799999999999999</v>
      </c>
    </row>
    <row r="222" spans="1:6" ht="15" thickBot="1">
      <c r="A222" s="1855" t="s">
        <v>1413</v>
      </c>
      <c r="B222" s="1859" t="s">
        <v>1243</v>
      </c>
      <c r="C222" s="1860"/>
      <c r="D222" s="1869"/>
      <c r="E222" s="1869"/>
      <c r="F222" s="1861">
        <v>0.1</v>
      </c>
    </row>
    <row r="223" spans="1:6" ht="15" thickBot="1">
      <c r="A223" s="1855" t="s">
        <v>1413</v>
      </c>
      <c r="B223" s="1859" t="s">
        <v>1253</v>
      </c>
      <c r="C223" s="1860"/>
      <c r="D223" s="1869"/>
      <c r="E223" s="1869"/>
      <c r="F223" s="1861">
        <v>0.15</v>
      </c>
    </row>
    <row r="224" spans="1:6" ht="15" thickBot="1">
      <c r="A224" s="1855" t="s">
        <v>1413</v>
      </c>
      <c r="B224" s="1859" t="s">
        <v>1263</v>
      </c>
      <c r="C224" s="1860"/>
      <c r="D224" s="1869"/>
      <c r="E224" s="1869"/>
      <c r="F224" s="1861">
        <v>0.15</v>
      </c>
    </row>
    <row r="225" spans="1:6" ht="15" thickBot="1">
      <c r="A225" s="1855" t="s">
        <v>1413</v>
      </c>
      <c r="B225" s="1859" t="s">
        <v>2160</v>
      </c>
      <c r="C225" s="1860">
        <v>0.15</v>
      </c>
      <c r="D225" s="1860">
        <v>0.15</v>
      </c>
      <c r="E225" s="1860">
        <v>0.15</v>
      </c>
      <c r="F225" s="1861">
        <v>0.15</v>
      </c>
    </row>
    <row r="226" spans="1:6" ht="15" thickBot="1">
      <c r="A226" s="1855" t="s">
        <v>1413</v>
      </c>
      <c r="B226" s="1859" t="s">
        <v>1281</v>
      </c>
      <c r="C226" s="1860">
        <v>0.15</v>
      </c>
      <c r="D226" s="1860">
        <v>0.15</v>
      </c>
      <c r="E226" s="1860">
        <v>0.15</v>
      </c>
      <c r="F226" s="1861">
        <v>0.14799999999999999</v>
      </c>
    </row>
    <row r="227" spans="1:6" ht="15" thickBot="1">
      <c r="A227" s="1855" t="s">
        <v>1413</v>
      </c>
      <c r="B227" s="1859" t="s">
        <v>2161</v>
      </c>
      <c r="C227" s="1860">
        <v>0.15</v>
      </c>
      <c r="D227" s="1860">
        <v>0.15</v>
      </c>
      <c r="E227" s="1860">
        <v>0.15</v>
      </c>
      <c r="F227" s="1861">
        <v>0.15</v>
      </c>
    </row>
    <row r="228" spans="1:6" ht="15" thickBot="1">
      <c r="A228" s="1855" t="s">
        <v>1413</v>
      </c>
      <c r="B228" s="1859" t="s">
        <v>1296</v>
      </c>
      <c r="C228" s="1860">
        <v>0.15</v>
      </c>
      <c r="D228" s="1860">
        <v>0.15</v>
      </c>
      <c r="E228" s="1860">
        <v>0.15</v>
      </c>
      <c r="F228" s="1861">
        <v>0.15</v>
      </c>
    </row>
    <row r="229" spans="1:6" ht="15" thickBot="1">
      <c r="A229" s="1855" t="s">
        <v>1413</v>
      </c>
      <c r="B229" s="1859" t="s">
        <v>1303</v>
      </c>
      <c r="C229" s="1860">
        <v>0.15</v>
      </c>
      <c r="D229" s="1860">
        <v>0.15</v>
      </c>
      <c r="E229" s="1860">
        <v>0.15</v>
      </c>
      <c r="F229" s="1868"/>
    </row>
    <row r="230" spans="1:6" ht="15" thickBot="1">
      <c r="A230" s="1855" t="s">
        <v>1413</v>
      </c>
      <c r="B230" s="1859" t="s">
        <v>1310</v>
      </c>
      <c r="C230" s="1860">
        <v>0.14499999999999999</v>
      </c>
      <c r="D230" s="1860">
        <v>0.14499999999999999</v>
      </c>
      <c r="E230" s="1860">
        <v>0.14399999999999999</v>
      </c>
      <c r="F230" s="1868"/>
    </row>
    <row r="231" spans="1:6" ht="15" thickBot="1">
      <c r="A231" s="1855" t="s">
        <v>1413</v>
      </c>
      <c r="B231" s="1859" t="s">
        <v>2162</v>
      </c>
      <c r="C231" s="1860">
        <v>0.128</v>
      </c>
      <c r="D231" s="1860">
        <v>0.125</v>
      </c>
      <c r="E231" s="1860">
        <v>0.13200000000000001</v>
      </c>
      <c r="F231" s="1868"/>
    </row>
    <row r="232" spans="1:6" ht="15" thickBot="1">
      <c r="A232" s="1855" t="s">
        <v>1413</v>
      </c>
      <c r="B232" s="1859" t="s">
        <v>2163</v>
      </c>
      <c r="C232" s="1860">
        <v>0.14499999999999999</v>
      </c>
      <c r="D232" s="1860">
        <v>0.14399999999999999</v>
      </c>
      <c r="E232" s="1860">
        <v>0.14599999999999999</v>
      </c>
      <c r="F232" s="1861">
        <v>0.13800000000000001</v>
      </c>
    </row>
    <row r="233" spans="1:6" ht="15" thickBot="1">
      <c r="A233" s="1855" t="s">
        <v>1413</v>
      </c>
      <c r="B233" s="1859" t="s">
        <v>2164</v>
      </c>
      <c r="C233" s="1860">
        <v>0.14499999999999999</v>
      </c>
      <c r="D233" s="1860">
        <v>0.14299999999999999</v>
      </c>
      <c r="E233" s="1860">
        <v>0.14199999999999999</v>
      </c>
      <c r="F233" s="1868"/>
    </row>
    <row r="234" spans="1:6" ht="15" thickBot="1">
      <c r="A234" s="1855" t="s">
        <v>1413</v>
      </c>
      <c r="B234" s="1859" t="s">
        <v>2165</v>
      </c>
      <c r="C234" s="1860">
        <v>0.14000000000000001</v>
      </c>
      <c r="D234" s="1860">
        <v>0.14000000000000001</v>
      </c>
      <c r="E234" s="1860">
        <v>0.14399999999999999</v>
      </c>
      <c r="F234" s="1868"/>
    </row>
    <row r="235" spans="1:6" ht="15" thickBot="1">
      <c r="A235" s="1855" t="s">
        <v>1413</v>
      </c>
      <c r="B235" s="1859" t="s">
        <v>2166</v>
      </c>
      <c r="C235" s="1860">
        <v>0.14099999999999999</v>
      </c>
      <c r="D235" s="1860">
        <v>0.14199999999999999</v>
      </c>
      <c r="E235" s="1860">
        <v>0.14499999999999999</v>
      </c>
      <c r="F235" s="1861">
        <v>0.15</v>
      </c>
    </row>
    <row r="236" spans="1:6" ht="15" thickBot="1">
      <c r="A236" s="1855" t="s">
        <v>1413</v>
      </c>
      <c r="B236" s="1859" t="s">
        <v>1345</v>
      </c>
      <c r="C236" s="1869"/>
      <c r="D236" s="1869"/>
      <c r="E236" s="1869"/>
      <c r="F236" s="1861">
        <v>0.14299999999999999</v>
      </c>
    </row>
    <row r="237" spans="1:6" ht="24.6" thickBot="1">
      <c r="A237" s="1855" t="s">
        <v>1413</v>
      </c>
      <c r="B237" s="1859" t="s">
        <v>2167</v>
      </c>
      <c r="C237" s="1869"/>
      <c r="D237" s="1869"/>
      <c r="E237" s="1869"/>
      <c r="F237" s="1861">
        <v>0.05</v>
      </c>
    </row>
    <row r="238" spans="1:6" ht="24.6" thickBot="1">
      <c r="A238" s="1855" t="s">
        <v>1413</v>
      </c>
      <c r="B238" s="1859" t="s">
        <v>2168</v>
      </c>
      <c r="C238" s="1869"/>
      <c r="D238" s="1869"/>
      <c r="E238" s="1869"/>
      <c r="F238" s="1861">
        <v>0.05</v>
      </c>
    </row>
    <row r="239" spans="1:6" ht="24.6" thickBot="1">
      <c r="A239" s="1855" t="s">
        <v>1413</v>
      </c>
      <c r="B239" s="1859" t="s">
        <v>2169</v>
      </c>
      <c r="C239" s="1869"/>
      <c r="D239" s="1869"/>
      <c r="E239" s="1869"/>
      <c r="F239" s="1861">
        <v>0.05</v>
      </c>
    </row>
    <row r="240" spans="1:6" ht="24.6" thickBot="1">
      <c r="A240" s="1855" t="s">
        <v>1413</v>
      </c>
      <c r="B240" s="1859" t="s">
        <v>2170</v>
      </c>
      <c r="C240" s="1869"/>
      <c r="D240" s="1869"/>
      <c r="E240" s="1869"/>
      <c r="F240" s="1861">
        <v>0.05</v>
      </c>
    </row>
    <row r="241" spans="1:6" ht="24.6" thickBot="1">
      <c r="A241" s="1855" t="s">
        <v>1413</v>
      </c>
      <c r="B241" s="1859" t="s">
        <v>2171</v>
      </c>
      <c r="C241" s="1869"/>
      <c r="D241" s="1869"/>
      <c r="E241" s="1869"/>
      <c r="F241" s="1861">
        <v>0.05</v>
      </c>
    </row>
    <row r="242" spans="1:6" ht="24.6" thickBot="1">
      <c r="A242" s="1855" t="s">
        <v>1413</v>
      </c>
      <c r="B242" s="1859" t="s">
        <v>2172</v>
      </c>
      <c r="C242" s="1869"/>
      <c r="D242" s="1869"/>
      <c r="E242" s="1869"/>
      <c r="F242" s="1861">
        <v>0.05</v>
      </c>
    </row>
    <row r="243" spans="1:6" ht="24.6" thickBot="1">
      <c r="A243" s="1855" t="s">
        <v>1413</v>
      </c>
      <c r="B243" s="1859" t="s">
        <v>2173</v>
      </c>
      <c r="C243" s="1869"/>
      <c r="D243" s="1869"/>
      <c r="E243" s="1869"/>
      <c r="F243" s="1861">
        <v>0.05</v>
      </c>
    </row>
    <row r="244" spans="1:6" ht="24.6" thickBot="1">
      <c r="A244" s="1863" t="s">
        <v>1413</v>
      </c>
      <c r="B244" s="1870" t="s">
        <v>2174</v>
      </c>
      <c r="C244" s="1866"/>
      <c r="D244" s="1866"/>
      <c r="E244" s="1866"/>
      <c r="F244" s="1871">
        <v>0.05</v>
      </c>
    </row>
    <row r="245" spans="1:6" ht="15" thickBot="1">
      <c r="A245" s="1855" t="s">
        <v>1415</v>
      </c>
      <c r="B245" s="1856" t="s">
        <v>2175</v>
      </c>
      <c r="C245" s="1857">
        <v>0.15</v>
      </c>
      <c r="D245" s="1857">
        <v>0.15</v>
      </c>
      <c r="E245" s="1857">
        <v>0.15</v>
      </c>
      <c r="F245" s="1858">
        <v>0.14299999999999999</v>
      </c>
    </row>
    <row r="246" spans="1:6" ht="15" thickBot="1">
      <c r="A246" s="1855" t="s">
        <v>1415</v>
      </c>
      <c r="B246" s="1859" t="s">
        <v>1078</v>
      </c>
      <c r="C246" s="1860">
        <v>0.15</v>
      </c>
      <c r="D246" s="1860">
        <v>0.15</v>
      </c>
      <c r="E246" s="1860">
        <v>0.15</v>
      </c>
      <c r="F246" s="1861">
        <v>0.114</v>
      </c>
    </row>
    <row r="247" spans="1:6" ht="15" thickBot="1">
      <c r="A247" s="1855" t="s">
        <v>1415</v>
      </c>
      <c r="B247" s="1859" t="s">
        <v>2176</v>
      </c>
      <c r="C247" s="1860">
        <v>0.15</v>
      </c>
      <c r="D247" s="1860">
        <v>0.15</v>
      </c>
      <c r="E247" s="1860">
        <v>0.15</v>
      </c>
      <c r="F247" s="1861">
        <v>0.15</v>
      </c>
    </row>
    <row r="248" spans="1:6" ht="15" thickBot="1">
      <c r="A248" s="1855" t="s">
        <v>1415</v>
      </c>
      <c r="B248" s="1859" t="s">
        <v>2177</v>
      </c>
      <c r="C248" s="1860">
        <v>0.15</v>
      </c>
      <c r="D248" s="1860">
        <v>0.15</v>
      </c>
      <c r="E248" s="1860">
        <v>0.15</v>
      </c>
      <c r="F248" s="1861">
        <v>0.14000000000000001</v>
      </c>
    </row>
    <row r="249" spans="1:6" ht="15" thickBot="1">
      <c r="A249" s="1855" t="s">
        <v>1415</v>
      </c>
      <c r="B249" s="1859" t="s">
        <v>2178</v>
      </c>
      <c r="C249" s="1860">
        <v>0.15</v>
      </c>
      <c r="D249" s="1860">
        <v>0.14899999999999999</v>
      </c>
      <c r="E249" s="1860">
        <v>0.15</v>
      </c>
      <c r="F249" s="1861">
        <v>0.1</v>
      </c>
    </row>
    <row r="250" spans="1:6" ht="15" thickBot="1">
      <c r="A250" s="1855" t="s">
        <v>1415</v>
      </c>
      <c r="B250" s="1859" t="s">
        <v>2179</v>
      </c>
      <c r="C250" s="1860">
        <v>0.15</v>
      </c>
      <c r="D250" s="1860">
        <v>0.15</v>
      </c>
      <c r="E250" s="1860">
        <v>0.15</v>
      </c>
      <c r="F250" s="1861">
        <v>0.14399999999999999</v>
      </c>
    </row>
    <row r="251" spans="1:6" ht="15" thickBot="1">
      <c r="A251" s="1855" t="s">
        <v>1415</v>
      </c>
      <c r="B251" s="1859" t="s">
        <v>1141</v>
      </c>
      <c r="C251" s="1860">
        <v>0.15</v>
      </c>
      <c r="D251" s="1860">
        <v>0.15</v>
      </c>
      <c r="E251" s="1860">
        <v>0.15</v>
      </c>
      <c r="F251" s="1861">
        <v>0.14299999999999999</v>
      </c>
    </row>
    <row r="252" spans="1:6" ht="15" thickBot="1">
      <c r="A252" s="1855" t="s">
        <v>1415</v>
      </c>
      <c r="B252" s="1859" t="s">
        <v>1152</v>
      </c>
      <c r="C252" s="1860">
        <v>0.15</v>
      </c>
      <c r="D252" s="1860">
        <v>0.15</v>
      </c>
      <c r="E252" s="1860">
        <v>0.15</v>
      </c>
      <c r="F252" s="1861">
        <v>0.1</v>
      </c>
    </row>
    <row r="253" spans="1:6" ht="15" thickBot="1">
      <c r="A253" s="1855" t="s">
        <v>1415</v>
      </c>
      <c r="B253" s="1859" t="s">
        <v>1164</v>
      </c>
      <c r="C253" s="1860">
        <v>0.15</v>
      </c>
      <c r="D253" s="1860">
        <v>0.15</v>
      </c>
      <c r="E253" s="1860">
        <v>0.15</v>
      </c>
      <c r="F253" s="1861">
        <v>0.1</v>
      </c>
    </row>
    <row r="254" spans="1:6" ht="15" thickBot="1">
      <c r="A254" s="1855" t="s">
        <v>1415</v>
      </c>
      <c r="B254" s="1859" t="s">
        <v>1174</v>
      </c>
      <c r="C254" s="1869"/>
      <c r="D254" s="1869"/>
      <c r="E254" s="1869"/>
      <c r="F254" s="1861">
        <v>0.15</v>
      </c>
    </row>
    <row r="255" spans="1:6" ht="15" thickBot="1">
      <c r="A255" s="1855" t="s">
        <v>1415</v>
      </c>
      <c r="B255" s="1859" t="s">
        <v>1184</v>
      </c>
      <c r="C255" s="1869"/>
      <c r="D255" s="1869"/>
      <c r="E255" s="1869"/>
      <c r="F255" s="1861">
        <v>0.14299999999999999</v>
      </c>
    </row>
    <row r="256" spans="1:6" ht="15" thickBot="1">
      <c r="A256" s="1855" t="s">
        <v>1415</v>
      </c>
      <c r="B256" s="1859" t="s">
        <v>2180</v>
      </c>
      <c r="C256" s="1860">
        <v>0.14599999999999999</v>
      </c>
      <c r="D256" s="1860">
        <v>0.14699999999999999</v>
      </c>
      <c r="E256" s="1860">
        <v>0.15</v>
      </c>
      <c r="F256" s="1861">
        <v>0.13200000000000001</v>
      </c>
    </row>
    <row r="257" spans="1:6" ht="15" thickBot="1">
      <c r="A257" s="1855" t="s">
        <v>1415</v>
      </c>
      <c r="B257" s="1859" t="s">
        <v>1204</v>
      </c>
      <c r="C257" s="1860">
        <v>0.15</v>
      </c>
      <c r="D257" s="1860">
        <v>0.15</v>
      </c>
      <c r="E257" s="1860">
        <v>0.15</v>
      </c>
      <c r="F257" s="1861">
        <v>0.13900000000000001</v>
      </c>
    </row>
    <row r="258" spans="1:6" ht="15" thickBot="1">
      <c r="A258" s="1855" t="s">
        <v>1415</v>
      </c>
      <c r="B258" s="1859" t="s">
        <v>1214</v>
      </c>
      <c r="C258" s="1860">
        <v>0.15</v>
      </c>
      <c r="D258" s="1860">
        <v>0.15</v>
      </c>
      <c r="E258" s="1860">
        <v>0.15</v>
      </c>
      <c r="F258" s="1861">
        <v>0.13</v>
      </c>
    </row>
    <row r="259" spans="1:6" ht="15" thickBot="1">
      <c r="A259" s="1855" t="s">
        <v>1415</v>
      </c>
      <c r="B259" s="1859" t="s">
        <v>2181</v>
      </c>
      <c r="C259" s="1860">
        <v>0.14799999999999999</v>
      </c>
      <c r="D259" s="1860">
        <v>0.14899999999999999</v>
      </c>
      <c r="E259" s="1860">
        <v>0.15</v>
      </c>
      <c r="F259" s="1861">
        <v>0.13700000000000001</v>
      </c>
    </row>
    <row r="260" spans="1:6" ht="15" thickBot="1">
      <c r="A260" s="1855" t="s">
        <v>1415</v>
      </c>
      <c r="B260" s="1859" t="s">
        <v>1234</v>
      </c>
      <c r="C260" s="1860">
        <v>0.15</v>
      </c>
      <c r="D260" s="1860">
        <v>0.15</v>
      </c>
      <c r="E260" s="1860">
        <v>0.15</v>
      </c>
      <c r="F260" s="1861">
        <v>0.14199999999999999</v>
      </c>
    </row>
    <row r="261" spans="1:6" ht="15" thickBot="1">
      <c r="A261" s="1855" t="s">
        <v>1415</v>
      </c>
      <c r="B261" s="1859" t="s">
        <v>1244</v>
      </c>
      <c r="C261" s="1860">
        <v>0.15</v>
      </c>
      <c r="D261" s="1860">
        <v>0.15</v>
      </c>
      <c r="E261" s="1860">
        <v>0.14899999999999999</v>
      </c>
      <c r="F261" s="1861">
        <v>0.14799999999999999</v>
      </c>
    </row>
    <row r="262" spans="1:6" ht="15" thickBot="1">
      <c r="A262" s="1855" t="s">
        <v>1415</v>
      </c>
      <c r="B262" s="1859" t="s">
        <v>1254</v>
      </c>
      <c r="C262" s="1860">
        <v>0.15</v>
      </c>
      <c r="D262" s="1860">
        <v>0.15</v>
      </c>
      <c r="E262" s="1860">
        <v>0.15</v>
      </c>
      <c r="F262" s="1868"/>
    </row>
    <row r="263" spans="1:6" ht="15" thickBot="1">
      <c r="A263" s="1855" t="s">
        <v>1415</v>
      </c>
      <c r="B263" s="1859" t="s">
        <v>2182</v>
      </c>
      <c r="C263" s="1860">
        <v>0.14899999999999999</v>
      </c>
      <c r="D263" s="1860">
        <v>0.14899999999999999</v>
      </c>
      <c r="E263" s="1860">
        <v>0.15</v>
      </c>
      <c r="F263" s="1861">
        <v>0.13</v>
      </c>
    </row>
    <row r="264" spans="1:6" ht="15" thickBot="1">
      <c r="A264" s="1855" t="s">
        <v>1415</v>
      </c>
      <c r="B264" s="1859" t="s">
        <v>1273</v>
      </c>
      <c r="C264" s="1860">
        <v>0.14799999999999999</v>
      </c>
      <c r="D264" s="1860">
        <v>0.14699999999999999</v>
      </c>
      <c r="E264" s="1860">
        <v>0.15</v>
      </c>
      <c r="F264" s="1861">
        <v>7.8E-2</v>
      </c>
    </row>
    <row r="265" spans="1:6" ht="15" thickBot="1">
      <c r="A265" s="1855" t="s">
        <v>1415</v>
      </c>
      <c r="B265" s="1859" t="s">
        <v>1282</v>
      </c>
      <c r="C265" s="1860">
        <v>0.15</v>
      </c>
      <c r="D265" s="1860">
        <v>0.15</v>
      </c>
      <c r="E265" s="1860">
        <v>0.15</v>
      </c>
      <c r="F265" s="1861">
        <v>7.3999999999999996E-2</v>
      </c>
    </row>
    <row r="266" spans="1:6" ht="15" thickBot="1">
      <c r="A266" s="1855" t="s">
        <v>1415</v>
      </c>
      <c r="B266" s="1859" t="s">
        <v>1290</v>
      </c>
      <c r="C266" s="1860">
        <v>0.14699999999999999</v>
      </c>
      <c r="D266" s="1860">
        <v>0.14699999999999999</v>
      </c>
      <c r="E266" s="1860">
        <v>0.15</v>
      </c>
      <c r="F266" s="1861">
        <v>0.14299999999999999</v>
      </c>
    </row>
    <row r="267" spans="1:6" ht="15" thickBot="1">
      <c r="A267" s="1855" t="s">
        <v>1415</v>
      </c>
      <c r="B267" s="1859" t="s">
        <v>1297</v>
      </c>
      <c r="C267" s="1860">
        <v>0.14199999999999999</v>
      </c>
      <c r="D267" s="1860">
        <v>0.14299999999999999</v>
      </c>
      <c r="E267" s="1860">
        <v>0.15</v>
      </c>
      <c r="F267" s="1868"/>
    </row>
    <row r="268" spans="1:6" ht="15" thickBot="1">
      <c r="A268" s="1855" t="s">
        <v>1415</v>
      </c>
      <c r="B268" s="1859" t="s">
        <v>2183</v>
      </c>
      <c r="C268" s="1860">
        <v>0.15</v>
      </c>
      <c r="D268" s="1860">
        <v>0.15</v>
      </c>
      <c r="E268" s="1860">
        <v>0.15</v>
      </c>
      <c r="F268" s="1861">
        <v>0.13</v>
      </c>
    </row>
    <row r="269" spans="1:6" ht="15" thickBot="1">
      <c r="A269" s="1855" t="s">
        <v>1415</v>
      </c>
      <c r="B269" s="1859" t="s">
        <v>1311</v>
      </c>
      <c r="C269" s="1860">
        <v>0.15</v>
      </c>
      <c r="D269" s="1860">
        <v>0.15</v>
      </c>
      <c r="E269" s="1860">
        <v>0.15</v>
      </c>
      <c r="F269" s="1861">
        <v>0.14299999999999999</v>
      </c>
    </row>
    <row r="270" spans="1:6" ht="15" thickBot="1">
      <c r="A270" s="1855" t="s">
        <v>1415</v>
      </c>
      <c r="B270" s="1859" t="s">
        <v>1318</v>
      </c>
      <c r="C270" s="1860">
        <v>0.14499999999999999</v>
      </c>
      <c r="D270" s="1860">
        <v>0.14499999999999999</v>
      </c>
      <c r="E270" s="1860">
        <v>0.15</v>
      </c>
      <c r="F270" s="1861">
        <v>0.14699999999999999</v>
      </c>
    </row>
    <row r="271" spans="1:6" ht="15" thickBot="1">
      <c r="A271" s="1855" t="s">
        <v>1415</v>
      </c>
      <c r="B271" s="1859" t="s">
        <v>1325</v>
      </c>
      <c r="C271" s="1860">
        <v>0.15</v>
      </c>
      <c r="D271" s="1860">
        <v>0.15</v>
      </c>
      <c r="E271" s="1860">
        <v>0.15</v>
      </c>
      <c r="F271" s="1861">
        <v>0.13800000000000001</v>
      </c>
    </row>
    <row r="272" spans="1:6" ht="15" thickBot="1">
      <c r="A272" s="1855" t="s">
        <v>1415</v>
      </c>
      <c r="B272" s="1859" t="s">
        <v>1332</v>
      </c>
      <c r="C272" s="1869"/>
      <c r="D272" s="1869"/>
      <c r="E272" s="1869"/>
      <c r="F272" s="1861">
        <v>0.14000000000000001</v>
      </c>
    </row>
    <row r="273" spans="1:6" ht="15" thickBot="1">
      <c r="A273" s="1855" t="s">
        <v>1415</v>
      </c>
      <c r="B273" s="1859" t="s">
        <v>2184</v>
      </c>
      <c r="C273" s="1860">
        <v>0.14199999999999999</v>
      </c>
      <c r="D273" s="1860">
        <v>0.14299999999999999</v>
      </c>
      <c r="E273" s="1860">
        <v>0.15</v>
      </c>
      <c r="F273" s="1861">
        <v>0.1</v>
      </c>
    </row>
    <row r="274" spans="1:6" ht="15" thickBot="1">
      <c r="A274" s="1855" t="s">
        <v>1415</v>
      </c>
      <c r="B274" s="1859" t="s">
        <v>2185</v>
      </c>
      <c r="C274" s="1860">
        <v>0.14799999999999999</v>
      </c>
      <c r="D274" s="1860">
        <v>0.14799999999999999</v>
      </c>
      <c r="E274" s="1860">
        <v>0.15</v>
      </c>
      <c r="F274" s="1861">
        <v>6.7000000000000004E-2</v>
      </c>
    </row>
    <row r="275" spans="1:6" ht="15" thickBot="1">
      <c r="A275" s="1855" t="s">
        <v>1415</v>
      </c>
      <c r="B275" s="1859" t="s">
        <v>2186</v>
      </c>
      <c r="C275" s="1860">
        <v>0.15</v>
      </c>
      <c r="D275" s="1860">
        <v>0.15</v>
      </c>
      <c r="E275" s="1860">
        <v>0.15</v>
      </c>
      <c r="F275" s="1861">
        <v>0.15</v>
      </c>
    </row>
    <row r="276" spans="1:6" ht="15" thickBot="1">
      <c r="A276" s="1855" t="s">
        <v>1415</v>
      </c>
      <c r="B276" s="1859" t="s">
        <v>2187</v>
      </c>
      <c r="C276" s="1860">
        <v>0.14499999999999999</v>
      </c>
      <c r="D276" s="1860">
        <v>0.14299999999999999</v>
      </c>
      <c r="E276" s="1860">
        <v>0.15</v>
      </c>
      <c r="F276" s="1861">
        <v>5.8999999999999997E-2</v>
      </c>
    </row>
    <row r="277" spans="1:6" ht="15" thickBot="1">
      <c r="A277" s="1855" t="s">
        <v>1415</v>
      </c>
      <c r="B277" s="1859" t="s">
        <v>2188</v>
      </c>
      <c r="C277" s="1860">
        <v>0.15</v>
      </c>
      <c r="D277" s="1860">
        <v>0.15</v>
      </c>
      <c r="E277" s="1860">
        <v>0.15</v>
      </c>
      <c r="F277" s="1861">
        <v>0.121</v>
      </c>
    </row>
    <row r="278" spans="1:6" ht="15" thickBot="1">
      <c r="A278" s="1855" t="s">
        <v>1415</v>
      </c>
      <c r="B278" s="1859" t="s">
        <v>2189</v>
      </c>
      <c r="C278" s="1860">
        <v>0.15</v>
      </c>
      <c r="D278" s="1860">
        <v>0.15</v>
      </c>
      <c r="E278" s="1860">
        <v>0.15</v>
      </c>
      <c r="F278" s="1861">
        <v>0.13800000000000001</v>
      </c>
    </row>
    <row r="279" spans="1:6" ht="24.6" thickBot="1">
      <c r="A279" s="1855" t="s">
        <v>1415</v>
      </c>
      <c r="B279" s="1859" t="s">
        <v>2190</v>
      </c>
      <c r="C279" s="1869"/>
      <c r="D279" s="1869"/>
      <c r="E279" s="1869"/>
      <c r="F279" s="1861">
        <v>0.05</v>
      </c>
    </row>
    <row r="280" spans="1:6" ht="24.6" thickBot="1">
      <c r="A280" s="1855" t="s">
        <v>1415</v>
      </c>
      <c r="B280" s="1859" t="s">
        <v>2191</v>
      </c>
      <c r="C280" s="1869"/>
      <c r="D280" s="1869"/>
      <c r="E280" s="1869"/>
      <c r="F280" s="1861">
        <v>0.05</v>
      </c>
    </row>
    <row r="281" spans="1:6" ht="24.6" thickBot="1">
      <c r="A281" s="1855" t="s">
        <v>1415</v>
      </c>
      <c r="B281" s="1859" t="s">
        <v>2192</v>
      </c>
      <c r="C281" s="1869"/>
      <c r="D281" s="1869"/>
      <c r="E281" s="1869"/>
      <c r="F281" s="1861">
        <v>0.05</v>
      </c>
    </row>
    <row r="282" spans="1:6" ht="24.6" thickBot="1">
      <c r="A282" s="1855" t="s">
        <v>1415</v>
      </c>
      <c r="B282" s="1859" t="s">
        <v>2193</v>
      </c>
      <c r="C282" s="1869"/>
      <c r="D282" s="1869"/>
      <c r="E282" s="1869"/>
      <c r="F282" s="1861">
        <v>0.05</v>
      </c>
    </row>
    <row r="283" spans="1:6" ht="24.6" thickBot="1">
      <c r="A283" s="1855" t="s">
        <v>1415</v>
      </c>
      <c r="B283" s="1859" t="s">
        <v>2194</v>
      </c>
      <c r="C283" s="1869"/>
      <c r="D283" s="1869"/>
      <c r="E283" s="1869"/>
      <c r="F283" s="1861">
        <v>0.05</v>
      </c>
    </row>
    <row r="284" spans="1:6" ht="24.6" thickBot="1">
      <c r="A284" s="1855" t="s">
        <v>1415</v>
      </c>
      <c r="B284" s="1859" t="s">
        <v>2195</v>
      </c>
      <c r="C284" s="1869"/>
      <c r="D284" s="1869"/>
      <c r="E284" s="1869"/>
      <c r="F284" s="1861">
        <v>0.05</v>
      </c>
    </row>
    <row r="285" spans="1:6" ht="24.6" thickBot="1">
      <c r="A285" s="1855" t="s">
        <v>1415</v>
      </c>
      <c r="B285" s="1859" t="s">
        <v>2196</v>
      </c>
      <c r="C285" s="1869"/>
      <c r="D285" s="1869"/>
      <c r="E285" s="1869"/>
      <c r="F285" s="1861">
        <v>0.05</v>
      </c>
    </row>
    <row r="286" spans="1:6" ht="24.6" thickBot="1">
      <c r="A286" s="1855" t="s">
        <v>1415</v>
      </c>
      <c r="B286" s="1859" t="s">
        <v>2197</v>
      </c>
      <c r="C286" s="1869"/>
      <c r="D286" s="1869"/>
      <c r="E286" s="1869"/>
      <c r="F286" s="1861">
        <v>0.05</v>
      </c>
    </row>
    <row r="287" spans="1:6" ht="24.6" thickBot="1">
      <c r="A287" s="1855" t="s">
        <v>1415</v>
      </c>
      <c r="B287" s="1859" t="s">
        <v>2198</v>
      </c>
      <c r="C287" s="1869"/>
      <c r="D287" s="1869"/>
      <c r="E287" s="1869"/>
      <c r="F287" s="1861">
        <v>0.05</v>
      </c>
    </row>
    <row r="288" spans="1:6" ht="24.6" thickBot="1">
      <c r="A288" s="1855" t="s">
        <v>1415</v>
      </c>
      <c r="B288" s="1859" t="s">
        <v>2199</v>
      </c>
      <c r="C288" s="1869"/>
      <c r="D288" s="1869"/>
      <c r="E288" s="1869"/>
      <c r="F288" s="1861">
        <v>0.05</v>
      </c>
    </row>
    <row r="289" spans="1:6" ht="24.6" thickBot="1">
      <c r="A289" s="1863" t="s">
        <v>1415</v>
      </c>
      <c r="B289" s="1870" t="s">
        <v>2200</v>
      </c>
      <c r="C289" s="1866"/>
      <c r="D289" s="1866"/>
      <c r="E289" s="1866"/>
      <c r="F289" s="1871">
        <v>0.05</v>
      </c>
    </row>
    <row r="290" spans="1:6" ht="15" thickBot="1">
      <c r="A290" s="1855" t="s">
        <v>1419</v>
      </c>
      <c r="B290" s="1856" t="s">
        <v>2201</v>
      </c>
      <c r="C290" s="1857">
        <v>0.15</v>
      </c>
      <c r="D290" s="1857">
        <v>0.15</v>
      </c>
      <c r="E290" s="1857">
        <v>0.15</v>
      </c>
      <c r="F290" s="1879"/>
    </row>
    <row r="291" spans="1:6" ht="15" thickBot="1">
      <c r="A291" s="1855" t="s">
        <v>1419</v>
      </c>
      <c r="B291" s="1859" t="s">
        <v>1079</v>
      </c>
      <c r="C291" s="1860">
        <v>0.15</v>
      </c>
      <c r="D291" s="1860">
        <v>0.15</v>
      </c>
      <c r="E291" s="1860">
        <v>0.15</v>
      </c>
      <c r="F291" s="1868"/>
    </row>
    <row r="292" spans="1:6" ht="15" thickBot="1">
      <c r="A292" s="1855" t="s">
        <v>1419</v>
      </c>
      <c r="B292" s="1859" t="s">
        <v>2202</v>
      </c>
      <c r="C292" s="1860">
        <v>0.15</v>
      </c>
      <c r="D292" s="1860">
        <v>0.15</v>
      </c>
      <c r="E292" s="1860">
        <v>0.15</v>
      </c>
      <c r="F292" s="1861">
        <v>0.14699999999999999</v>
      </c>
    </row>
    <row r="293" spans="1:6" ht="15" thickBot="1">
      <c r="A293" s="1855" t="s">
        <v>1419</v>
      </c>
      <c r="B293" s="1859" t="s">
        <v>2203</v>
      </c>
      <c r="C293" s="1869"/>
      <c r="D293" s="1869"/>
      <c r="E293" s="1869"/>
      <c r="F293" s="1861">
        <v>0.1</v>
      </c>
    </row>
    <row r="294" spans="1:6" ht="15" thickBot="1">
      <c r="A294" s="1855" t="s">
        <v>1419</v>
      </c>
      <c r="B294" s="1859" t="s">
        <v>2204</v>
      </c>
      <c r="C294" s="1860">
        <v>0.15</v>
      </c>
      <c r="D294" s="1860">
        <v>0.15</v>
      </c>
      <c r="E294" s="1860">
        <v>0.15</v>
      </c>
      <c r="F294" s="1861">
        <v>0.15</v>
      </c>
    </row>
    <row r="295" spans="1:6" ht="15" thickBot="1">
      <c r="A295" s="1855" t="s">
        <v>1419</v>
      </c>
      <c r="B295" s="1859" t="s">
        <v>1120</v>
      </c>
      <c r="C295" s="1860">
        <v>0.15</v>
      </c>
      <c r="D295" s="1860">
        <v>0.15</v>
      </c>
      <c r="E295" s="1860">
        <v>0.15</v>
      </c>
      <c r="F295" s="1861">
        <v>0.15</v>
      </c>
    </row>
    <row r="296" spans="1:6" ht="15" thickBot="1">
      <c r="A296" s="1855" t="s">
        <v>1419</v>
      </c>
      <c r="B296" s="1859" t="s">
        <v>2205</v>
      </c>
      <c r="C296" s="1860">
        <v>0.15</v>
      </c>
      <c r="D296" s="1860">
        <v>0.15</v>
      </c>
      <c r="E296" s="1860">
        <v>0.15</v>
      </c>
      <c r="F296" s="1861">
        <v>0.15</v>
      </c>
    </row>
    <row r="297" spans="1:6" ht="15" thickBot="1">
      <c r="A297" s="1855" t="s">
        <v>1419</v>
      </c>
      <c r="B297" s="1859" t="s">
        <v>2206</v>
      </c>
      <c r="C297" s="1860">
        <v>0.14799999999999999</v>
      </c>
      <c r="D297" s="1860">
        <v>0.14899999999999999</v>
      </c>
      <c r="E297" s="1860">
        <v>0.15</v>
      </c>
      <c r="F297" s="1861">
        <v>0.13700000000000001</v>
      </c>
    </row>
    <row r="298" spans="1:6" ht="15" thickBot="1">
      <c r="A298" s="1855" t="s">
        <v>1419</v>
      </c>
      <c r="B298" s="1859" t="s">
        <v>1153</v>
      </c>
      <c r="C298" s="1860">
        <v>0.13400000000000001</v>
      </c>
      <c r="D298" s="1860">
        <v>0.13400000000000001</v>
      </c>
      <c r="E298" s="1860">
        <v>0.14499999999999999</v>
      </c>
      <c r="F298" s="1861">
        <v>0.14799999999999999</v>
      </c>
    </row>
    <row r="299" spans="1:6" ht="15" thickBot="1">
      <c r="A299" s="1855" t="s">
        <v>1419</v>
      </c>
      <c r="B299" s="1859" t="s">
        <v>1165</v>
      </c>
      <c r="C299" s="1860">
        <v>0.15</v>
      </c>
      <c r="D299" s="1860">
        <v>0.15</v>
      </c>
      <c r="E299" s="1860">
        <v>0.15</v>
      </c>
      <c r="F299" s="1868"/>
    </row>
    <row r="300" spans="1:6" ht="15" thickBot="1">
      <c r="A300" s="1855" t="s">
        <v>1419</v>
      </c>
      <c r="B300" s="1859" t="s">
        <v>2207</v>
      </c>
      <c r="C300" s="1860">
        <v>0.15</v>
      </c>
      <c r="D300" s="1860">
        <v>0.15</v>
      </c>
      <c r="E300" s="1860">
        <v>0.15</v>
      </c>
      <c r="F300" s="1861">
        <v>0.15</v>
      </c>
    </row>
    <row r="301" spans="1:6" ht="15" thickBot="1">
      <c r="A301" s="1855" t="s">
        <v>1419</v>
      </c>
      <c r="B301" s="1859" t="s">
        <v>1185</v>
      </c>
      <c r="C301" s="1860">
        <v>0.15</v>
      </c>
      <c r="D301" s="1860">
        <v>0.15</v>
      </c>
      <c r="E301" s="1860">
        <v>0.15</v>
      </c>
      <c r="F301" s="1868"/>
    </row>
    <row r="302" spans="1:6" ht="15" thickBot="1">
      <c r="A302" s="1855" t="s">
        <v>1419</v>
      </c>
      <c r="B302" s="1859" t="s">
        <v>2208</v>
      </c>
      <c r="C302" s="1860">
        <v>0.15</v>
      </c>
      <c r="D302" s="1860">
        <v>0.15</v>
      </c>
      <c r="E302" s="1860">
        <v>0.15</v>
      </c>
      <c r="F302" s="1861">
        <v>0.15</v>
      </c>
    </row>
    <row r="303" spans="1:6" ht="15" thickBot="1">
      <c r="A303" s="1855" t="s">
        <v>1419</v>
      </c>
      <c r="B303" s="1859" t="s">
        <v>1205</v>
      </c>
      <c r="C303" s="1860">
        <v>0.15</v>
      </c>
      <c r="D303" s="1860">
        <v>0.15</v>
      </c>
      <c r="E303" s="1860">
        <v>0.15</v>
      </c>
      <c r="F303" s="1861">
        <v>0.15</v>
      </c>
    </row>
    <row r="304" spans="1:6" ht="15" thickBot="1">
      <c r="A304" s="1855" t="s">
        <v>1419</v>
      </c>
      <c r="B304" s="1859" t="s">
        <v>1215</v>
      </c>
      <c r="C304" s="1860">
        <v>0.15</v>
      </c>
      <c r="D304" s="1860">
        <v>0.15</v>
      </c>
      <c r="E304" s="1860">
        <v>0.15</v>
      </c>
      <c r="F304" s="1868"/>
    </row>
    <row r="305" spans="1:6" ht="15" thickBot="1">
      <c r="A305" s="1855" t="s">
        <v>1419</v>
      </c>
      <c r="B305" s="1859" t="s">
        <v>2209</v>
      </c>
      <c r="C305" s="1860">
        <v>0.15</v>
      </c>
      <c r="D305" s="1860">
        <v>0.15</v>
      </c>
      <c r="E305" s="1860">
        <v>0.15</v>
      </c>
      <c r="F305" s="1861">
        <v>0.14000000000000001</v>
      </c>
    </row>
    <row r="306" spans="1:6" ht="15" thickBot="1">
      <c r="A306" s="1855" t="s">
        <v>1419</v>
      </c>
      <c r="B306" s="1859" t="s">
        <v>1235</v>
      </c>
      <c r="C306" s="1860">
        <v>0.15</v>
      </c>
      <c r="D306" s="1860">
        <v>0.15</v>
      </c>
      <c r="E306" s="1860">
        <v>0.15</v>
      </c>
      <c r="F306" s="1868"/>
    </row>
    <row r="307" spans="1:6" ht="15" thickBot="1">
      <c r="A307" s="1855" t="s">
        <v>1419</v>
      </c>
      <c r="B307" s="1859" t="s">
        <v>2210</v>
      </c>
      <c r="C307" s="1860">
        <v>0.15</v>
      </c>
      <c r="D307" s="1860">
        <v>0.15</v>
      </c>
      <c r="E307" s="1860">
        <v>0.15</v>
      </c>
      <c r="F307" s="1861">
        <v>0.14299999999999999</v>
      </c>
    </row>
    <row r="308" spans="1:6" ht="15" thickBot="1">
      <c r="A308" s="1855" t="s">
        <v>1419</v>
      </c>
      <c r="B308" s="1859" t="s">
        <v>1255</v>
      </c>
      <c r="C308" s="1860">
        <v>0.15</v>
      </c>
      <c r="D308" s="1860">
        <v>0.15</v>
      </c>
      <c r="E308" s="1860">
        <v>0.15</v>
      </c>
      <c r="F308" s="1861">
        <v>0.15</v>
      </c>
    </row>
    <row r="309" spans="1:6" ht="15" thickBot="1">
      <c r="A309" s="1855" t="s">
        <v>1419</v>
      </c>
      <c r="B309" s="1859" t="s">
        <v>1265</v>
      </c>
      <c r="C309" s="1860">
        <v>0.15</v>
      </c>
      <c r="D309" s="1860">
        <v>0.15</v>
      </c>
      <c r="E309" s="1860">
        <v>0.15</v>
      </c>
      <c r="F309" s="1868"/>
    </row>
    <row r="310" spans="1:6" ht="15" thickBot="1">
      <c r="A310" s="1855" t="s">
        <v>1419</v>
      </c>
      <c r="B310" s="1859" t="s">
        <v>2211</v>
      </c>
      <c r="C310" s="1860">
        <v>0.15</v>
      </c>
      <c r="D310" s="1860">
        <v>0.15</v>
      </c>
      <c r="E310" s="1860">
        <v>0.15</v>
      </c>
      <c r="F310" s="1861">
        <v>0.13700000000000001</v>
      </c>
    </row>
    <row r="311" spans="1:6" ht="15" thickBot="1">
      <c r="A311" s="1855" t="s">
        <v>1419</v>
      </c>
      <c r="B311" s="1859" t="s">
        <v>2212</v>
      </c>
      <c r="C311" s="1860">
        <v>0.15</v>
      </c>
      <c r="D311" s="1860">
        <v>0.15</v>
      </c>
      <c r="E311" s="1860">
        <v>0.15</v>
      </c>
      <c r="F311" s="1861">
        <v>0.15</v>
      </c>
    </row>
    <row r="312" spans="1:6" ht="15" thickBot="1">
      <c r="A312" s="1855" t="s">
        <v>1419</v>
      </c>
      <c r="B312" s="1859" t="s">
        <v>1291</v>
      </c>
      <c r="C312" s="1860">
        <v>0.15</v>
      </c>
      <c r="D312" s="1860">
        <v>0.15</v>
      </c>
      <c r="E312" s="1860">
        <v>0.15</v>
      </c>
      <c r="F312" s="1861">
        <v>0.1</v>
      </c>
    </row>
    <row r="313" spans="1:6" ht="15" thickBot="1">
      <c r="A313" s="1855" t="s">
        <v>1419</v>
      </c>
      <c r="B313" s="1859" t="s">
        <v>2213</v>
      </c>
      <c r="C313" s="1860">
        <v>0.15</v>
      </c>
      <c r="D313" s="1860">
        <v>0.15</v>
      </c>
      <c r="E313" s="1860">
        <v>0.15</v>
      </c>
      <c r="F313" s="1861">
        <v>0.15</v>
      </c>
    </row>
    <row r="314" spans="1:6" ht="24.6" thickBot="1">
      <c r="A314" s="1855" t="s">
        <v>1419</v>
      </c>
      <c r="B314" s="1859" t="s">
        <v>2214</v>
      </c>
      <c r="C314" s="1869"/>
      <c r="D314" s="1869"/>
      <c r="E314" s="1869"/>
      <c r="F314" s="1861">
        <v>0.05</v>
      </c>
    </row>
    <row r="315" spans="1:6" ht="24.6" thickBot="1">
      <c r="A315" s="1855" t="s">
        <v>1419</v>
      </c>
      <c r="B315" s="1859" t="s">
        <v>2215</v>
      </c>
      <c r="C315" s="1869"/>
      <c r="D315" s="1869"/>
      <c r="E315" s="1869"/>
      <c r="F315" s="1861">
        <v>0.05</v>
      </c>
    </row>
    <row r="316" spans="1:6" ht="24.6" thickBot="1">
      <c r="A316" s="1863" t="s">
        <v>1419</v>
      </c>
      <c r="B316" s="1870" t="s">
        <v>2216</v>
      </c>
      <c r="C316" s="1866"/>
      <c r="D316" s="1866"/>
      <c r="E316" s="1866"/>
      <c r="F316" s="1871">
        <v>0.05</v>
      </c>
    </row>
    <row r="317" spans="1:6" ht="15" thickBot="1">
      <c r="A317" s="1855" t="s">
        <v>2217</v>
      </c>
      <c r="B317" s="1856" t="s">
        <v>2218</v>
      </c>
      <c r="C317" s="1857">
        <v>0.15</v>
      </c>
      <c r="D317" s="1857">
        <v>0.15</v>
      </c>
      <c r="E317" s="1857">
        <v>0.15</v>
      </c>
      <c r="F317" s="1858">
        <v>0.15</v>
      </c>
    </row>
    <row r="318" spans="1:6" ht="15" thickBot="1">
      <c r="A318" s="1855" t="s">
        <v>2217</v>
      </c>
      <c r="B318" s="1859" t="s">
        <v>2219</v>
      </c>
      <c r="C318" s="1860">
        <v>0.107</v>
      </c>
      <c r="D318" s="1860">
        <v>0.11</v>
      </c>
      <c r="E318" s="1860">
        <v>0.112</v>
      </c>
      <c r="F318" s="1868"/>
    </row>
    <row r="319" spans="1:6" ht="15" thickBot="1">
      <c r="A319" s="1855" t="s">
        <v>2217</v>
      </c>
      <c r="B319" s="1859" t="s">
        <v>2220</v>
      </c>
      <c r="C319" s="1860">
        <v>0.15</v>
      </c>
      <c r="D319" s="1860">
        <v>0.15</v>
      </c>
      <c r="E319" s="1860">
        <v>0.15</v>
      </c>
      <c r="F319" s="1861">
        <v>0.15</v>
      </c>
    </row>
    <row r="320" spans="1:6" ht="15" thickBot="1">
      <c r="A320" s="1855" t="s">
        <v>2217</v>
      </c>
      <c r="B320" s="1859" t="s">
        <v>1107</v>
      </c>
      <c r="C320" s="1860">
        <v>0.15</v>
      </c>
      <c r="D320" s="1860">
        <v>0.15</v>
      </c>
      <c r="E320" s="1860">
        <v>0.15</v>
      </c>
      <c r="F320" s="1868"/>
    </row>
    <row r="321" spans="1:6" ht="15" thickBot="1">
      <c r="A321" s="1855" t="s">
        <v>2217</v>
      </c>
      <c r="B321" s="1859" t="s">
        <v>2221</v>
      </c>
      <c r="C321" s="1860">
        <v>0.15</v>
      </c>
      <c r="D321" s="1860">
        <v>0.15</v>
      </c>
      <c r="E321" s="1860">
        <v>0.15</v>
      </c>
      <c r="F321" s="1868"/>
    </row>
    <row r="322" spans="1:6" ht="15" thickBot="1">
      <c r="A322" s="1855" t="s">
        <v>2217</v>
      </c>
      <c r="B322" s="1859" t="s">
        <v>2222</v>
      </c>
      <c r="C322" s="1860">
        <v>0.15</v>
      </c>
      <c r="D322" s="1860">
        <v>0.15</v>
      </c>
      <c r="E322" s="1860">
        <v>0.15</v>
      </c>
      <c r="F322" s="1861">
        <v>0.15</v>
      </c>
    </row>
    <row r="323" spans="1:6" ht="15" thickBot="1">
      <c r="A323" s="1855" t="s">
        <v>2217</v>
      </c>
      <c r="B323" s="1859" t="s">
        <v>2223</v>
      </c>
      <c r="C323" s="1860">
        <v>0.15</v>
      </c>
      <c r="D323" s="1860">
        <v>0.15</v>
      </c>
      <c r="E323" s="1860">
        <v>0.15</v>
      </c>
      <c r="F323" s="1868"/>
    </row>
    <row r="324" spans="1:6" ht="15" thickBot="1">
      <c r="A324" s="1855" t="s">
        <v>2217</v>
      </c>
      <c r="B324" s="1859" t="s">
        <v>2224</v>
      </c>
      <c r="C324" s="1860">
        <v>0.15</v>
      </c>
      <c r="D324" s="1860">
        <v>0.15</v>
      </c>
      <c r="E324" s="1860">
        <v>0.15</v>
      </c>
      <c r="F324" s="1868"/>
    </row>
    <row r="325" spans="1:6" ht="15" thickBot="1">
      <c r="A325" s="1855" t="s">
        <v>2217</v>
      </c>
      <c r="B325" s="1859" t="s">
        <v>2225</v>
      </c>
      <c r="C325" s="1860">
        <v>0.15</v>
      </c>
      <c r="D325" s="1860">
        <v>0.15</v>
      </c>
      <c r="E325" s="1860">
        <v>0.15</v>
      </c>
      <c r="F325" s="1861">
        <v>0.14699999999999999</v>
      </c>
    </row>
    <row r="326" spans="1:6" ht="15" thickBot="1">
      <c r="A326" s="1855" t="s">
        <v>2217</v>
      </c>
      <c r="B326" s="1859" t="s">
        <v>1176</v>
      </c>
      <c r="C326" s="1860">
        <v>0.15</v>
      </c>
      <c r="D326" s="1860">
        <v>0.15</v>
      </c>
      <c r="E326" s="1860">
        <v>0.15</v>
      </c>
      <c r="F326" s="1868"/>
    </row>
    <row r="327" spans="1:6" ht="15" thickBot="1">
      <c r="A327" s="1855" t="s">
        <v>2217</v>
      </c>
      <c r="B327" s="1859" t="s">
        <v>2226</v>
      </c>
      <c r="C327" s="1860">
        <v>0.15</v>
      </c>
      <c r="D327" s="1860">
        <v>0.15</v>
      </c>
      <c r="E327" s="1860">
        <v>0.15</v>
      </c>
      <c r="F327" s="1861">
        <v>0.15</v>
      </c>
    </row>
    <row r="328" spans="1:6" ht="15" thickBot="1">
      <c r="A328" s="1855" t="s">
        <v>2217</v>
      </c>
      <c r="B328" s="1859" t="s">
        <v>1196</v>
      </c>
      <c r="C328" s="1860">
        <v>0.15</v>
      </c>
      <c r="D328" s="1860">
        <v>0.15</v>
      </c>
      <c r="E328" s="1860">
        <v>0.15</v>
      </c>
      <c r="F328" s="1861">
        <v>0.14099999999999999</v>
      </c>
    </row>
    <row r="329" spans="1:6" ht="15" thickBot="1">
      <c r="A329" s="1855" t="s">
        <v>2217</v>
      </c>
      <c r="B329" s="1859" t="s">
        <v>1206</v>
      </c>
      <c r="C329" s="1860">
        <v>0.15</v>
      </c>
      <c r="D329" s="1860">
        <v>0.15</v>
      </c>
      <c r="E329" s="1860">
        <v>0.15</v>
      </c>
      <c r="F329" s="1861">
        <v>0.15</v>
      </c>
    </row>
    <row r="330" spans="1:6" ht="15" thickBot="1">
      <c r="A330" s="1855" t="s">
        <v>2217</v>
      </c>
      <c r="B330" s="1859" t="s">
        <v>1216</v>
      </c>
      <c r="C330" s="1860">
        <v>0.15</v>
      </c>
      <c r="D330" s="1860">
        <v>0.15</v>
      </c>
      <c r="E330" s="1860">
        <v>0.15</v>
      </c>
      <c r="F330" s="1868"/>
    </row>
    <row r="331" spans="1:6" ht="15" thickBot="1">
      <c r="A331" s="1855" t="s">
        <v>2217</v>
      </c>
      <c r="B331" s="1859" t="s">
        <v>2227</v>
      </c>
      <c r="C331" s="1860">
        <v>0.15</v>
      </c>
      <c r="D331" s="1860">
        <v>0.15</v>
      </c>
      <c r="E331" s="1860">
        <v>0.15</v>
      </c>
      <c r="F331" s="1861">
        <v>0.15</v>
      </c>
    </row>
    <row r="332" spans="1:6" ht="15" thickBot="1">
      <c r="A332" s="1855" t="s">
        <v>2217</v>
      </c>
      <c r="B332" s="1859" t="s">
        <v>1236</v>
      </c>
      <c r="C332" s="1860">
        <v>0.15</v>
      </c>
      <c r="D332" s="1860">
        <v>0.15</v>
      </c>
      <c r="E332" s="1860">
        <v>0.15</v>
      </c>
      <c r="F332" s="1861">
        <v>0.15</v>
      </c>
    </row>
    <row r="333" spans="1:6" ht="15" thickBot="1">
      <c r="A333" s="1855" t="s">
        <v>2217</v>
      </c>
      <c r="B333" s="1859" t="s">
        <v>2228</v>
      </c>
      <c r="C333" s="1860">
        <v>0.15</v>
      </c>
      <c r="D333" s="1860">
        <v>0.15</v>
      </c>
      <c r="E333" s="1860">
        <v>0.15</v>
      </c>
      <c r="F333" s="1861">
        <v>0.14099999999999999</v>
      </c>
    </row>
    <row r="334" spans="1:6" ht="15" thickBot="1">
      <c r="A334" s="1855" t="s">
        <v>2217</v>
      </c>
      <c r="B334" s="1859" t="s">
        <v>1256</v>
      </c>
      <c r="C334" s="1860">
        <v>0.15</v>
      </c>
      <c r="D334" s="1860">
        <v>0.15</v>
      </c>
      <c r="E334" s="1860">
        <v>0.15</v>
      </c>
      <c r="F334" s="1861">
        <v>0.15</v>
      </c>
    </row>
    <row r="335" spans="1:6" ht="15" thickBot="1">
      <c r="A335" s="1855" t="s">
        <v>2217</v>
      </c>
      <c r="B335" s="1859" t="s">
        <v>1266</v>
      </c>
      <c r="C335" s="1860">
        <v>0.15</v>
      </c>
      <c r="D335" s="1860">
        <v>0.15</v>
      </c>
      <c r="E335" s="1860">
        <v>0.15</v>
      </c>
      <c r="F335" s="1868"/>
    </row>
    <row r="336" spans="1:6" ht="15" thickBot="1">
      <c r="A336" s="1855" t="s">
        <v>2217</v>
      </c>
      <c r="B336" s="1859" t="s">
        <v>2229</v>
      </c>
      <c r="C336" s="1860">
        <v>0.15</v>
      </c>
      <c r="D336" s="1860">
        <v>0.15</v>
      </c>
      <c r="E336" s="1860">
        <v>0.15</v>
      </c>
      <c r="F336" s="1861">
        <v>0.11799999999999999</v>
      </c>
    </row>
    <row r="337" spans="1:6" ht="15" thickBot="1">
      <c r="A337" s="1863" t="s">
        <v>2217</v>
      </c>
      <c r="B337" s="1870" t="s">
        <v>1284</v>
      </c>
      <c r="C337" s="1866"/>
      <c r="D337" s="1866"/>
      <c r="E337" s="1866"/>
      <c r="F337" s="1871">
        <v>0.14299999999999999</v>
      </c>
    </row>
    <row r="338" spans="1:6" ht="15" thickBot="1">
      <c r="A338" s="1855" t="s">
        <v>2230</v>
      </c>
      <c r="B338" s="1856" t="s">
        <v>2231</v>
      </c>
      <c r="C338" s="1857">
        <v>0.15</v>
      </c>
      <c r="D338" s="1857">
        <v>0.15</v>
      </c>
      <c r="E338" s="1857">
        <v>0.15</v>
      </c>
      <c r="F338" s="1879"/>
    </row>
    <row r="339" spans="1:6" ht="15" thickBot="1">
      <c r="A339" s="1855" t="s">
        <v>2230</v>
      </c>
      <c r="B339" s="1859" t="s">
        <v>2232</v>
      </c>
      <c r="C339" s="1860">
        <v>0.15</v>
      </c>
      <c r="D339" s="1860">
        <v>0.15</v>
      </c>
      <c r="E339" s="1860">
        <v>0.15</v>
      </c>
      <c r="F339" s="1868"/>
    </row>
    <row r="340" spans="1:6" ht="15" thickBot="1">
      <c r="A340" s="1855" t="s">
        <v>2230</v>
      </c>
      <c r="B340" s="1859" t="s">
        <v>2233</v>
      </c>
      <c r="C340" s="1860">
        <v>0.15</v>
      </c>
      <c r="D340" s="1860">
        <v>0.15</v>
      </c>
      <c r="E340" s="1860">
        <v>0.15</v>
      </c>
      <c r="F340" s="1868"/>
    </row>
    <row r="341" spans="1:6" ht="15" thickBot="1">
      <c r="A341" s="1855" t="s">
        <v>2234</v>
      </c>
      <c r="B341" s="1859" t="s">
        <v>2235</v>
      </c>
      <c r="C341" s="1860">
        <v>0.15</v>
      </c>
      <c r="D341" s="1860">
        <v>0.15</v>
      </c>
      <c r="E341" s="1860">
        <v>0.15</v>
      </c>
      <c r="F341" s="1861">
        <v>0.15</v>
      </c>
    </row>
    <row r="342" spans="1:6" ht="15" thickBot="1">
      <c r="A342" s="1855" t="s">
        <v>2230</v>
      </c>
      <c r="B342" s="1859" t="s">
        <v>2236</v>
      </c>
      <c r="C342" s="1860">
        <v>0.15</v>
      </c>
      <c r="D342" s="1860">
        <v>0.15</v>
      </c>
      <c r="E342" s="1860">
        <v>0.15</v>
      </c>
      <c r="F342" s="1861">
        <v>0.15</v>
      </c>
    </row>
    <row r="343" spans="1:6" ht="15" thickBot="1">
      <c r="A343" s="1855" t="s">
        <v>2230</v>
      </c>
      <c r="B343" s="1859" t="s">
        <v>2237</v>
      </c>
      <c r="C343" s="1860">
        <v>0.15</v>
      </c>
      <c r="D343" s="1860">
        <v>0.15</v>
      </c>
      <c r="E343" s="1860">
        <v>0.15</v>
      </c>
      <c r="F343" s="1861">
        <v>0.15</v>
      </c>
    </row>
    <row r="344" spans="1:6" ht="1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0" t="s">
        <v>2946</v>
      </c>
      <c r="B1" s="3102"/>
      <c r="C1" s="3102"/>
      <c r="D1" s="3102"/>
      <c r="E1" s="3102"/>
      <c r="F1" s="3102"/>
    </row>
    <row r="2" spans="1:6" ht="15.6">
      <c r="A2" s="3103" t="s">
        <v>2941</v>
      </c>
      <c r="B2" s="3104" t="e">
        <f ca="1">SUMIF(B7:B14,"&lt;&gt;#ref!",B7:B14)</f>
        <v>#DIV/0!</v>
      </c>
      <c r="C2" s="3103" t="s">
        <v>2942</v>
      </c>
      <c r="D2" s="3102"/>
      <c r="E2" s="3102"/>
      <c r="F2" s="3102"/>
    </row>
    <row r="3" spans="1:6" ht="15.6">
      <c r="A3" s="3103" t="s">
        <v>2974</v>
      </c>
      <c r="B3" s="3104" t="e">
        <f ca="1">ROUND(B2*10000/E3,0)</f>
        <v>#DIV/0!</v>
      </c>
      <c r="C3" s="3103" t="s">
        <v>2079</v>
      </c>
      <c r="D3" s="3103" t="s">
        <v>2943</v>
      </c>
      <c r="E3" s="3104">
        <f ca="1">SUMIF(E7:E14,"&lt;&gt;#ref!",E7:E14)</f>
        <v>0</v>
      </c>
      <c r="F3" s="3102"/>
    </row>
    <row r="4" spans="1:6" ht="15.6">
      <c r="A4" s="3103" t="s">
        <v>2950</v>
      </c>
      <c r="B4" s="3104" t="e">
        <f ca="1">ROUND(B2*10000/E4,0)</f>
        <v>#DIV/0!</v>
      </c>
      <c r="C4" s="3103" t="s">
        <v>2079</v>
      </c>
      <c r="D4" s="3103" t="s">
        <v>2951</v>
      </c>
      <c r="E4" s="3104">
        <f ca="1">SUMIF(F7:F14,"&lt;&gt;#ref!",F7:F14)</f>
        <v>0</v>
      </c>
      <c r="F4" s="3102"/>
    </row>
    <row r="5" spans="1:6" ht="15.6">
      <c r="A5" s="3105"/>
      <c r="B5" s="1881"/>
      <c r="C5" s="1881"/>
      <c r="D5" s="1881"/>
      <c r="E5" s="1881"/>
      <c r="F5" s="3102"/>
    </row>
    <row r="6" spans="1:6" ht="31.2">
      <c r="A6" s="3106" t="s">
        <v>2947</v>
      </c>
      <c r="B6" s="3103" t="s">
        <v>2944</v>
      </c>
      <c r="C6" s="3104"/>
      <c r="D6" s="1881"/>
      <c r="E6" s="3103" t="s">
        <v>2945</v>
      </c>
      <c r="F6" s="3103" t="s">
        <v>2949</v>
      </c>
    </row>
    <row r="7" spans="1:6" ht="15.6">
      <c r="A7" s="260" t="s">
        <v>2948</v>
      </c>
      <c r="B7" s="3107" t="e">
        <f ca="1">SUMIF(INDIRECT("'"&amp;A7&amp;"'"&amp;"!A:A"),"总价",INDIRECT("'"&amp;A7&amp;"'"&amp;"!B:B"))</f>
        <v>#DIV/0!</v>
      </c>
      <c r="C7" s="3103" t="s">
        <v>2942</v>
      </c>
      <c r="D7" s="1881"/>
      <c r="E7" s="3108">
        <f ca="1">SUMIF(INDIRECT("'"&amp;A7&amp;"'"&amp;"!C:C"),"建筑面积",INDIRECT("'"&amp;A7&amp;"'"&amp;"!D:D"))</f>
        <v>0</v>
      </c>
      <c r="F7" s="3108">
        <f ca="1">SUMIF(INDIRECT("'"&amp;A7&amp;"'"&amp;"!E:E"),"土地面积",INDIRECT("'"&amp;A7&amp;"'"&amp;"!F:F"))</f>
        <v>0</v>
      </c>
    </row>
    <row r="8" spans="1:6" ht="15.6">
      <c r="A8" s="260"/>
      <c r="B8" s="3107" t="e">
        <f t="shared" ref="B8:B14" ca="1" si="0">SUMIF(INDIRECT("'"&amp;A8&amp;"'"&amp;"!A:A"),"总价",INDIRECT("'"&amp;A8&amp;"'"&amp;"!B:B"))</f>
        <v>#REF!</v>
      </c>
      <c r="C8" s="3103" t="s">
        <v>2942</v>
      </c>
      <c r="D8" s="1881"/>
      <c r="E8" s="3108" t="e">
        <f t="shared" ref="E8:E14" ca="1" si="1">SUMIF(INDIRECT("'"&amp;A8&amp;"'"&amp;"!C:C"),"建筑面积",INDIRECT("'"&amp;A8&amp;"'"&amp;"!D:D"))</f>
        <v>#REF!</v>
      </c>
      <c r="F8" s="3108" t="e">
        <f t="shared" ref="F8:F14" ca="1" si="2">SUMIF(INDIRECT("'"&amp;A8&amp;"'"&amp;"!E:E"),"土地面积",INDIRECT("'"&amp;A8&amp;"'"&amp;"!F:F"))</f>
        <v>#REF!</v>
      </c>
    </row>
    <row r="9" spans="1:6" ht="15.6">
      <c r="A9" s="260"/>
      <c r="B9" s="3107" t="e">
        <f t="shared" ca="1" si="0"/>
        <v>#REF!</v>
      </c>
      <c r="C9" s="3103" t="s">
        <v>2942</v>
      </c>
      <c r="D9" s="1881"/>
      <c r="E9" s="3108" t="e">
        <f t="shared" ca="1" si="1"/>
        <v>#REF!</v>
      </c>
      <c r="F9" s="3108" t="e">
        <f t="shared" ca="1" si="2"/>
        <v>#REF!</v>
      </c>
    </row>
    <row r="10" spans="1:6" ht="15.6">
      <c r="A10" s="260"/>
      <c r="B10" s="3107" t="e">
        <f t="shared" ca="1" si="0"/>
        <v>#REF!</v>
      </c>
      <c r="C10" s="3103" t="s">
        <v>2942</v>
      </c>
      <c r="D10" s="1881"/>
      <c r="E10" s="3108" t="e">
        <f t="shared" ca="1" si="1"/>
        <v>#REF!</v>
      </c>
      <c r="F10" s="3108" t="e">
        <f t="shared" ca="1" si="2"/>
        <v>#REF!</v>
      </c>
    </row>
    <row r="11" spans="1:6" ht="15.6">
      <c r="A11" s="260"/>
      <c r="B11" s="3107" t="e">
        <f t="shared" ca="1" si="0"/>
        <v>#REF!</v>
      </c>
      <c r="C11" s="3103" t="s">
        <v>2942</v>
      </c>
      <c r="D11" s="1881"/>
      <c r="E11" s="3108" t="e">
        <f t="shared" ca="1" si="1"/>
        <v>#REF!</v>
      </c>
      <c r="F11" s="3108" t="e">
        <f t="shared" ca="1" si="2"/>
        <v>#REF!</v>
      </c>
    </row>
    <row r="12" spans="1:6" ht="15.6">
      <c r="A12" s="260"/>
      <c r="B12" s="3107" t="e">
        <f t="shared" ca="1" si="0"/>
        <v>#REF!</v>
      </c>
      <c r="C12" s="3103" t="s">
        <v>2942</v>
      </c>
      <c r="D12" s="1881"/>
      <c r="E12" s="3108" t="e">
        <f t="shared" ca="1" si="1"/>
        <v>#REF!</v>
      </c>
      <c r="F12" s="3108" t="e">
        <f t="shared" ca="1" si="2"/>
        <v>#REF!</v>
      </c>
    </row>
    <row r="13" spans="1:6" ht="15.6">
      <c r="A13" s="260"/>
      <c r="B13" s="3107" t="e">
        <f t="shared" ca="1" si="0"/>
        <v>#REF!</v>
      </c>
      <c r="C13" s="3103" t="s">
        <v>2942</v>
      </c>
      <c r="D13" s="1881"/>
      <c r="E13" s="3108" t="e">
        <f t="shared" ca="1" si="1"/>
        <v>#REF!</v>
      </c>
      <c r="F13" s="3108" t="e">
        <f t="shared" ca="1" si="2"/>
        <v>#REF!</v>
      </c>
    </row>
    <row r="14" spans="1:6" ht="15.6">
      <c r="A14" s="3101"/>
      <c r="B14" s="3107" t="e">
        <f t="shared" ca="1" si="0"/>
        <v>#REF!</v>
      </c>
      <c r="C14" s="3103" t="s">
        <v>2942</v>
      </c>
      <c r="D14" s="1881"/>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098"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8.33203125" style="2059" customWidth="1"/>
    <col min="16" max="16" width="30.21875" style="2059" customWidth="1"/>
    <col min="17" max="17" width="13.77734375" style="2059" customWidth="1"/>
    <col min="18" max="18" width="22.21875" style="2059" customWidth="1"/>
    <col min="19" max="19" width="1.44140625" style="2059" customWidth="1"/>
    <col min="20" max="25" width="9" style="2059"/>
    <col min="26" max="16384" width="9" style="2060"/>
  </cols>
  <sheetData>
    <row r="1" spans="1:25" s="2054" customFormat="1" ht="21.6">
      <c r="A1" s="772" t="s">
        <v>627</v>
      </c>
      <c r="B1" s="738"/>
      <c r="C1" s="773" t="s">
        <v>3026</v>
      </c>
      <c r="D1" s="2050"/>
      <c r="E1" s="2387" t="s">
        <v>2374</v>
      </c>
      <c r="F1" s="2388" t="e">
        <f ca="1">J54</f>
        <v>#N/A</v>
      </c>
      <c r="G1" s="774" t="e">
        <f>MATCH(C1,'数据-取费表'!A6:A16,0)+5</f>
        <v>#N/A</v>
      </c>
      <c r="H1" s="1350"/>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1"/>
      <c r="D2" s="2055"/>
      <c r="E2" s="2056"/>
      <c r="F2" s="2056"/>
      <c r="G2" s="1589"/>
      <c r="H2" s="1363"/>
      <c r="I2" s="2057"/>
      <c r="J2" s="2057"/>
      <c r="K2" s="2058"/>
      <c r="L2" s="2057"/>
      <c r="M2" s="2057"/>
    </row>
    <row r="3" spans="1:25" ht="18" customHeight="1">
      <c r="A3" s="1644" t="s">
        <v>1685</v>
      </c>
      <c r="B3" s="1391">
        <f ca="1">ROUND(B2*10000/'数据-汇总表'!E3,0)</f>
        <v>0</v>
      </c>
      <c r="C3" s="1351"/>
      <c r="D3" s="2055"/>
      <c r="E3" s="2056"/>
      <c r="F3" s="2056"/>
      <c r="G3" s="1589"/>
      <c r="H3" s="776" t="s">
        <v>694</v>
      </c>
      <c r="I3" s="2057"/>
      <c r="J3" s="2057"/>
      <c r="K3" s="2058"/>
      <c r="L3" s="2057"/>
      <c r="M3" s="2057"/>
    </row>
    <row r="4" spans="1:25" ht="18" customHeight="1">
      <c r="A4" s="1645" t="s">
        <v>695</v>
      </c>
      <c r="B4" s="1352">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2456</v>
      </c>
      <c r="C7" s="53" t="e">
        <f ca="1">C8+C12+C14</f>
        <v>#N/A</v>
      </c>
      <c r="D7" s="2496" t="s">
        <v>2459</v>
      </c>
      <c r="E7" s="2490"/>
      <c r="F7" s="2491"/>
      <c r="G7" s="1591"/>
      <c r="H7" s="781">
        <v>1</v>
      </c>
      <c r="I7" s="782" t="s">
        <v>2456</v>
      </c>
      <c r="J7" s="53" t="e">
        <f ca="1">J8+J12+J14</f>
        <v>#N/A</v>
      </c>
      <c r="K7" s="2496" t="s">
        <v>2459</v>
      </c>
      <c r="L7" s="2490"/>
      <c r="M7" s="2491"/>
    </row>
    <row r="8" spans="1:25" ht="18" customHeight="1">
      <c r="A8" s="1830" t="s">
        <v>1823</v>
      </c>
      <c r="B8" s="3529" t="s">
        <v>2461</v>
      </c>
      <c r="C8" s="1825" t="e">
        <f ca="1">ROUND(F8*F10*F9*(1-F11)/10000,0)</f>
        <v>#N/A</v>
      </c>
      <c r="D8" s="1822" t="s">
        <v>2532</v>
      </c>
      <c r="E8" s="61" t="s">
        <v>636</v>
      </c>
      <c r="F8" s="785" t="e">
        <f ca="1">INDIRECT("'数据-取费表'!u"&amp;$G$1)</f>
        <v>#N/A</v>
      </c>
      <c r="G8" s="1591"/>
      <c r="H8" s="2504" t="s">
        <v>1823</v>
      </c>
      <c r="I8" s="3529" t="s">
        <v>2461</v>
      </c>
      <c r="J8" s="783" t="e">
        <f ca="1">ROUND(M8*M10*M9*(1-M11)/10000,0)</f>
        <v>#N/A</v>
      </c>
      <c r="K8" s="341" t="s">
        <v>2532</v>
      </c>
      <c r="L8" s="784" t="s">
        <v>1737</v>
      </c>
      <c r="M8" s="785" t="e">
        <f ca="1">INDIRECT("'数据-取费表'!z"&amp;$G$1)</f>
        <v>#N/A</v>
      </c>
    </row>
    <row r="9" spans="1:25" ht="18" customHeight="1">
      <c r="A9" s="2500"/>
      <c r="B9" s="3530"/>
      <c r="C9" s="1826"/>
      <c r="D9" s="1823"/>
      <c r="E9" s="61" t="s">
        <v>637</v>
      </c>
      <c r="F9" s="785" t="e">
        <f ca="1">IF(INDIRECT("'数据-取费表'!ah"&amp;$G$1)="",INDIRECT("'数据-取费表'!k"&amp;$G$1),INDIRECT("'数据-取费表'!ah"&amp;$G$1))</f>
        <v>#N/A</v>
      </c>
      <c r="G9" s="1591"/>
      <c r="H9" s="2489"/>
      <c r="I9" s="3530"/>
      <c r="J9" s="788"/>
      <c r="K9" s="789"/>
      <c r="L9" s="784" t="s">
        <v>1738</v>
      </c>
      <c r="M9" s="785" t="e">
        <f ca="1">F9</f>
        <v>#N/A</v>
      </c>
    </row>
    <row r="10" spans="1:25" ht="18" customHeight="1">
      <c r="A10" s="2493"/>
      <c r="B10" s="3531"/>
      <c r="C10" s="1826"/>
      <c r="D10" s="1823"/>
      <c r="E10" s="61" t="s">
        <v>638</v>
      </c>
      <c r="F10" s="785" t="e">
        <f ca="1">INDIRECT("'数据-取费表'!ai"&amp;$G$1)</f>
        <v>#N/A</v>
      </c>
      <c r="G10" s="1591"/>
      <c r="H10" s="2489"/>
      <c r="I10" s="3531"/>
      <c r="J10" s="788"/>
      <c r="K10" s="789"/>
      <c r="L10" s="784" t="s">
        <v>1739</v>
      </c>
      <c r="M10" s="785" t="e">
        <f ca="1">INDIRECT("'数据-取费表'!ai"&amp;$G$1)</f>
        <v>#N/A</v>
      </c>
    </row>
    <row r="11" spans="1:25" ht="18" customHeight="1">
      <c r="A11" s="786"/>
      <c r="B11" s="3532"/>
      <c r="C11" s="1826"/>
      <c r="D11" s="1823"/>
      <c r="E11" s="61" t="s">
        <v>639</v>
      </c>
      <c r="F11" s="794" t="e">
        <f ca="1">INDIRECT("'数据-取费表'!w"&amp;$G$1)</f>
        <v>#N/A</v>
      </c>
      <c r="G11" s="1591"/>
      <c r="H11" s="2505"/>
      <c r="I11" s="3531"/>
      <c r="J11" s="788"/>
      <c r="K11" s="789"/>
      <c r="L11" s="795" t="s">
        <v>1740</v>
      </c>
      <c r="M11" s="796" t="e">
        <f ca="1">INDIRECT("'数据-取费表'!ab"&amp;$G$1)</f>
        <v>#N/A</v>
      </c>
    </row>
    <row r="12" spans="1:25" ht="18" customHeight="1">
      <c r="A12" s="1830" t="s">
        <v>1824</v>
      </c>
      <c r="B12" s="2494" t="s">
        <v>2457</v>
      </c>
      <c r="C12" s="799" t="e">
        <f ca="1">ROUND(IF(F12="押一",C8/12*F13,IF(F12="押二",C8/12*2*F13,IF(F12="押三",C8/12*3*F13,C13*F13))),0)</f>
        <v>#N/A</v>
      </c>
      <c r="D12" s="2501" t="s">
        <v>2970</v>
      </c>
      <c r="E12" s="2498" t="s">
        <v>2462</v>
      </c>
      <c r="F12" s="2621" t="s">
        <v>3027</v>
      </c>
      <c r="G12" s="1591"/>
      <c r="H12" s="2561" t="s">
        <v>1824</v>
      </c>
      <c r="I12" s="2566" t="s">
        <v>2457</v>
      </c>
      <c r="J12" s="783">
        <f ca="1">ROUND(IF(M12="押一",J8/12*M13,IF(M12="押二",J8/12*2*M13,IF(M12="押三",J8/12*3*M13,J13*M13))),0)</f>
        <v>0</v>
      </c>
      <c r="K12" s="2501" t="s">
        <v>2970</v>
      </c>
      <c r="L12" s="2498" t="s">
        <v>2462</v>
      </c>
      <c r="M12" s="2621"/>
    </row>
    <row r="13" spans="1:25" ht="18" customHeight="1">
      <c r="A13" s="790"/>
      <c r="B13" s="2495" t="s">
        <v>2571</v>
      </c>
      <c r="C13" s="2499"/>
      <c r="D13" s="789"/>
      <c r="E13" s="2498" t="s">
        <v>2454</v>
      </c>
      <c r="F13" s="796">
        <f ca="1">'数据-取费表'!B39</f>
        <v>1.4999999999999999E-2</v>
      </c>
      <c r="G13" s="1591"/>
      <c r="H13" s="2562"/>
      <c r="I13" s="2495" t="s">
        <v>2571</v>
      </c>
      <c r="J13" s="2499"/>
      <c r="K13" s="2563"/>
      <c r="L13" s="2498" t="s">
        <v>2454</v>
      </c>
      <c r="M13" s="2492">
        <f ca="1">'数据-取费表'!B39</f>
        <v>1.4999999999999999E-2</v>
      </c>
    </row>
    <row r="14" spans="1:25" ht="18" customHeight="1" thickBot="1">
      <c r="A14" s="2537" t="s">
        <v>2465</v>
      </c>
      <c r="B14" s="2538" t="s">
        <v>2458</v>
      </c>
      <c r="C14" s="2539"/>
      <c r="D14" s="2540"/>
      <c r="E14" s="2541"/>
      <c r="F14" s="2542"/>
      <c r="G14" s="1591"/>
      <c r="H14" s="2551" t="s">
        <v>2465</v>
      </c>
      <c r="I14" s="2564" t="s">
        <v>2458</v>
      </c>
      <c r="J14" s="2565"/>
      <c r="K14" s="2540"/>
      <c r="L14" s="2541"/>
      <c r="M14" s="2554"/>
    </row>
    <row r="15" spans="1:25" ht="18" customHeight="1" thickTop="1">
      <c r="A15" s="1829" t="s">
        <v>1873</v>
      </c>
      <c r="B15" s="1827" t="s">
        <v>640</v>
      </c>
      <c r="C15" s="792" t="e">
        <f ca="1">ROUND(C31*F15,0)</f>
        <v>#N/A</v>
      </c>
      <c r="D15" s="1834" t="s">
        <v>641</v>
      </c>
      <c r="E15" s="795" t="s">
        <v>642</v>
      </c>
      <c r="F15" s="800" t="e">
        <f ca="1">INDIRECT("'数据-取费表'!y"&amp;$G$1)</f>
        <v>#N/A</v>
      </c>
      <c r="G15" s="1591"/>
      <c r="H15" s="1829" t="s">
        <v>1825</v>
      </c>
      <c r="I15" s="1827" t="s">
        <v>643</v>
      </c>
      <c r="J15" s="1819" t="e">
        <f ca="1">ROUND(J16*J17,0)</f>
        <v>#N/A</v>
      </c>
      <c r="K15" s="1821" t="s">
        <v>641</v>
      </c>
      <c r="L15" s="801"/>
      <c r="M15" s="802"/>
    </row>
    <row r="16" spans="1:25" ht="18" customHeight="1">
      <c r="A16" s="803" t="s">
        <v>1874</v>
      </c>
      <c r="B16" s="784" t="s">
        <v>644</v>
      </c>
      <c r="C16" s="804" t="e">
        <f ca="1">INDIRECT("'数据-取费表'!m"&amp;$G$1)+INDIRECT("'数据-取费表'!t"&amp;$G$1)</f>
        <v>#N/A</v>
      </c>
      <c r="D16" s="1979" t="s">
        <v>645</v>
      </c>
      <c r="E16" s="1980"/>
      <c r="F16" s="805"/>
      <c r="G16" s="1591"/>
      <c r="H16" s="803" t="s">
        <v>2070</v>
      </c>
      <c r="I16" s="2231" t="s">
        <v>2822</v>
      </c>
      <c r="J16" s="53" t="e">
        <f ca="1">C31</f>
        <v>#N/A</v>
      </c>
      <c r="K16" s="26"/>
      <c r="L16" s="801"/>
      <c r="M16" s="802"/>
    </row>
    <row r="17" spans="1:25" s="2064" customFormat="1" ht="18" customHeight="1">
      <c r="A17" s="803" t="s">
        <v>1848</v>
      </c>
      <c r="B17" s="784" t="s">
        <v>646</v>
      </c>
      <c r="C17" s="53" t="e">
        <f ca="1">ROUND(C16*F17,0)</f>
        <v>#N/A</v>
      </c>
      <c r="D17" s="806" t="s">
        <v>647</v>
      </c>
      <c r="E17" s="806" t="s">
        <v>648</v>
      </c>
      <c r="F17" s="807">
        <f>'数据-取费表'!B33</f>
        <v>0.05</v>
      </c>
      <c r="G17" s="1592"/>
      <c r="H17" s="803" t="s">
        <v>2071</v>
      </c>
      <c r="I17" s="784" t="s">
        <v>642</v>
      </c>
      <c r="J17" s="808" t="e">
        <f ca="1">INDIRECT("'数据-取费表'!ad"&amp;$G$1)</f>
        <v>#N/A</v>
      </c>
      <c r="K17" s="26"/>
      <c r="L17" s="801"/>
      <c r="M17" s="802"/>
      <c r="N17" s="2063"/>
      <c r="O17" s="2063"/>
      <c r="P17" s="2063"/>
      <c r="Q17" s="2063"/>
      <c r="R17" s="2063"/>
      <c r="S17" s="2063"/>
      <c r="T17" s="2063"/>
      <c r="U17" s="2063"/>
      <c r="V17" s="2063"/>
      <c r="W17" s="2063"/>
      <c r="X17" s="2063"/>
      <c r="Y17" s="2063"/>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1"/>
      <c r="H18" s="797" t="s">
        <v>1826</v>
      </c>
      <c r="I18" s="798" t="s">
        <v>650</v>
      </c>
      <c r="J18" s="799" t="e">
        <f ca="1">ROUND(J19+J24+J25+J26,0)</f>
        <v>#N/A</v>
      </c>
      <c r="K18" s="26" t="s">
        <v>651</v>
      </c>
      <c r="L18" s="1982"/>
      <c r="M18" s="56"/>
    </row>
    <row r="19" spans="1:25" s="2064" customFormat="1" ht="18" customHeight="1">
      <c r="A19" s="803" t="s">
        <v>1850</v>
      </c>
      <c r="B19" s="784" t="s">
        <v>652</v>
      </c>
      <c r="C19" s="53" t="e">
        <f ca="1">ROUND(F19*(INDIRECT("'数据-取费表'!k"&amp;$G$1)+INDIRECT("'数据-取费表'!S"&amp;$G$1))/10000,0)</f>
        <v>#N/A</v>
      </c>
      <c r="D19" s="784" t="s">
        <v>653</v>
      </c>
      <c r="E19" s="784" t="s">
        <v>654</v>
      </c>
      <c r="F19" s="56">
        <f>'数据-取费表'!B35</f>
        <v>200</v>
      </c>
      <c r="G19" s="1592"/>
      <c r="H19" s="803" t="s">
        <v>2070</v>
      </c>
      <c r="I19" s="784" t="s">
        <v>655</v>
      </c>
      <c r="J19" s="53" t="e">
        <f ca="1">ROUND(IF(项目基本情况!B11="自然人",J7*M19,J20+J21+J22),0)</f>
        <v>#N/A</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1851</v>
      </c>
      <c r="B20" s="784" t="s">
        <v>658</v>
      </c>
      <c r="C20" s="53" t="e">
        <f ca="1">ROUND(C16*F20,0)</f>
        <v>#N/A</v>
      </c>
      <c r="D20" s="784" t="s">
        <v>647</v>
      </c>
      <c r="E20" s="784" t="s">
        <v>648</v>
      </c>
      <c r="F20" s="809">
        <f>'数据-取费表'!B36</f>
        <v>1.4999999999999999E-2</v>
      </c>
      <c r="G20" s="1592"/>
      <c r="H20" s="803" t="s">
        <v>1830</v>
      </c>
      <c r="I20" s="784" t="s">
        <v>659</v>
      </c>
      <c r="J20" s="53" t="e">
        <f ca="1">ROUND(J7*M20/1.05,1)</f>
        <v>#N/A</v>
      </c>
      <c r="K20" s="1977" t="s">
        <v>660</v>
      </c>
      <c r="L20" s="784" t="s">
        <v>648</v>
      </c>
      <c r="M20" s="809">
        <f>'数据-取费表'!B41</f>
        <v>5.6000000000000001E-2</v>
      </c>
      <c r="N20" s="2063"/>
      <c r="O20" s="2063"/>
      <c r="P20" s="2063"/>
      <c r="Q20" s="2063"/>
      <c r="R20" s="2063"/>
      <c r="S20" s="2063"/>
      <c r="T20" s="2063"/>
      <c r="U20" s="2063"/>
      <c r="V20" s="2063"/>
      <c r="W20" s="2063"/>
      <c r="X20" s="2063"/>
      <c r="Y20" s="2063"/>
    </row>
    <row r="21" spans="1:25" ht="18" customHeight="1">
      <c r="A21" s="803" t="s">
        <v>1875</v>
      </c>
      <c r="B21" s="784" t="s">
        <v>661</v>
      </c>
      <c r="C21" s="53" t="e">
        <f ca="1">SUM(C16:C20)</f>
        <v>#N/A</v>
      </c>
      <c r="D21" s="261" t="s">
        <v>662</v>
      </c>
      <c r="E21" s="1982"/>
      <c r="F21" s="56"/>
      <c r="G21" s="1591"/>
      <c r="H21" s="1830" t="s">
        <v>1848</v>
      </c>
      <c r="I21" s="784" t="s">
        <v>663</v>
      </c>
      <c r="J21" s="53" t="e">
        <f ca="1">IF(K21="按租金收入计税",ROUND(J7*M21,1),ROUND(C31*F35*0.7,1))</f>
        <v>#N/A</v>
      </c>
      <c r="K21" s="811" t="s">
        <v>664</v>
      </c>
      <c r="L21" s="784" t="s">
        <v>648</v>
      </c>
      <c r="M21" s="809">
        <f>IF(K21="按租金收入计税",'数据-取费表'!B51,'数据-取费表'!B50)</f>
        <v>1.2E-2</v>
      </c>
    </row>
    <row r="22" spans="1:25" s="2064" customFormat="1" ht="18" customHeight="1">
      <c r="A22" s="803" t="s">
        <v>1876</v>
      </c>
      <c r="B22" s="784" t="s">
        <v>665</v>
      </c>
      <c r="C22" s="53" t="e">
        <f ca="1">ROUND(C21*F22,0)</f>
        <v>#N/A</v>
      </c>
      <c r="D22" s="812" t="s">
        <v>666</v>
      </c>
      <c r="E22" s="784" t="s">
        <v>648</v>
      </c>
      <c r="F22" s="809">
        <f>'数据-取费表'!B37</f>
        <v>0.02</v>
      </c>
      <c r="G22" s="1592"/>
      <c r="H22" s="1832" t="s">
        <v>1849</v>
      </c>
      <c r="I22" s="1822" t="s">
        <v>667</v>
      </c>
      <c r="J22" s="54" t="e">
        <f ca="1">ROUND(M22*M23/10000,0)</f>
        <v>#N/A</v>
      </c>
      <c r="K22" s="814" t="s">
        <v>668</v>
      </c>
      <c r="L22" s="784" t="s">
        <v>669</v>
      </c>
      <c r="M22" s="640">
        <f>'数据-取费表'!B52</f>
        <v>20</v>
      </c>
      <c r="N22" s="2063"/>
      <c r="O22" s="2063"/>
      <c r="P22" s="2063"/>
      <c r="Q22" s="2063"/>
      <c r="R22" s="2063"/>
      <c r="S22" s="2063"/>
      <c r="T22" s="2063"/>
      <c r="U22" s="2063"/>
      <c r="V22" s="2063"/>
      <c r="W22" s="2063"/>
      <c r="X22" s="2063"/>
      <c r="Y22" s="2063"/>
    </row>
    <row r="23" spans="1:25" s="2064" customFormat="1" ht="18" customHeight="1">
      <c r="A23" s="803" t="s">
        <v>1877</v>
      </c>
      <c r="B23" s="784" t="s">
        <v>670</v>
      </c>
      <c r="C23" s="53" t="s">
        <v>1</v>
      </c>
      <c r="D23" s="812" t="s">
        <v>671</v>
      </c>
      <c r="E23" s="784" t="s">
        <v>672</v>
      </c>
      <c r="F23" s="809">
        <f>'数据-取费表'!B38</f>
        <v>0.02</v>
      </c>
      <c r="G23" s="1592"/>
      <c r="H23" s="1833"/>
      <c r="I23" s="1824"/>
      <c r="J23" s="69"/>
      <c r="K23" s="816"/>
      <c r="L23" s="784" t="s">
        <v>673</v>
      </c>
      <c r="M23" s="785" t="e">
        <f ca="1">INDIRECT("'数据-取费表'!r"&amp;$G$1)</f>
        <v>#N/A</v>
      </c>
      <c r="N23" s="2063"/>
      <c r="O23" s="2063"/>
      <c r="P23" s="2063"/>
      <c r="Q23" s="2063"/>
      <c r="R23" s="2063"/>
      <c r="S23" s="2063"/>
      <c r="T23" s="2063"/>
      <c r="U23" s="2063"/>
      <c r="V23" s="2063"/>
      <c r="W23" s="2063"/>
      <c r="X23" s="2063"/>
      <c r="Y23" s="2063"/>
    </row>
    <row r="24" spans="1:25" ht="18" customHeight="1">
      <c r="A24" s="803" t="s">
        <v>1878</v>
      </c>
      <c r="B24" s="784" t="s">
        <v>674</v>
      </c>
      <c r="C24" s="53"/>
      <c r="D24" s="2572" t="str">
        <f>IF(F25&lt;=1,"单利计息。","复利计息。")&amp;"建造成本、管理费用、销售费用产生的利息。"</f>
        <v>复利计息。建造成本、管理费用、销售费用产生的利息。</v>
      </c>
      <c r="E24" s="1982"/>
      <c r="F24" s="56"/>
      <c r="G24" s="1591"/>
      <c r="H24" s="1831" t="s">
        <v>2071</v>
      </c>
      <c r="I24" s="784" t="s">
        <v>675</v>
      </c>
      <c r="J24" s="53" t="e">
        <f ca="1">ROUND(J16*M24,0)</f>
        <v>#N/A</v>
      </c>
      <c r="K24" s="1977" t="s">
        <v>676</v>
      </c>
      <c r="L24" s="784" t="s">
        <v>648</v>
      </c>
      <c r="M24" s="817" t="e">
        <f ca="1">INDIRECT("'数据-取费表'!Ak"&amp;$G$1)</f>
        <v>#N/A</v>
      </c>
    </row>
    <row r="25" spans="1:25" s="2064" customFormat="1" ht="18" customHeight="1">
      <c r="A25" s="803" t="s">
        <v>1874</v>
      </c>
      <c r="B25" s="784" t="s">
        <v>2437</v>
      </c>
      <c r="C25" s="53" t="e">
        <f ca="1">ROUND(IF('数据-取费表'!B22&lt;=1,(C21+C22)*F26*F25/2,(C21+C22)*(POWER((1+F26),F25/2)-1)),0)</f>
        <v>#N/A</v>
      </c>
      <c r="D25" s="2571" t="str">
        <f>IF(F25&lt;=1,"(建造成本+管理费用)×利率×(建设周期÷2)","(建造成本+管理费用)×((1+利率)^(建设周期÷2)-1)")</f>
        <v>(建造成本+管理费用)×((1+利率)^(建设周期÷2)-1)</v>
      </c>
      <c r="E25" s="784" t="s">
        <v>677</v>
      </c>
      <c r="F25" s="640">
        <f>'数据-取费表'!B20</f>
        <v>3</v>
      </c>
      <c r="G25" s="1592"/>
      <c r="H25" s="803" t="s">
        <v>1877</v>
      </c>
      <c r="I25" s="784" t="s">
        <v>678</v>
      </c>
      <c r="J25" s="53" t="e">
        <f ca="1">ROUND(J15*M25,0)</f>
        <v>#N/A</v>
      </c>
      <c r="K25" s="1977" t="s">
        <v>679</v>
      </c>
      <c r="L25" s="784" t="s">
        <v>648</v>
      </c>
      <c r="M25" s="818" t="e">
        <f ca="1">INDIRECT("'数据-取费表'!Al"&amp;$G$1)</f>
        <v>#N/A</v>
      </c>
      <c r="N25" s="2063"/>
      <c r="O25" s="2063"/>
      <c r="P25" s="2063"/>
      <c r="Q25" s="2063"/>
      <c r="R25" s="2063"/>
      <c r="S25" s="2063"/>
      <c r="T25" s="2063"/>
      <c r="U25" s="2063"/>
      <c r="V25" s="2063"/>
      <c r="W25" s="2063"/>
      <c r="X25" s="2063"/>
      <c r="Y25" s="2063"/>
    </row>
    <row r="26" spans="1:25" s="2064" customFormat="1" ht="18" customHeight="1">
      <c r="A26" s="803" t="s">
        <v>1848</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1878</v>
      </c>
      <c r="I26" s="784" t="s">
        <v>665</v>
      </c>
      <c r="J26" s="53" t="e">
        <f ca="1">ROUND(J7*M26,0)</f>
        <v>#N/A</v>
      </c>
      <c r="K26" s="1977" t="s">
        <v>682</v>
      </c>
      <c r="L26" s="784" t="s">
        <v>648</v>
      </c>
      <c r="M26" s="794" t="e">
        <f ca="1">INDIRECT("'数据-取费表'!Am"&amp;$G$1)</f>
        <v>#N/A</v>
      </c>
      <c r="N26" s="2063"/>
      <c r="O26" s="2063"/>
      <c r="P26" s="2063"/>
      <c r="Q26" s="2063"/>
      <c r="R26" s="2063"/>
      <c r="S26" s="2063"/>
      <c r="T26" s="2063"/>
      <c r="U26" s="2063"/>
      <c r="V26" s="2063"/>
      <c r="W26" s="2063"/>
      <c r="X26" s="2063"/>
      <c r="Y26" s="2063"/>
    </row>
    <row r="27" spans="1:25" ht="18" customHeight="1">
      <c r="A27" s="803" t="s">
        <v>1880</v>
      </c>
      <c r="B27" s="784" t="s">
        <v>683</v>
      </c>
      <c r="C27" s="53"/>
      <c r="D27" s="261" t="s">
        <v>684</v>
      </c>
      <c r="E27" s="1982"/>
      <c r="F27" s="56"/>
      <c r="G27" s="1591"/>
      <c r="H27" s="797" t="s">
        <v>1827</v>
      </c>
      <c r="I27" s="3011" t="s">
        <v>2819</v>
      </c>
      <c r="J27" s="799" t="e">
        <f ca="1">J7-J18</f>
        <v>#N/A</v>
      </c>
      <c r="K27" s="1979" t="s">
        <v>699</v>
      </c>
      <c r="L27" s="1981"/>
      <c r="M27" s="820"/>
    </row>
    <row r="28" spans="1:25" ht="18" customHeight="1">
      <c r="A28" s="803" t="s">
        <v>1874</v>
      </c>
      <c r="B28" s="784" t="s">
        <v>2438</v>
      </c>
      <c r="C28" s="53" t="e">
        <f ca="1">ROUND((C21+C22)*F28,0)</f>
        <v>#N/A</v>
      </c>
      <c r="D28" s="812" t="s">
        <v>700</v>
      </c>
      <c r="E28" s="795" t="s">
        <v>701</v>
      </c>
      <c r="F28" s="794" t="e">
        <f ca="1">INDIRECT("'数据-取费表'!q"&amp;$G$1)</f>
        <v>#N/A</v>
      </c>
      <c r="G28" s="1591"/>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1"/>
      <c r="H29" s="786"/>
      <c r="I29" s="787"/>
      <c r="J29" s="788"/>
      <c r="K29" s="821" t="s">
        <v>706</v>
      </c>
      <c r="L29" s="784" t="s">
        <v>707</v>
      </c>
      <c r="M29" s="822" t="e">
        <f ca="1">INDIRECT("'数据-取费表'!ag"&amp;$G$1)</f>
        <v>#N/A</v>
      </c>
    </row>
    <row r="30" spans="1:25" s="2064" customFormat="1" ht="18" customHeight="1">
      <c r="A30" s="803" t="s">
        <v>1881</v>
      </c>
      <c r="B30" s="784" t="s">
        <v>686</v>
      </c>
      <c r="C30" s="53">
        <f>ROUND(F30/(1+'数据-取费表'!C42),4)</f>
        <v>5.33E-2</v>
      </c>
      <c r="D30" s="812" t="s">
        <v>708</v>
      </c>
      <c r="E30" s="784" t="s">
        <v>648</v>
      </c>
      <c r="F30" s="809">
        <f>'数据-取费表'!B41</f>
        <v>5.6000000000000001E-2</v>
      </c>
      <c r="G30" s="1592"/>
      <c r="H30" s="790"/>
      <c r="I30" s="791"/>
      <c r="J30" s="792"/>
      <c r="K30" s="816"/>
      <c r="L30" s="784" t="s">
        <v>709</v>
      </c>
      <c r="M30" s="794" t="e">
        <f ca="1">INDIRECT("'数据-取费表'!aa"&amp;$G$1)</f>
        <v>#N/A</v>
      </c>
      <c r="N30" s="2063"/>
      <c r="O30" s="2063"/>
      <c r="P30" s="2063"/>
      <c r="Q30" s="2063"/>
      <c r="R30" s="2063"/>
      <c r="S30" s="2063"/>
      <c r="T30" s="2063"/>
      <c r="U30" s="2063"/>
      <c r="V30" s="2063"/>
      <c r="W30" s="2063"/>
      <c r="X30" s="2063"/>
      <c r="Y30" s="2063"/>
    </row>
    <row r="31" spans="1:25" s="2064" customFormat="1" ht="18" customHeight="1" thickBot="1">
      <c r="A31" s="2560" t="s">
        <v>1882</v>
      </c>
      <c r="B31" s="2541" t="s">
        <v>2820</v>
      </c>
      <c r="C31" s="2544" t="e">
        <f ca="1">ROUND((C21+C22+C25+C28)/(1-F23-C26-C29-C30),0)</f>
        <v>#N/A</v>
      </c>
      <c r="D31" s="2545"/>
      <c r="E31" s="2546"/>
      <c r="F31" s="2547"/>
      <c r="G31" s="1592"/>
      <c r="H31" s="823" t="s">
        <v>1871</v>
      </c>
      <c r="I31" s="3012" t="s">
        <v>2821</v>
      </c>
      <c r="J31" s="825" t="e">
        <f ca="1">ROUND(J28/(1+F45)^F46,0)</f>
        <v>#N/A</v>
      </c>
      <c r="K31" s="826" t="s">
        <v>687</v>
      </c>
      <c r="L31" s="827"/>
      <c r="M31" s="828" t="e">
        <f ca="1">INDIRECT("'数据-取费表'!k"&amp;$G$1)</f>
        <v>#N/A</v>
      </c>
      <c r="N31" s="2063"/>
      <c r="O31" s="2063"/>
      <c r="P31" s="2063"/>
      <c r="Q31" s="2063"/>
      <c r="R31" s="2063"/>
      <c r="S31" s="2063"/>
      <c r="T31" s="2063"/>
      <c r="U31" s="2063"/>
      <c r="V31" s="2063"/>
      <c r="W31" s="2063"/>
      <c r="X31" s="2063"/>
      <c r="Y31" s="2063"/>
    </row>
    <row r="32" spans="1:25" ht="18" customHeight="1" thickTop="1">
      <c r="A32" s="1829" t="s">
        <v>7</v>
      </c>
      <c r="B32" s="1827" t="s">
        <v>688</v>
      </c>
      <c r="C32" s="792" t="e">
        <f ca="1">ROUND(C33+C38+C39+C40,0)</f>
        <v>#N/A</v>
      </c>
      <c r="D32" s="1821" t="s">
        <v>651</v>
      </c>
      <c r="E32" s="2487"/>
      <c r="F32" s="2491"/>
      <c r="G32" s="2062"/>
      <c r="H32" s="2065"/>
      <c r="I32" s="2066"/>
      <c r="J32" s="2067"/>
      <c r="K32" s="2068"/>
      <c r="L32" s="2069"/>
      <c r="M32" s="2070"/>
    </row>
    <row r="33" spans="1:18" ht="18" customHeight="1">
      <c r="A33" s="803" t="s">
        <v>1875</v>
      </c>
      <c r="B33" s="784" t="s">
        <v>655</v>
      </c>
      <c r="C33" s="53" t="e">
        <f ca="1">ROUND(IF(项目基本情况!B11="自然人",C7*F33,C34+C35+C36),1)</f>
        <v>#N/A</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1874</v>
      </c>
      <c r="B34" s="784" t="s">
        <v>659</v>
      </c>
      <c r="C34" s="53" t="e">
        <f ca="1">ROUND(C7*F34/1.05,1)</f>
        <v>#N/A</v>
      </c>
      <c r="D34" s="1977" t="s">
        <v>660</v>
      </c>
      <c r="E34" s="784" t="s">
        <v>648</v>
      </c>
      <c r="F34" s="809">
        <f>'数据-取费表'!B41</f>
        <v>5.6000000000000001E-2</v>
      </c>
      <c r="G34" s="2062"/>
      <c r="H34" s="2071"/>
      <c r="I34" s="2072"/>
      <c r="J34" s="2073"/>
      <c r="K34" s="2074"/>
      <c r="L34" s="2075"/>
      <c r="M34" s="2076"/>
    </row>
    <row r="35" spans="1:18" ht="18" customHeight="1">
      <c r="A35" s="803" t="s">
        <v>1848</v>
      </c>
      <c r="B35" s="784" t="s">
        <v>663</v>
      </c>
      <c r="C35" s="53" t="e">
        <f ca="1">IF(D35="按租金收入计税",ROUND(C7*F35,1),IF(D35="按房产原值计税",ROUND(C31*F35*0.7,1),INDIRECT("'数据-取费表'!Aj"&amp;$G$1)))</f>
        <v>#N/A</v>
      </c>
      <c r="D35" s="811" t="s">
        <v>3028</v>
      </c>
      <c r="E35" s="784" t="s">
        <v>648</v>
      </c>
      <c r="F35" s="809">
        <f>IF(D35="按租金收入计税",'数据-取费表'!B51,'数据-取费表'!B50)</f>
        <v>0.12</v>
      </c>
      <c r="G35" s="2062"/>
      <c r="H35" s="2077"/>
      <c r="I35" s="2077"/>
      <c r="J35" s="2077"/>
      <c r="K35" s="2078"/>
      <c r="L35" s="2077"/>
      <c r="M35" s="2077"/>
    </row>
    <row r="36" spans="1:18" ht="18" customHeight="1">
      <c r="A36" s="813" t="s">
        <v>1879</v>
      </c>
      <c r="B36" s="341" t="s">
        <v>667</v>
      </c>
      <c r="C36" s="54" t="e">
        <f ca="1">ROUND(F36*F37/10000,1)</f>
        <v>#N/A</v>
      </c>
      <c r="D36" s="814" t="s">
        <v>668</v>
      </c>
      <c r="E36" s="784" t="s">
        <v>669</v>
      </c>
      <c r="F36" s="640">
        <f>'数据-取费表'!B52</f>
        <v>20</v>
      </c>
      <c r="G36" s="2062"/>
      <c r="H36" s="2065"/>
      <c r="I36" s="3528"/>
      <c r="J36" s="2079"/>
      <c r="K36" s="2080"/>
      <c r="L36" s="2079"/>
      <c r="M36" s="2079"/>
    </row>
    <row r="37" spans="1:18" ht="18" customHeight="1">
      <c r="A37" s="815"/>
      <c r="B37" s="793"/>
      <c r="C37" s="69"/>
      <c r="D37" s="816"/>
      <c r="E37" s="784" t="s">
        <v>673</v>
      </c>
      <c r="F37" s="785" t="e">
        <f ca="1">INDIRECT("'数据-取费表'!r"&amp;$G$1)</f>
        <v>#N/A</v>
      </c>
      <c r="G37" s="2062"/>
      <c r="H37" s="2065"/>
      <c r="I37" s="3528"/>
      <c r="J37" s="2077"/>
      <c r="K37" s="2078"/>
      <c r="L37" s="2077"/>
      <c r="M37" s="2077"/>
    </row>
    <row r="38" spans="1:18" ht="18" customHeight="1">
      <c r="A38" s="803" t="s">
        <v>1876</v>
      </c>
      <c r="B38" s="784" t="s">
        <v>675</v>
      </c>
      <c r="C38" s="53" t="e">
        <f ca="1">ROUND(C31*F38,1)</f>
        <v>#N/A</v>
      </c>
      <c r="D38" s="1977" t="s">
        <v>690</v>
      </c>
      <c r="E38" s="784" t="s">
        <v>648</v>
      </c>
      <c r="F38" s="817" t="e">
        <f ca="1">INDIRECT("'数据-取费表'!Ak"&amp;$G$1)</f>
        <v>#N/A</v>
      </c>
      <c r="G38" s="2062"/>
      <c r="H38" s="2077"/>
      <c r="I38" s="2081"/>
      <c r="J38" s="1988"/>
      <c r="K38" s="2082"/>
      <c r="L38" s="2077"/>
      <c r="M38" s="2077"/>
    </row>
    <row r="39" spans="1:18" ht="18" customHeight="1">
      <c r="A39" s="803" t="s">
        <v>1877</v>
      </c>
      <c r="B39" s="784" t="s">
        <v>678</v>
      </c>
      <c r="C39" s="53" t="e">
        <f ca="1">ROUND(C15*F39,1)</f>
        <v>#N/A</v>
      </c>
      <c r="D39" s="1977" t="s">
        <v>679</v>
      </c>
      <c r="E39" s="784" t="s">
        <v>648</v>
      </c>
      <c r="F39" s="818" t="e">
        <f ca="1">INDIRECT("'数据-取费表'!Al"&amp;$G$1)</f>
        <v>#N/A</v>
      </c>
      <c r="G39" s="2062"/>
      <c r="H39" s="2077"/>
      <c r="I39" s="2081"/>
      <c r="J39" s="1988"/>
      <c r="K39" s="2082"/>
      <c r="L39" s="2077"/>
      <c r="M39" s="2077"/>
    </row>
    <row r="40" spans="1:18" ht="18" customHeight="1" thickBot="1">
      <c r="A40" s="2560" t="s">
        <v>1878</v>
      </c>
      <c r="B40" s="2546" t="s">
        <v>665</v>
      </c>
      <c r="C40" s="2544" t="e">
        <f ca="1">ROUND(C7*F40,1)</f>
        <v>#N/A</v>
      </c>
      <c r="D40" s="2545" t="s">
        <v>682</v>
      </c>
      <c r="E40" s="2546" t="s">
        <v>648</v>
      </c>
      <c r="F40" s="2542" t="e">
        <f ca="1">INDIRECT("'数据-取费表'!Am"&amp;$G$1)</f>
        <v>#N/A</v>
      </c>
      <c r="G40" s="2062"/>
      <c r="H40" s="2077"/>
      <c r="I40" s="2081"/>
      <c r="J40" s="1988"/>
      <c r="K40" s="2083"/>
      <c r="L40" s="2077"/>
      <c r="M40" s="2077"/>
    </row>
    <row r="41" spans="1:18" ht="18" customHeight="1" thickTop="1">
      <c r="A41" s="1829">
        <v>4</v>
      </c>
      <c r="B41" s="1827" t="s">
        <v>691</v>
      </c>
      <c r="C41" s="1353"/>
      <c r="D41" s="1354"/>
      <c r="E41" s="1354"/>
      <c r="F41" s="1355"/>
      <c r="G41" s="2062"/>
      <c r="H41" s="2062"/>
      <c r="I41" s="2062"/>
      <c r="J41" s="2062"/>
      <c r="K41" s="2083"/>
      <c r="L41" s="2062"/>
      <c r="M41" s="2062"/>
    </row>
    <row r="42" spans="1:18" ht="18" customHeight="1">
      <c r="A42" s="803" t="s">
        <v>1875</v>
      </c>
      <c r="B42" s="835" t="s">
        <v>692</v>
      </c>
      <c r="C42" s="829" t="e">
        <f ca="1">C7-C32</f>
        <v>#N/A</v>
      </c>
      <c r="D42" s="1979" t="s">
        <v>693</v>
      </c>
      <c r="E42" s="1981"/>
      <c r="F42" s="820"/>
      <c r="G42" s="2062"/>
      <c r="H42" s="2062"/>
      <c r="I42" s="2062"/>
      <c r="J42" s="2062"/>
      <c r="K42" s="2083"/>
      <c r="L42" s="2062"/>
      <c r="M42" s="2062"/>
    </row>
    <row r="43" spans="1:18" ht="18" customHeight="1">
      <c r="A43" s="803" t="s">
        <v>1876</v>
      </c>
      <c r="B43" s="835" t="s">
        <v>710</v>
      </c>
      <c r="C43" s="836" t="e">
        <f ca="1">ROUND(C15*F43,0)</f>
        <v>#N/A</v>
      </c>
      <c r="D43" s="1356" t="s">
        <v>711</v>
      </c>
      <c r="E43" s="3119" t="s">
        <v>2959</v>
      </c>
      <c r="F43" s="3120" t="e">
        <f ca="1">INDIRECT("'数据-取费表'!j"&amp;$G$1)</f>
        <v>#N/A</v>
      </c>
      <c r="G43" s="2062"/>
      <c r="H43" s="2062"/>
      <c r="I43" s="2062"/>
      <c r="J43" s="2062"/>
      <c r="K43" s="2083"/>
      <c r="L43" s="2062"/>
      <c r="M43" s="2062"/>
    </row>
    <row r="44" spans="1:18" ht="18" customHeight="1">
      <c r="A44" s="803" t="s">
        <v>1877</v>
      </c>
      <c r="B44" s="835" t="s">
        <v>712</v>
      </c>
      <c r="C44" s="1357" t="e">
        <f ca="1">C42-C43</f>
        <v>#N/A</v>
      </c>
      <c r="D44" s="463" t="s">
        <v>713</v>
      </c>
      <c r="E44" s="464"/>
      <c r="F44" s="465"/>
      <c r="G44" s="2062"/>
      <c r="H44" s="2062"/>
      <c r="I44" s="2062"/>
      <c r="J44" s="2062"/>
      <c r="K44" s="2083"/>
      <c r="L44" s="2062"/>
      <c r="M44" s="2062"/>
    </row>
    <row r="45" spans="1:18" ht="18" customHeight="1">
      <c r="A45" s="803" t="s">
        <v>1878</v>
      </c>
      <c r="B45" s="1356" t="s">
        <v>714</v>
      </c>
      <c r="C45" s="3036" t="e">
        <f ca="1">ROUND(-PV(F45,F46,C44,0),0)</f>
        <v>#N/A</v>
      </c>
      <c r="D45" s="1358" t="s">
        <v>715</v>
      </c>
      <c r="E45" s="806" t="s">
        <v>716</v>
      </c>
      <c r="F45" s="830" t="e">
        <f ca="1">INDIRECT("'数据-取费表'!h"&amp;$G$1)</f>
        <v>#N/A</v>
      </c>
      <c r="G45" s="2062"/>
      <c r="H45" s="2062"/>
      <c r="I45" s="2062"/>
      <c r="J45" s="2062"/>
      <c r="K45" s="2083"/>
      <c r="L45" s="2062"/>
      <c r="M45" s="2062"/>
    </row>
    <row r="46" spans="1:18" ht="18" customHeight="1" thickBot="1">
      <c r="A46" s="831"/>
      <c r="B46" s="1359"/>
      <c r="C46" s="1360"/>
      <c r="D46" s="1361"/>
      <c r="E46" s="3121" t="s">
        <v>2961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2343</v>
      </c>
      <c r="J47" s="2379"/>
      <c r="K47" s="2380"/>
      <c r="L47" s="3157" t="e">
        <f ca="1">IF(M48="住宅",0,IF(L49&gt;J52,L61,J61))</f>
        <v>#N/A</v>
      </c>
      <c r="O47" s="2394" t="s">
        <v>2410</v>
      </c>
      <c r="P47" s="1591"/>
      <c r="Q47" s="1603"/>
      <c r="R47" s="1591"/>
    </row>
    <row r="48" spans="1:18" s="2059" customFormat="1" ht="18" customHeight="1" thickBot="1">
      <c r="A48" s="2084"/>
      <c r="C48" s="2087"/>
      <c r="D48" s="2088"/>
      <c r="E48" s="2088"/>
      <c r="F48" s="2089"/>
      <c r="G48" s="2090"/>
      <c r="I48" s="3147" t="s">
        <v>2344</v>
      </c>
      <c r="J48" s="2381"/>
      <c r="K48" s="3154" t="s">
        <v>2349</v>
      </c>
      <c r="L48" s="3158" t="e">
        <f ca="1">INDIRECT("'数据-取费表'!d"&amp;$G$1)</f>
        <v>#N/A</v>
      </c>
      <c r="M48" s="3118" t="str">
        <f>IF(ISNUMBER(FIND("住宅",C1)),"住宅","非住宅")</f>
        <v>非住宅</v>
      </c>
      <c r="O48" s="2395" t="s">
        <v>2375</v>
      </c>
      <c r="P48" s="2396" t="s">
        <v>2376</v>
      </c>
      <c r="Q48" s="2397" t="s">
        <v>2377</v>
      </c>
      <c r="R48" s="2396" t="s">
        <v>2378</v>
      </c>
    </row>
    <row r="49" spans="1:18" s="2059" customFormat="1" ht="18" customHeight="1" thickBot="1">
      <c r="A49" s="2084"/>
      <c r="D49" s="2091"/>
      <c r="E49" s="2092"/>
      <c r="F49" s="2089"/>
      <c r="G49" s="2090"/>
      <c r="H49" s="2093"/>
      <c r="I49" s="3123" t="s">
        <v>2345</v>
      </c>
      <c r="J49" s="2382"/>
      <c r="K49" s="3155" t="s">
        <v>2351</v>
      </c>
      <c r="L49" s="1908" t="e">
        <f ca="1">INDIRECT("'数据-取费表'!f"&amp;$G$1)</f>
        <v>#N/A</v>
      </c>
      <c r="O49" s="2398" t="s">
        <v>2379</v>
      </c>
      <c r="P49" s="2399" t="s">
        <v>2405</v>
      </c>
      <c r="Q49" s="2400" t="e">
        <f ca="1">C41+J31</f>
        <v>#N/A</v>
      </c>
      <c r="R49" s="2399" t="s">
        <v>2380</v>
      </c>
    </row>
    <row r="50" spans="1:18" s="2059" customFormat="1" ht="18" customHeight="1" thickBot="1">
      <c r="A50" s="2084"/>
      <c r="D50" s="2094"/>
      <c r="E50" s="2094"/>
      <c r="F50" s="2088"/>
      <c r="G50" s="2095"/>
      <c r="H50" s="2093"/>
      <c r="I50" s="3123" t="s">
        <v>2346</v>
      </c>
      <c r="J50" s="2383"/>
      <c r="K50" s="3156" t="s">
        <v>2352</v>
      </c>
      <c r="L50" s="2384"/>
      <c r="O50" s="2398" t="s">
        <v>2381</v>
      </c>
      <c r="P50" s="2399" t="s">
        <v>2406</v>
      </c>
      <c r="Q50" s="2400" t="e">
        <f ca="1">J61</f>
        <v>#N/A</v>
      </c>
      <c r="R50" s="2399" t="s">
        <v>2382</v>
      </c>
    </row>
    <row r="51" spans="1:18" s="2059" customFormat="1" ht="18" customHeight="1" thickBot="1">
      <c r="A51" s="2096"/>
      <c r="D51" s="2094"/>
      <c r="E51" s="2094"/>
      <c r="F51" s="2085"/>
      <c r="H51" s="2093"/>
      <c r="I51" s="3123" t="s">
        <v>2347</v>
      </c>
      <c r="J51" s="3151">
        <f>SUMPRODUCT((I64:I66=J48)*(J63:L63=J49)*(J64:L66))</f>
        <v>0</v>
      </c>
      <c r="K51" s="3156" t="s">
        <v>2353</v>
      </c>
      <c r="L51" s="2384"/>
      <c r="O51" s="2401" t="s">
        <v>2383</v>
      </c>
      <c r="P51" s="2399" t="s">
        <v>2407</v>
      </c>
      <c r="Q51" s="2400" t="e">
        <f ca="1">C31</f>
        <v>#N/A</v>
      </c>
      <c r="R51" s="2399" t="s">
        <v>2380</v>
      </c>
    </row>
    <row r="52" spans="1:18" s="2059" customFormat="1" ht="18" customHeight="1" thickBot="1">
      <c r="A52" s="2096"/>
      <c r="F52" s="2085"/>
      <c r="I52" s="3148" t="s">
        <v>2348</v>
      </c>
      <c r="J52" s="3152">
        <f>IF(J50="",J51,J50+J51-YEAR('数据-取费表'!B3))</f>
        <v>0</v>
      </c>
      <c r="K52" s="3123" t="s">
        <v>2354</v>
      </c>
      <c r="L52" s="3159" t="e">
        <f ca="1">ROUND(-PV(INDIRECT("'数据-取费表'!h"&amp;$G$1),L49,(C40-C14*J36),0),0)</f>
        <v>#N/A</v>
      </c>
      <c r="O52" s="2401" t="s">
        <v>2384</v>
      </c>
      <c r="P52" s="2399" t="s">
        <v>2385</v>
      </c>
      <c r="Q52" s="2402" t="e">
        <f ca="1">J59</f>
        <v>#N/A</v>
      </c>
      <c r="R52" s="2403"/>
    </row>
    <row r="53" spans="1:18" s="2059" customFormat="1" ht="18" customHeight="1" thickBot="1">
      <c r="A53" s="2096"/>
      <c r="F53" s="2085"/>
      <c r="I53" s="3149" t="s">
        <v>2421</v>
      </c>
      <c r="J53" s="2385"/>
      <c r="K53" s="3149" t="s">
        <v>2420</v>
      </c>
      <c r="L53" s="2385"/>
      <c r="O53" s="2401" t="s">
        <v>2386</v>
      </c>
      <c r="P53" s="2399" t="s">
        <v>2387</v>
      </c>
      <c r="Q53" s="2402">
        <f>J53</f>
        <v>0</v>
      </c>
      <c r="R53" s="2403"/>
    </row>
    <row r="54" spans="1:18" s="2059" customFormat="1" ht="31.8" thickBot="1">
      <c r="A54" s="2096"/>
      <c r="I54" s="3150" t="s">
        <v>2975</v>
      </c>
      <c r="J54" s="3153" t="e">
        <f ca="1">IF(M48="住宅",MAX(J52,L49-'数据-取费表'!B20),MIN(J52,L49-'数据-取费表'!B20))</f>
        <v>#N/A</v>
      </c>
      <c r="K54" s="3533"/>
      <c r="L54" s="3534"/>
      <c r="O54" s="2401" t="s">
        <v>2388</v>
      </c>
      <c r="P54" s="2399" t="s">
        <v>2389</v>
      </c>
      <c r="Q54" s="2400" t="e">
        <f ca="1">J54</f>
        <v>#N/A</v>
      </c>
      <c r="R54" s="2399" t="s">
        <v>2390</v>
      </c>
    </row>
    <row r="55" spans="1:18" s="2059" customFormat="1" ht="18" customHeight="1" thickBot="1">
      <c r="A55" s="2096"/>
      <c r="I55" s="3160"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0"/>
      <c r="K55" s="3161"/>
      <c r="O55" s="2398" t="s">
        <v>2391</v>
      </c>
      <c r="P55" s="2399" t="s">
        <v>2408</v>
      </c>
      <c r="Q55" s="2400" t="e">
        <f ca="1">Q49+Q50</f>
        <v>#N/A</v>
      </c>
      <c r="R55" s="2403" t="s">
        <v>2392</v>
      </c>
    </row>
    <row r="56" spans="1:18" s="2059" customFormat="1" ht="16.2" thickBot="1">
      <c r="A56" s="2096"/>
      <c r="B56" s="2097"/>
      <c r="C56" s="2097"/>
      <c r="I56" s="3162" t="s">
        <v>2355</v>
      </c>
      <c r="J56" s="3098" t="e">
        <f ca="1">ROUND(IF(J48="钢混",J58/J51,1-(1-2%)*(J51-J58)/J51),3)</f>
        <v>#N/A</v>
      </c>
      <c r="K56" s="3163" t="s">
        <v>2356</v>
      </c>
      <c r="L56" s="2386"/>
      <c r="O56" s="2404" t="s">
        <v>2411</v>
      </c>
      <c r="P56" s="1591"/>
      <c r="Q56" s="1603"/>
      <c r="R56" s="1591"/>
    </row>
    <row r="57" spans="1:18" s="2059" customFormat="1" ht="47.4" thickBot="1">
      <c r="A57" s="2096"/>
      <c r="B57" s="2097"/>
      <c r="C57" s="2097"/>
      <c r="I57" s="3164" t="s">
        <v>2357</v>
      </c>
      <c r="J57" s="3174" t="s">
        <v>1678</v>
      </c>
      <c r="K57" s="3123" t="s">
        <v>2362</v>
      </c>
      <c r="L57" s="1908" t="e">
        <f ca="1">IF(L49&lt;J52,"——",L49-J52)</f>
        <v>#N/A</v>
      </c>
      <c r="O57" s="2395" t="s">
        <v>2375</v>
      </c>
      <c r="P57" s="2396" t="s">
        <v>2376</v>
      </c>
      <c r="Q57" s="2397" t="s">
        <v>2377</v>
      </c>
      <c r="R57" s="2396" t="s">
        <v>2378</v>
      </c>
    </row>
    <row r="58" spans="1:18" s="2059" customFormat="1" ht="31.8" thickBot="1">
      <c r="A58" s="2096"/>
      <c r="B58" s="2097"/>
      <c r="C58" s="2097"/>
      <c r="I58" s="3165" t="s">
        <v>2358</v>
      </c>
      <c r="J58" s="3166" t="e">
        <f ca="1">IF(OR(M48="住宅",J52&lt;L49,J57="是"),"——",J52-L49)</f>
        <v>#N/A</v>
      </c>
      <c r="K58" s="3123" t="s">
        <v>2363</v>
      </c>
      <c r="L58" s="1908" t="e">
        <f ca="1">IF(L49&lt;J52,"——",IF(L56="比较法",L50,IF(L56="基准地价",L51,L52)))</f>
        <v>#N/A</v>
      </c>
      <c r="O58" s="2398" t="s">
        <v>2379</v>
      </c>
      <c r="P58" s="2399" t="s">
        <v>2405</v>
      </c>
      <c r="Q58" s="2400" t="e">
        <f ca="1">C41+J31</f>
        <v>#N/A</v>
      </c>
      <c r="R58" s="2399" t="s">
        <v>2380</v>
      </c>
    </row>
    <row r="59" spans="1:18" s="2059" customFormat="1" ht="31.8" thickBot="1">
      <c r="A59" s="2096"/>
      <c r="B59" s="2097"/>
      <c r="C59" s="2097"/>
      <c r="I59" s="3165" t="s">
        <v>2359</v>
      </c>
      <c r="J59" s="3099" t="e">
        <f ca="1">IF(J56&lt;0.4,0.4,J56)</f>
        <v>#N/A</v>
      </c>
      <c r="K59" s="3123" t="s">
        <v>2364</v>
      </c>
      <c r="L59" s="1908">
        <f ca="1">IF(ISERROR(POWER(1+L53,L48-L49)*(POWER(1+L53,L49)-1)/(POWER(1+L53,L48)-1)),0,POWER(1+L53,L48-L49)*(POWER(1+L53,L49)-1)/(POWER(1+L53,L48)-1))</f>
        <v>0</v>
      </c>
      <c r="O59" s="2398" t="s">
        <v>2381</v>
      </c>
      <c r="P59" s="2399" t="s">
        <v>2412</v>
      </c>
      <c r="Q59" s="2400" t="e">
        <f ca="1">L61</f>
        <v>#N/A</v>
      </c>
      <c r="R59" s="2403" t="s">
        <v>2414</v>
      </c>
    </row>
    <row r="60" spans="1:18" s="2059" customFormat="1" ht="31.8" thickBot="1">
      <c r="A60" s="2096"/>
      <c r="B60" s="2097"/>
      <c r="C60" s="2097"/>
      <c r="I60" s="3165" t="s">
        <v>2360</v>
      </c>
      <c r="J60" s="3166" t="e">
        <f ca="1">IF(OR(M48="住宅",J52&lt;L49,J57="是"),"——",ROUND(C30*J59,0))</f>
        <v>#N/A</v>
      </c>
      <c r="K60" s="3123" t="s">
        <v>2365</v>
      </c>
      <c r="L60" s="1908">
        <f ca="1">IF(ISERROR(POWER(1+L53,L48-J52)*(POWER(1+L53,J52)-1)/(POWER(1+L53,L48)-1)),0,POWER(1+L53,L48-J52)*(POWER(1+L53,J52)-1)/(POWER(1+L53,L48)-1))</f>
        <v>0</v>
      </c>
      <c r="O60" s="2401" t="s">
        <v>2383</v>
      </c>
      <c r="P60" s="2399" t="s">
        <v>2413</v>
      </c>
      <c r="Q60" s="2400">
        <f>IF(L56="比较法",L50,IF(L56="基准地价",L51,0))</f>
        <v>0</v>
      </c>
      <c r="R60" s="2399" t="s">
        <v>2380</v>
      </c>
    </row>
    <row r="61" spans="1:18" s="2059" customFormat="1" ht="16.2" thickBot="1">
      <c r="A61" s="2096"/>
      <c r="B61" s="2097"/>
      <c r="C61" s="2097"/>
      <c r="I61" s="3167" t="s">
        <v>2361</v>
      </c>
      <c r="J61" s="3168" t="e">
        <f ca="1">IF(OR(M48="住宅",J52&lt;L49,J57="是"),"0",ROUND(J60/(1+J53)^J54,0))</f>
        <v>#N/A</v>
      </c>
      <c r="K61" s="3169" t="s">
        <v>2366</v>
      </c>
      <c r="L61" s="3168" t="e">
        <f ca="1">IF(OR(M48="住宅",L49&lt;J52),0,ROUND(L58*(L59/L60-1),0))</f>
        <v>#N/A</v>
      </c>
      <c r="O61" s="2401" t="s">
        <v>2384</v>
      </c>
      <c r="P61" s="2399" t="s">
        <v>2393</v>
      </c>
      <c r="Q61" s="2402">
        <f>L53</f>
        <v>0</v>
      </c>
      <c r="R61" s="2403"/>
    </row>
    <row r="62" spans="1:18" s="2059" customFormat="1" ht="19.2" thickBot="1">
      <c r="A62" s="2096"/>
      <c r="B62" s="2097"/>
      <c r="C62" s="2097"/>
      <c r="K62" s="2086"/>
      <c r="O62" s="2401" t="s">
        <v>2386</v>
      </c>
      <c r="P62" s="2399" t="s">
        <v>2394</v>
      </c>
      <c r="Q62" s="2400">
        <f ca="1">L59</f>
        <v>0</v>
      </c>
      <c r="R62" s="2403" t="s">
        <v>2395</v>
      </c>
    </row>
    <row r="63" spans="1:18" s="2059" customFormat="1" ht="19.2" thickBot="1">
      <c r="A63" s="2096"/>
      <c r="B63" s="2097"/>
      <c r="C63" s="2097"/>
      <c r="I63" s="3170" t="s">
        <v>2367</v>
      </c>
      <c r="J63" s="3171" t="s">
        <v>2368</v>
      </c>
      <c r="K63" s="3171" t="s">
        <v>2369</v>
      </c>
      <c r="L63" s="3171" t="s">
        <v>2350</v>
      </c>
      <c r="M63" s="3172" t="s">
        <v>2939</v>
      </c>
      <c r="O63" s="2401" t="s">
        <v>2388</v>
      </c>
      <c r="P63" s="2399" t="s">
        <v>2396</v>
      </c>
      <c r="Q63" s="2400">
        <f ca="1">L60</f>
        <v>0</v>
      </c>
      <c r="R63" s="2403" t="s">
        <v>2397</v>
      </c>
    </row>
    <row r="64" spans="1:18" s="2059" customFormat="1" ht="16.2" thickBot="1">
      <c r="A64" s="2096"/>
      <c r="B64" s="2097"/>
      <c r="C64" s="2097"/>
      <c r="I64" s="3170" t="s">
        <v>2370</v>
      </c>
      <c r="J64" s="3171">
        <v>70</v>
      </c>
      <c r="K64" s="3171">
        <v>50</v>
      </c>
      <c r="L64" s="3171">
        <v>80</v>
      </c>
      <c r="M64" s="3173">
        <v>0.02</v>
      </c>
      <c r="O64" s="2398" t="s">
        <v>2391</v>
      </c>
      <c r="P64" s="2399" t="s">
        <v>2408</v>
      </c>
      <c r="Q64" s="2400" t="e">
        <f ca="1">Q58+Q59</f>
        <v>#N/A</v>
      </c>
      <c r="R64" s="2403" t="s">
        <v>2392</v>
      </c>
    </row>
    <row r="65" spans="1:18" s="2059" customFormat="1" ht="16.2" thickBot="1">
      <c r="A65" s="2096"/>
      <c r="B65" s="2097"/>
      <c r="C65" s="2097"/>
      <c r="I65" s="3170" t="s">
        <v>2371</v>
      </c>
      <c r="J65" s="3171">
        <v>50</v>
      </c>
      <c r="K65" s="3171">
        <v>35</v>
      </c>
      <c r="L65" s="3171">
        <v>60</v>
      </c>
      <c r="M65" s="846">
        <v>0</v>
      </c>
      <c r="O65" s="2404" t="s">
        <v>2415</v>
      </c>
      <c r="P65" s="1591"/>
      <c r="Q65" s="1603"/>
      <c r="R65" s="1591"/>
    </row>
    <row r="66" spans="1:18" s="2059" customFormat="1" ht="16.2" thickBot="1">
      <c r="A66" s="2096"/>
      <c r="B66" s="2097"/>
      <c r="C66" s="2097"/>
      <c r="I66" s="3170" t="s">
        <v>2372</v>
      </c>
      <c r="J66" s="3171">
        <v>40</v>
      </c>
      <c r="K66" s="3171">
        <v>30</v>
      </c>
      <c r="L66" s="3171">
        <v>50</v>
      </c>
      <c r="M66" s="3173">
        <v>0.02</v>
      </c>
      <c r="O66" s="2395" t="s">
        <v>2375</v>
      </c>
      <c r="P66" s="2396" t="s">
        <v>2376</v>
      </c>
      <c r="Q66" s="2397" t="s">
        <v>2377</v>
      </c>
      <c r="R66" s="2396" t="s">
        <v>2378</v>
      </c>
    </row>
    <row r="67" spans="1:18" s="2059" customFormat="1" ht="16.2" thickBot="1">
      <c r="A67" s="2096"/>
      <c r="B67" s="2097"/>
      <c r="C67" s="2097"/>
      <c r="K67" s="2086"/>
      <c r="O67" s="2398" t="s">
        <v>2379</v>
      </c>
      <c r="P67" s="2399" t="s">
        <v>2405</v>
      </c>
      <c r="Q67" s="2400" t="e">
        <f ca="1">C41+J31</f>
        <v>#N/A</v>
      </c>
      <c r="R67" s="2399" t="s">
        <v>2380</v>
      </c>
    </row>
    <row r="68" spans="1:18" s="2059" customFormat="1" ht="19.2" thickBot="1">
      <c r="A68" s="2096"/>
      <c r="B68" s="2097"/>
      <c r="C68" s="2097"/>
      <c r="K68" s="2086"/>
      <c r="O68" s="2398" t="s">
        <v>2381</v>
      </c>
      <c r="P68" s="2399" t="s">
        <v>2412</v>
      </c>
      <c r="Q68" s="2400" t="e">
        <f ca="1">L61</f>
        <v>#N/A</v>
      </c>
      <c r="R68" s="2403" t="s">
        <v>2414</v>
      </c>
    </row>
    <row r="69" spans="1:18" s="2059" customFormat="1" ht="20.399999999999999" thickBot="1">
      <c r="A69" s="2096"/>
      <c r="B69" s="2097"/>
      <c r="C69" s="2097"/>
      <c r="K69" s="2086"/>
      <c r="O69" s="2401" t="s">
        <v>2383</v>
      </c>
      <c r="P69" s="2399" t="s">
        <v>2413</v>
      </c>
      <c r="Q69" s="2405" t="e">
        <f ca="1">L52</f>
        <v>#N/A</v>
      </c>
      <c r="R69" s="2406" t="s">
        <v>2416</v>
      </c>
    </row>
    <row r="70" spans="1:18" s="2059" customFormat="1" ht="19.2" thickBot="1">
      <c r="A70" s="2096"/>
      <c r="B70" s="2097"/>
      <c r="C70" s="2097"/>
      <c r="K70" s="2086"/>
      <c r="O70" s="2401" t="s">
        <v>2384</v>
      </c>
      <c r="P70" s="2407" t="s">
        <v>2398</v>
      </c>
      <c r="Q70" s="2400" t="e">
        <f ca="1">ROUND(Q71-Q72*Q73,0)</f>
        <v>#N/A</v>
      </c>
      <c r="R70" s="2403"/>
    </row>
    <row r="71" spans="1:18" s="2059" customFormat="1" ht="16.2" thickBot="1">
      <c r="A71" s="2096"/>
      <c r="B71" s="2097"/>
      <c r="C71" s="2097"/>
      <c r="K71" s="2086"/>
      <c r="O71" s="2401" t="s">
        <v>2399</v>
      </c>
      <c r="P71" s="2407" t="s">
        <v>2400</v>
      </c>
      <c r="Q71" s="2400" t="e">
        <f ca="1">C42</f>
        <v>#N/A</v>
      </c>
      <c r="R71" s="2399" t="s">
        <v>2380</v>
      </c>
    </row>
    <row r="72" spans="1:18" s="2059" customFormat="1" ht="16.2" thickBot="1">
      <c r="A72" s="2096"/>
      <c r="B72" s="2097"/>
      <c r="C72" s="2097"/>
      <c r="K72" s="2086"/>
      <c r="O72" s="2401" t="s">
        <v>2401</v>
      </c>
      <c r="P72" s="2407" t="s">
        <v>2402</v>
      </c>
      <c r="Q72" s="2400" t="e">
        <f ca="1">C15</f>
        <v>#N/A</v>
      </c>
      <c r="R72" s="2399" t="s">
        <v>2380</v>
      </c>
    </row>
    <row r="73" spans="1:18" s="2059" customFormat="1" ht="16.2" thickBot="1">
      <c r="A73" s="2096"/>
      <c r="B73" s="2097"/>
      <c r="C73" s="2097"/>
      <c r="K73" s="2086"/>
      <c r="O73" s="2401" t="s">
        <v>2403</v>
      </c>
      <c r="P73" s="2407" t="s">
        <v>2404</v>
      </c>
      <c r="Q73" s="2402" t="e">
        <f ca="1">F43</f>
        <v>#N/A</v>
      </c>
      <c r="R73" s="2403"/>
    </row>
    <row r="74" spans="1:18" s="2059" customFormat="1" ht="16.2" thickBot="1">
      <c r="A74" s="2096"/>
      <c r="B74" s="2097"/>
      <c r="C74" s="2097"/>
      <c r="K74" s="2086"/>
      <c r="O74" s="2401" t="s">
        <v>2386</v>
      </c>
      <c r="P74" s="2399" t="s">
        <v>2393</v>
      </c>
      <c r="Q74" s="2402">
        <f>L53</f>
        <v>0</v>
      </c>
      <c r="R74" s="2403"/>
    </row>
    <row r="75" spans="1:18" s="2059" customFormat="1" ht="19.2" thickBot="1">
      <c r="A75" s="2096"/>
      <c r="B75" s="2097"/>
      <c r="C75" s="2097"/>
      <c r="K75" s="2086"/>
      <c r="O75" s="2401" t="s">
        <v>2388</v>
      </c>
      <c r="P75" s="2399" t="s">
        <v>2394</v>
      </c>
      <c r="Q75" s="2400">
        <f ca="1">L59</f>
        <v>0</v>
      </c>
      <c r="R75" s="2403" t="s">
        <v>2395</v>
      </c>
    </row>
    <row r="76" spans="1:18" s="2059" customFormat="1" ht="19.2" thickBot="1">
      <c r="A76" s="2096"/>
      <c r="B76" s="2097"/>
      <c r="C76" s="2097"/>
      <c r="K76" s="2086"/>
      <c r="O76" s="2401" t="s">
        <v>2417</v>
      </c>
      <c r="P76" s="2399" t="s">
        <v>2396</v>
      </c>
      <c r="Q76" s="2400">
        <f ca="1">L60</f>
        <v>0</v>
      </c>
      <c r="R76" s="2403" t="s">
        <v>2397</v>
      </c>
    </row>
    <row r="77" spans="1:18" s="2059" customFormat="1" ht="16.2" thickBot="1">
      <c r="A77" s="2096"/>
      <c r="B77" s="2097"/>
      <c r="C77" s="2097"/>
      <c r="K77" s="2086"/>
      <c r="O77" s="2398" t="s">
        <v>2391</v>
      </c>
      <c r="P77" s="2399" t="s">
        <v>2408</v>
      </c>
      <c r="Q77" s="2400" t="e">
        <f ca="1">Q67+Q68</f>
        <v>#N/A</v>
      </c>
      <c r="R77" s="2403"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3.2"/>
  <cols>
    <col min="1" max="1" width="9" style="2663"/>
    <col min="2" max="6" width="9" style="2663" customWidth="1"/>
    <col min="7" max="7" width="9" style="2679" customWidth="1"/>
    <col min="8" max="12" width="9" style="2663" customWidth="1"/>
    <col min="13" max="13" width="2.21875" style="2663" customWidth="1"/>
    <col min="14" max="14" width="9" style="2679" customWidth="1"/>
    <col min="15" max="17" width="9" style="2663" customWidth="1"/>
    <col min="18" max="18" width="2.33203125" style="2663" customWidth="1"/>
    <col min="19" max="19" width="7.109375" style="2679" customWidth="1"/>
    <col min="20" max="22" width="7.109375" style="2663" customWidth="1"/>
    <col min="23" max="23" width="24" style="2663" customWidth="1"/>
    <col min="24" max="25" width="9" style="2663"/>
    <col min="26" max="27" width="11.6640625" style="2663" customWidth="1"/>
    <col min="28" max="28" width="9" style="2663"/>
    <col min="29" max="29" width="2" style="2663" customWidth="1"/>
    <col min="30" max="16384" width="9" style="2663"/>
  </cols>
  <sheetData>
    <row r="1" spans="1:34" s="2653" customFormat="1">
      <c r="B1" s="3537" t="s">
        <v>2574</v>
      </c>
      <c r="C1" s="3537"/>
      <c r="D1" s="3537"/>
      <c r="E1" s="3537"/>
      <c r="F1" s="3537"/>
      <c r="G1" s="3536" t="s">
        <v>2575</v>
      </c>
      <c r="H1" s="3536"/>
      <c r="I1" s="3536"/>
      <c r="J1" s="3536"/>
      <c r="K1" s="3536"/>
      <c r="L1" s="3536"/>
      <c r="N1" s="3536" t="s">
        <v>2576</v>
      </c>
      <c r="O1" s="3536"/>
      <c r="P1" s="3536"/>
      <c r="Q1" s="3536"/>
      <c r="R1" s="2654"/>
      <c r="S1" s="3536" t="s">
        <v>2577</v>
      </c>
      <c r="T1" s="3536"/>
      <c r="U1" s="3536"/>
      <c r="V1" s="3536"/>
      <c r="X1" s="3535" t="s">
        <v>2637</v>
      </c>
      <c r="Y1" s="3536"/>
      <c r="Z1" s="3536"/>
      <c r="AA1" s="3536"/>
      <c r="AB1" s="3536"/>
      <c r="AD1" s="3535" t="s">
        <v>2641</v>
      </c>
      <c r="AE1" s="3536"/>
      <c r="AF1" s="3536"/>
      <c r="AG1" s="3536"/>
      <c r="AH1" s="3536"/>
    </row>
    <row r="2" spans="1:34" s="2756" customFormat="1" ht="15" thickBot="1">
      <c r="B2" s="2764" t="s">
        <v>2578</v>
      </c>
      <c r="C2" s="2764" t="s">
        <v>2639</v>
      </c>
      <c r="D2" s="2757" t="s">
        <v>1644</v>
      </c>
      <c r="E2" s="2757" t="s">
        <v>1950</v>
      </c>
      <c r="F2" s="2764" t="s">
        <v>2640</v>
      </c>
      <c r="G2" s="2760"/>
      <c r="H2" s="2759"/>
      <c r="I2" s="2764" t="s">
        <v>2953</v>
      </c>
      <c r="J2" s="2757" t="s">
        <v>2955</v>
      </c>
      <c r="K2" s="2757" t="s">
        <v>2956</v>
      </c>
      <c r="L2" s="2764" t="s">
        <v>2957</v>
      </c>
      <c r="N2" s="2764" t="s">
        <v>2578</v>
      </c>
      <c r="O2" s="2757" t="s">
        <v>2954</v>
      </c>
      <c r="P2" s="2757" t="s">
        <v>1950</v>
      </c>
      <c r="Q2" s="2764" t="s">
        <v>2640</v>
      </c>
      <c r="R2" s="2758"/>
      <c r="S2" s="2764" t="s">
        <v>2578</v>
      </c>
      <c r="T2" s="2757" t="s">
        <v>2954</v>
      </c>
      <c r="U2" s="2757" t="s">
        <v>1950</v>
      </c>
      <c r="V2" s="2764" t="s">
        <v>2640</v>
      </c>
      <c r="X2" s="2764" t="s">
        <v>2578</v>
      </c>
      <c r="Y2" s="2764" t="s">
        <v>2639</v>
      </c>
      <c r="Z2" s="2757" t="s">
        <v>1644</v>
      </c>
      <c r="AA2" s="2757" t="s">
        <v>1950</v>
      </c>
      <c r="AB2" s="2764" t="s">
        <v>2640</v>
      </c>
      <c r="AD2" s="2764" t="s">
        <v>2578</v>
      </c>
      <c r="AE2" s="2764" t="s">
        <v>2639</v>
      </c>
      <c r="AF2" s="2757" t="s">
        <v>1644</v>
      </c>
      <c r="AG2" s="2757" t="s">
        <v>1950</v>
      </c>
      <c r="AH2" s="2764" t="s">
        <v>2640</v>
      </c>
    </row>
    <row r="3" spans="1:34" s="3131" customFormat="1" ht="14.4">
      <c r="A3" s="3143" t="s">
        <v>2965</v>
      </c>
      <c r="B3" s="3132"/>
      <c r="C3" s="3132"/>
      <c r="D3" s="3133"/>
      <c r="E3" s="3133"/>
      <c r="F3" s="3132"/>
      <c r="G3" s="3134"/>
      <c r="H3" s="3135"/>
      <c r="I3" s="3142">
        <f>ROUND(AVERAGE($I4:$I24),2)</f>
        <v>2.19</v>
      </c>
      <c r="J3" s="3142">
        <f>ROUND(AVERAGE($J4:$J24),2)</f>
        <v>1.53</v>
      </c>
      <c r="K3" s="3142">
        <f>ROUND(AVERAGE($K4:$K24),2)</f>
        <v>2.41</v>
      </c>
      <c r="L3" s="3142">
        <f>ROUND(AVERAGE($L4:$L24),2)</f>
        <v>1.42</v>
      </c>
      <c r="N3" s="3134"/>
      <c r="O3" s="3136"/>
      <c r="P3" s="3136"/>
      <c r="Q3" s="3136"/>
      <c r="R3" s="3136"/>
      <c r="S3" s="3134"/>
      <c r="T3" s="3136"/>
      <c r="U3" s="3136"/>
      <c r="V3" s="3136"/>
      <c r="W3" s="3139"/>
      <c r="X3" s="3137">
        <f>ROUND(SUMPRODUCT(PRODUCT(1+N3:N$23)),4)</f>
        <v>1.4956</v>
      </c>
      <c r="Y3" s="3137">
        <f>ROUND(SUMPRODUCT(PRODUCT(1+O3:O$23)),4)</f>
        <v>1.3237000000000001</v>
      </c>
      <c r="Z3" s="3137">
        <f t="shared" ref="Z3:Z21" si="0">Y3</f>
        <v>1.3237000000000001</v>
      </c>
      <c r="AA3" s="3137">
        <f>ROUND(SUMPRODUCT(PRODUCT(1+P3:P$23)),4)</f>
        <v>1.554</v>
      </c>
      <c r="AB3" s="3137">
        <f>ROUND(SUMPRODUCT(PRODUCT(1+Q3:Q$23)),4)</f>
        <v>1.3087</v>
      </c>
      <c r="AD3" s="3138">
        <f>ROUND(AVERAGE(I3:I$24)/100,4)</f>
        <v>2.1899999999999999E-2</v>
      </c>
      <c r="AE3" s="3138">
        <f>ROUND(AVERAGE(J3:J$24)/100,4)</f>
        <v>1.5299999999999999E-2</v>
      </c>
      <c r="AF3" s="3138">
        <f t="shared" ref="AF3:AF22" si="1">AE3</f>
        <v>1.5299999999999999E-2</v>
      </c>
      <c r="AG3" s="3138">
        <f>ROUND(AVERAGE(K3:K$24)/100,4)</f>
        <v>2.41E-2</v>
      </c>
      <c r="AH3" s="3138">
        <f>ROUND(AVERAGE(L3:L$24)/100,4)</f>
        <v>1.4200000000000001E-2</v>
      </c>
    </row>
    <row r="4" spans="1:34" s="2749" customFormat="1" ht="14.4">
      <c r="B4" s="2750"/>
      <c r="C4" s="2750"/>
      <c r="D4" s="2751"/>
      <c r="E4" s="2751"/>
      <c r="F4" s="2750"/>
      <c r="G4" s="2755"/>
      <c r="H4" s="2752"/>
      <c r="I4" s="3124"/>
      <c r="J4" s="3124"/>
      <c r="K4" s="3124"/>
      <c r="L4" s="3124"/>
      <c r="N4" s="2755"/>
      <c r="O4" s="2753"/>
      <c r="P4" s="2753"/>
      <c r="Q4" s="2753"/>
      <c r="R4" s="2753"/>
      <c r="S4" s="2755"/>
      <c r="T4" s="2753"/>
      <c r="U4" s="2753"/>
      <c r="V4" s="2753"/>
      <c r="W4" s="3140"/>
      <c r="X4" s="2754"/>
      <c r="Y4" s="2754"/>
      <c r="Z4" s="2754"/>
      <c r="AA4" s="2754"/>
      <c r="AB4" s="2754"/>
      <c r="AD4" s="2674"/>
      <c r="AE4" s="2674"/>
      <c r="AF4" s="2674"/>
      <c r="AG4" s="2674"/>
      <c r="AH4" s="2674"/>
    </row>
    <row r="5" spans="1:34" s="3112" customFormat="1">
      <c r="A5" s="3110" t="s">
        <v>2978</v>
      </c>
      <c r="B5" s="2795">
        <f>B6*(1+N5)</f>
        <v>459.95733971036987</v>
      </c>
      <c r="C5" s="2795">
        <f t="shared" ref="C5" si="2">C6*(1+O5)</f>
        <v>341.22221064422405</v>
      </c>
      <c r="D5" s="2795">
        <f t="shared" ref="D5" si="3">C5</f>
        <v>341.22221064422405</v>
      </c>
      <c r="E5" s="2795">
        <f t="shared" ref="E5" si="4">E6*(1+P5)</f>
        <v>657.19161663724799</v>
      </c>
      <c r="F5" s="2795">
        <f t="shared" ref="F5" si="5">F6*(1+Q5)</f>
        <v>300.87803644464805</v>
      </c>
      <c r="G5" s="2755">
        <v>2018</v>
      </c>
      <c r="H5" s="3111">
        <v>4</v>
      </c>
      <c r="I5" s="3125">
        <v>0</v>
      </c>
      <c r="J5" s="3125">
        <v>0</v>
      </c>
      <c r="K5" s="3125">
        <v>0</v>
      </c>
      <c r="L5" s="3125">
        <v>0</v>
      </c>
      <c r="N5" s="2762">
        <f t="shared" ref="N5" si="6">I5/100</f>
        <v>0</v>
      </c>
      <c r="O5" s="2762">
        <f t="shared" ref="O5" si="7">J5/100</f>
        <v>0</v>
      </c>
      <c r="P5" s="2762">
        <f t="shared" ref="P5" si="8">K5/100</f>
        <v>0</v>
      </c>
      <c r="Q5" s="2762">
        <f t="shared" ref="Q5" si="9">L5/100</f>
        <v>0</v>
      </c>
      <c r="R5" s="3113"/>
      <c r="S5" s="3114"/>
      <c r="T5" s="3113"/>
      <c r="U5" s="3113"/>
      <c r="V5" s="3113"/>
      <c r="W5" s="3141" t="s">
        <v>2966</v>
      </c>
      <c r="X5" s="3115">
        <f>ROUND(SUMPRODUCT(PRODUCT(1+N5:N$23)),4)</f>
        <v>1.4956</v>
      </c>
      <c r="Y5" s="3115">
        <f>ROUND(SUMPRODUCT(PRODUCT(1+O5:O$23)),4)</f>
        <v>1.3237000000000001</v>
      </c>
      <c r="Z5" s="3115">
        <f t="shared" ref="Z5" si="10">Y5</f>
        <v>1.3237000000000001</v>
      </c>
      <c r="AA5" s="3115">
        <f>ROUND(SUMPRODUCT(PRODUCT(1+P5:P$23)),4)</f>
        <v>1.554</v>
      </c>
      <c r="AB5" s="3115">
        <f>ROUND(SUMPRODUCT(PRODUCT(1+Q5:Q$23)),4)</f>
        <v>1.3087</v>
      </c>
      <c r="AD5" s="3116">
        <f>ROUND(AVERAGE(I5:I$24)/100,4)</f>
        <v>2.1899999999999999E-2</v>
      </c>
      <c r="AE5" s="3116">
        <f>ROUND(AVERAGE(J5:J$24)/100,4)</f>
        <v>1.5299999999999999E-2</v>
      </c>
      <c r="AF5" s="3116">
        <f t="shared" ref="AF5" si="11">AE5</f>
        <v>1.5299999999999999E-2</v>
      </c>
      <c r="AG5" s="3116">
        <f>ROUND(AVERAGE(K5:K$24)/100,4)</f>
        <v>2.41E-2</v>
      </c>
      <c r="AH5" s="3116">
        <f>ROUND(AVERAGE(L5:L$24)/100,4)</f>
        <v>1.4200000000000001E-2</v>
      </c>
    </row>
    <row r="6" spans="1:34" s="2761" customFormat="1" ht="13.8" thickBot="1">
      <c r="A6" s="2655" t="s">
        <v>2976</v>
      </c>
      <c r="B6" s="2669">
        <f>B7*(1+N6)</f>
        <v>459.95733971036987</v>
      </c>
      <c r="C6" s="2669">
        <f t="shared" ref="C6" si="12">C7*(1+O6)</f>
        <v>341.22221064422405</v>
      </c>
      <c r="D6" s="2669">
        <f t="shared" ref="D6" si="13">C6</f>
        <v>341.22221064422405</v>
      </c>
      <c r="E6" s="2669">
        <f t="shared" ref="E6" si="14">E7*(1+P6)</f>
        <v>657.19161663724799</v>
      </c>
      <c r="F6" s="2669">
        <f t="shared" ref="F6" si="15">F7*(1+Q6)</f>
        <v>300.87803644464805</v>
      </c>
      <c r="G6" s="3130"/>
      <c r="H6" s="2659">
        <v>3</v>
      </c>
      <c r="I6" s="2659">
        <v>1.51</v>
      </c>
      <c r="J6" s="2659">
        <v>1.41</v>
      </c>
      <c r="K6" s="2659">
        <v>1.52</v>
      </c>
      <c r="L6" s="2670">
        <v>1.74</v>
      </c>
      <c r="M6" s="2663"/>
      <c r="N6" s="2664">
        <f t="shared" ref="N6" si="16">I6/100</f>
        <v>1.5100000000000001E-2</v>
      </c>
      <c r="O6" s="2665">
        <f t="shared" ref="O6" si="17">J6/100</f>
        <v>1.41E-2</v>
      </c>
      <c r="P6" s="2665">
        <f t="shared" ref="P6" si="18">K6/100</f>
        <v>1.52E-2</v>
      </c>
      <c r="Q6" s="2665">
        <f t="shared" ref="Q6" si="19">L6/100</f>
        <v>1.7399999999999999E-2</v>
      </c>
      <c r="R6" s="2666"/>
      <c r="S6" s="2672"/>
      <c r="T6" s="2673"/>
      <c r="U6" s="2673"/>
      <c r="V6" s="2673"/>
      <c r="W6" s="2663"/>
      <c r="X6" s="2754">
        <f>ROUND(SUMPRODUCT(PRODUCT(1+N6:N$23)),4)</f>
        <v>1.4956</v>
      </c>
      <c r="Y6" s="2754">
        <f>ROUND(SUMPRODUCT(PRODUCT(1+O6:O$23)),4)</f>
        <v>1.3237000000000001</v>
      </c>
      <c r="Z6" s="2754">
        <f t="shared" ref="Z6" si="20">Y6</f>
        <v>1.3237000000000001</v>
      </c>
      <c r="AA6" s="2754">
        <f>ROUND(SUMPRODUCT(PRODUCT(1+P6:P$23)),4)</f>
        <v>1.554</v>
      </c>
      <c r="AB6" s="2754">
        <f>ROUND(SUMPRODUCT(PRODUCT(1+Q6:Q$23)),4)</f>
        <v>1.3087</v>
      </c>
      <c r="AC6" s="2663"/>
      <c r="AD6" s="2674">
        <f>ROUND(AVERAGE(I6:I$24)/100,4)</f>
        <v>2.3099999999999999E-2</v>
      </c>
      <c r="AE6" s="2674">
        <f>ROUND(AVERAGE(J6:J$24)/100,4)</f>
        <v>1.61E-2</v>
      </c>
      <c r="AF6" s="2674">
        <f t="shared" ref="AF6" si="21">AE6</f>
        <v>1.61E-2</v>
      </c>
      <c r="AG6" s="2674">
        <f>ROUND(AVERAGE(K6:K$24)/100,4)</f>
        <v>2.53E-2</v>
      </c>
      <c r="AH6" s="2674">
        <f>ROUND(AVERAGE(L6:L$24)/100,4)</f>
        <v>1.4999999999999999E-2</v>
      </c>
    </row>
    <row r="7" spans="1:34" s="2761" customFormat="1" ht="13.8" thickBot="1">
      <c r="A7" s="2655" t="s">
        <v>2977</v>
      </c>
      <c r="B7" s="2669">
        <f>B8*(1+N7)</f>
        <v>453.11529869999993</v>
      </c>
      <c r="C7" s="2669">
        <f t="shared" ref="C7" si="22">C8*(1+O7)</f>
        <v>336.47787264000004</v>
      </c>
      <c r="D7" s="2669">
        <f t="shared" ref="D7" si="23">C7</f>
        <v>336.47787264000004</v>
      </c>
      <c r="E7" s="2669">
        <f t="shared" ref="E7" si="24">E8*(1+P7)</f>
        <v>647.35186823999993</v>
      </c>
      <c r="F7" s="2669">
        <f t="shared" ref="F7" si="25">F8*(1+Q7)</f>
        <v>295.73229452000004</v>
      </c>
      <c r="G7" s="3130"/>
      <c r="H7" s="2659">
        <v>2</v>
      </c>
      <c r="I7" s="2659">
        <v>1.49</v>
      </c>
      <c r="J7" s="2659">
        <v>0.96</v>
      </c>
      <c r="K7" s="2659">
        <v>1.58</v>
      </c>
      <c r="L7" s="2670">
        <v>2.44</v>
      </c>
      <c r="M7" s="2663"/>
      <c r="N7" s="2664">
        <f t="shared" ref="N7" si="26">I7/100</f>
        <v>1.49E-2</v>
      </c>
      <c r="O7" s="2665">
        <f t="shared" ref="O7" si="27">J7/100</f>
        <v>9.5999999999999992E-3</v>
      </c>
      <c r="P7" s="2665">
        <f t="shared" ref="P7" si="28">K7/100</f>
        <v>1.5800000000000002E-2</v>
      </c>
      <c r="Q7" s="2665">
        <f t="shared" ref="Q7" si="29">L7/100</f>
        <v>2.4399999999999998E-2</v>
      </c>
      <c r="R7" s="2666"/>
      <c r="S7" s="2672"/>
      <c r="T7" s="2673"/>
      <c r="U7" s="2673"/>
      <c r="V7" s="2673"/>
      <c r="W7" s="2663"/>
      <c r="X7" s="2754">
        <f>ROUND(SUMPRODUCT(PRODUCT(1+N7:N$23)),4)</f>
        <v>1.4733000000000001</v>
      </c>
      <c r="Y7" s="2754">
        <f>ROUND(SUMPRODUCT(PRODUCT(1+O7:O$23)),4)</f>
        <v>1.3052999999999999</v>
      </c>
      <c r="Z7" s="2754">
        <f t="shared" ref="Z7" si="30">Y7</f>
        <v>1.3052999999999999</v>
      </c>
      <c r="AA7" s="2754">
        <f>ROUND(SUMPRODUCT(PRODUCT(1+P7:P$23)),4)</f>
        <v>1.5306999999999999</v>
      </c>
      <c r="AB7" s="2754">
        <f>ROUND(SUMPRODUCT(PRODUCT(1+Q7:Q$23)),4)</f>
        <v>1.2863</v>
      </c>
      <c r="AC7" s="2663"/>
      <c r="AD7" s="2674">
        <f>ROUND(AVERAGE(I7:I$24)/100,4)</f>
        <v>2.35E-2</v>
      </c>
      <c r="AE7" s="2674">
        <f>ROUND(AVERAGE(J7:J$24)/100,4)</f>
        <v>1.6199999999999999E-2</v>
      </c>
      <c r="AF7" s="2674">
        <f t="shared" ref="AF7" si="31">AE7</f>
        <v>1.6199999999999999E-2</v>
      </c>
      <c r="AG7" s="2674">
        <f>ROUND(AVERAGE(K7:K$24)/100,4)</f>
        <v>2.5899999999999999E-2</v>
      </c>
      <c r="AH7" s="2674">
        <f>ROUND(AVERAGE(L7:L$24)/100,4)</f>
        <v>1.49E-2</v>
      </c>
    </row>
    <row r="8" spans="1:34" s="2761" customFormat="1" ht="13.8" thickBot="1">
      <c r="A8" s="2655" t="s">
        <v>2972</v>
      </c>
      <c r="B8" s="2669">
        <f>B9*(1+N8)</f>
        <v>446.46299999999997</v>
      </c>
      <c r="C8" s="2669">
        <f t="shared" ref="C8" si="32">C9*(1+O8)</f>
        <v>333.27840000000003</v>
      </c>
      <c r="D8" s="2669">
        <f t="shared" ref="D8:D13" si="33">C8</f>
        <v>333.27840000000003</v>
      </c>
      <c r="E8" s="2669">
        <f t="shared" ref="E8" si="34">E9*(1+P8)</f>
        <v>637.28279999999995</v>
      </c>
      <c r="F8" s="2669">
        <f t="shared" ref="F8" si="35">F9*(1+Q8)</f>
        <v>288.68830000000003</v>
      </c>
      <c r="G8" s="3130"/>
      <c r="H8" s="2659">
        <v>1</v>
      </c>
      <c r="I8" s="2659">
        <v>1.7</v>
      </c>
      <c r="J8" s="2659">
        <v>1.92</v>
      </c>
      <c r="K8" s="2659">
        <v>1.64</v>
      </c>
      <c r="L8" s="2670">
        <v>2.0099999999999998</v>
      </c>
      <c r="M8" s="2663"/>
      <c r="N8" s="2664">
        <f t="shared" ref="N8:N13" si="36">I8/100</f>
        <v>1.7000000000000001E-2</v>
      </c>
      <c r="O8" s="2665">
        <f t="shared" ref="O8" si="37">J8/100</f>
        <v>1.9199999999999998E-2</v>
      </c>
      <c r="P8" s="2665">
        <f t="shared" ref="P8" si="38">K8/100</f>
        <v>1.6399999999999998E-2</v>
      </c>
      <c r="Q8" s="2665">
        <f t="shared" ref="Q8" si="39">L8/100</f>
        <v>2.0099999999999996E-2</v>
      </c>
      <c r="R8" s="2666"/>
      <c r="S8" s="2672">
        <f>B8/B9-1</f>
        <v>1.6999999999999904E-2</v>
      </c>
      <c r="T8" s="2673">
        <f>C8/C9-1</f>
        <v>1.9200000000000106E-2</v>
      </c>
      <c r="U8" s="2673">
        <f>E8/E9-1</f>
        <v>1.639999999999997E-2</v>
      </c>
      <c r="V8" s="2673">
        <f>F8/F9-1</f>
        <v>2.0100000000000007E-2</v>
      </c>
      <c r="W8" s="2663"/>
      <c r="X8" s="2754">
        <f>ROUND(SUMPRODUCT(PRODUCT(1+N8:N$23)),4)</f>
        <v>1.4517</v>
      </c>
      <c r="Y8" s="2754">
        <f>ROUND(SUMPRODUCT(PRODUCT(1+O8:O$23)),4)</f>
        <v>1.2928999999999999</v>
      </c>
      <c r="Z8" s="2754">
        <f t="shared" ref="Z8" si="40">Y8</f>
        <v>1.2928999999999999</v>
      </c>
      <c r="AA8" s="2754">
        <f>ROUND(SUMPRODUCT(PRODUCT(1+P8:P$23)),4)</f>
        <v>1.5068999999999999</v>
      </c>
      <c r="AB8" s="2754">
        <f>ROUND(SUMPRODUCT(PRODUCT(1+Q8:Q$23)),4)</f>
        <v>1.2557</v>
      </c>
      <c r="AC8" s="2663"/>
      <c r="AD8" s="2674">
        <f>ROUND(AVERAGE(I8:I$24)/100,4)</f>
        <v>2.4E-2</v>
      </c>
      <c r="AE8" s="2674">
        <f>ROUND(AVERAGE(J8:J$24)/100,4)</f>
        <v>1.66E-2</v>
      </c>
      <c r="AF8" s="2674">
        <f t="shared" ref="AF8" si="41">AE8</f>
        <v>1.66E-2</v>
      </c>
      <c r="AG8" s="2674">
        <f>ROUND(AVERAGE(K8:K$24)/100,4)</f>
        <v>2.6499999999999999E-2</v>
      </c>
      <c r="AH8" s="2674">
        <f>ROUND(AVERAGE(L8:L$24)/100,4)</f>
        <v>1.43E-2</v>
      </c>
    </row>
    <row r="9" spans="1:34">
      <c r="A9" s="2655" t="s">
        <v>2963</v>
      </c>
      <c r="B9" s="3145">
        <v>439</v>
      </c>
      <c r="C9" s="3145">
        <v>327</v>
      </c>
      <c r="D9" s="3145">
        <f t="shared" si="33"/>
        <v>327</v>
      </c>
      <c r="E9" s="3145">
        <v>627</v>
      </c>
      <c r="F9" s="3146">
        <v>283</v>
      </c>
      <c r="G9" s="3128">
        <v>2017</v>
      </c>
      <c r="H9" s="2656">
        <v>4</v>
      </c>
      <c r="I9" s="2656">
        <v>1.71</v>
      </c>
      <c r="J9" s="2656">
        <v>1.78</v>
      </c>
      <c r="K9" s="2656">
        <v>1.71</v>
      </c>
      <c r="L9" s="2657">
        <v>1.43</v>
      </c>
      <c r="N9" s="2677">
        <f t="shared" si="36"/>
        <v>1.7100000000000001E-2</v>
      </c>
      <c r="O9" s="2678">
        <f t="shared" ref="O9" si="42">J9/100</f>
        <v>1.78E-2</v>
      </c>
      <c r="P9" s="2678">
        <f t="shared" ref="P9" si="43">K9/100</f>
        <v>1.7100000000000001E-2</v>
      </c>
      <c r="Q9" s="2678">
        <f t="shared" ref="Q9" si="44">L9/100</f>
        <v>1.43E-2</v>
      </c>
      <c r="R9" s="2666"/>
      <c r="S9" s="2667"/>
      <c r="T9" s="2668"/>
      <c r="U9" s="2668"/>
      <c r="V9" s="2668"/>
      <c r="X9" s="2754">
        <f>ROUND(SUMPRODUCT(PRODUCT(1+N9:N$23)),4)</f>
        <v>1.4274</v>
      </c>
      <c r="Y9" s="2754">
        <f>ROUND(SUMPRODUCT(PRODUCT(1+O9:O$23)),4)</f>
        <v>1.2685</v>
      </c>
      <c r="Z9" s="2754">
        <f t="shared" si="0"/>
        <v>1.2685</v>
      </c>
      <c r="AA9" s="2754">
        <f>ROUND(SUMPRODUCT(PRODUCT(1+P9:P$23)),4)</f>
        <v>1.4825999999999999</v>
      </c>
      <c r="AB9" s="2754">
        <f>ROUND(SUMPRODUCT(PRODUCT(1+Q9:Q$23)),4)</f>
        <v>1.2309000000000001</v>
      </c>
      <c r="AD9" s="2674">
        <f>ROUND(AVERAGE(I9:I$24)/100,4)</f>
        <v>2.4500000000000001E-2</v>
      </c>
      <c r="AE9" s="2674">
        <f>ROUND(AVERAGE(J9:J$24)/100,4)</f>
        <v>1.6500000000000001E-2</v>
      </c>
      <c r="AF9" s="2674">
        <f t="shared" si="1"/>
        <v>1.6500000000000001E-2</v>
      </c>
      <c r="AG9" s="2674">
        <f>ROUND(AVERAGE(K9:K$24)/100,4)</f>
        <v>2.7099999999999999E-2</v>
      </c>
      <c r="AH9" s="2674">
        <f>ROUND(AVERAGE(L9:L$24)/100,4)</f>
        <v>1.3899999999999999E-2</v>
      </c>
    </row>
    <row r="10" spans="1:34" s="2761" customFormat="1" ht="13.8" thickBot="1">
      <c r="A10" s="2655" t="s">
        <v>2967</v>
      </c>
      <c r="B10" s="2669">
        <f t="shared" ref="B10:C12" si="45">B11*(1+N10)</f>
        <v>431.80730811680002</v>
      </c>
      <c r="C10" s="2669">
        <f t="shared" si="45"/>
        <v>320.57880516480003</v>
      </c>
      <c r="D10" s="2669">
        <f t="shared" si="33"/>
        <v>320.57880516480003</v>
      </c>
      <c r="E10" s="2669">
        <f t="shared" ref="E10:F12" si="46">E11*(1+P10)</f>
        <v>615.96110553196797</v>
      </c>
      <c r="F10" s="2669">
        <f t="shared" si="46"/>
        <v>279.46777300108801</v>
      </c>
      <c r="G10" s="3130"/>
      <c r="H10" s="2659">
        <v>3</v>
      </c>
      <c r="I10" s="2659">
        <v>2.98</v>
      </c>
      <c r="J10" s="2659">
        <v>2.11</v>
      </c>
      <c r="K10" s="2659">
        <v>3.24</v>
      </c>
      <c r="L10" s="2670">
        <v>1.72</v>
      </c>
      <c r="M10" s="2663"/>
      <c r="N10" s="2664">
        <f t="shared" si="36"/>
        <v>2.98E-2</v>
      </c>
      <c r="O10" s="2682">
        <f t="shared" ref="O10:O11" si="47">J10/100</f>
        <v>2.1099999999999997E-2</v>
      </c>
      <c r="P10" s="2682">
        <f t="shared" ref="P10:P11" si="48">K10/100</f>
        <v>3.2400000000000005E-2</v>
      </c>
      <c r="Q10" s="2682">
        <f t="shared" ref="Q10:Q11" si="49">L10/100</f>
        <v>1.72E-2</v>
      </c>
      <c r="R10" s="2666"/>
      <c r="S10" s="2672"/>
      <c r="T10" s="2673"/>
      <c r="U10" s="2673"/>
      <c r="V10" s="2673"/>
      <c r="W10" s="2663"/>
      <c r="X10" s="2754">
        <f>ROUND(SUMPRODUCT(PRODUCT(1+N10:N$23)),4)</f>
        <v>1.4034</v>
      </c>
      <c r="Y10" s="2754">
        <f>ROUND(SUMPRODUCT(PRODUCT(1+O10:O$23)),4)</f>
        <v>1.2463</v>
      </c>
      <c r="Z10" s="2754">
        <f t="shared" si="0"/>
        <v>1.2463</v>
      </c>
      <c r="AA10" s="2754">
        <f>ROUND(SUMPRODUCT(PRODUCT(1+P10:P$23)),4)</f>
        <v>1.4577</v>
      </c>
      <c r="AB10" s="2754">
        <f>ROUND(SUMPRODUCT(PRODUCT(1+Q10:Q$23)),4)</f>
        <v>1.2136</v>
      </c>
      <c r="AC10" s="2663"/>
      <c r="AD10" s="2674">
        <f>ROUND(AVERAGE(I10:I$24)/100,4)</f>
        <v>2.4899999999999999E-2</v>
      </c>
      <c r="AE10" s="2674">
        <f>ROUND(AVERAGE(J10:J$24)/100,4)</f>
        <v>1.6400000000000001E-2</v>
      </c>
      <c r="AF10" s="2674">
        <f t="shared" si="1"/>
        <v>1.6400000000000001E-2</v>
      </c>
      <c r="AG10" s="2674">
        <f>ROUND(AVERAGE(K10:K$24)/100,4)</f>
        <v>2.7799999999999998E-2</v>
      </c>
      <c r="AH10" s="2674">
        <f>ROUND(AVERAGE(L10:L$24)/100,4)</f>
        <v>1.3899999999999999E-2</v>
      </c>
    </row>
    <row r="11" spans="1:34" s="2653" customFormat="1">
      <c r="A11" s="2655" t="s">
        <v>2579</v>
      </c>
      <c r="B11" s="2669">
        <f t="shared" si="45"/>
        <v>419.31181600000002</v>
      </c>
      <c r="C11" s="2669">
        <f t="shared" si="45"/>
        <v>313.95436800000004</v>
      </c>
      <c r="D11" s="2669">
        <f t="shared" si="33"/>
        <v>313.95436800000004</v>
      </c>
      <c r="E11" s="2669">
        <f t="shared" si="46"/>
        <v>596.63028431999999</v>
      </c>
      <c r="F11" s="2669">
        <f t="shared" si="46"/>
        <v>274.74220703999998</v>
      </c>
      <c r="G11" s="3129"/>
      <c r="H11" s="2660">
        <v>2</v>
      </c>
      <c r="I11" s="2660">
        <v>3.4</v>
      </c>
      <c r="J11" s="2660">
        <v>2</v>
      </c>
      <c r="K11" s="2660">
        <v>3.82</v>
      </c>
      <c r="L11" s="2671">
        <v>1.68</v>
      </c>
      <c r="N11" s="2664">
        <f t="shared" si="36"/>
        <v>3.4000000000000002E-2</v>
      </c>
      <c r="O11" s="2682">
        <f t="shared" si="47"/>
        <v>0.02</v>
      </c>
      <c r="P11" s="2682">
        <f t="shared" si="48"/>
        <v>3.8199999999999998E-2</v>
      </c>
      <c r="Q11" s="2682">
        <f t="shared" si="49"/>
        <v>1.6799999999999999E-2</v>
      </c>
      <c r="R11" s="2654"/>
      <c r="S11" s="2658"/>
      <c r="T11" s="2654"/>
      <c r="U11" s="2654"/>
      <c r="V11" s="2654"/>
      <c r="X11" s="2754">
        <f>ROUND(SUMPRODUCT(PRODUCT(1+N11:N$23)),4)</f>
        <v>1.3628</v>
      </c>
      <c r="Y11" s="2754">
        <f>ROUND(SUMPRODUCT(PRODUCT(1+O11:O$23)),4)</f>
        <v>1.2205999999999999</v>
      </c>
      <c r="Z11" s="2754">
        <f t="shared" si="0"/>
        <v>1.2205999999999999</v>
      </c>
      <c r="AA11" s="2754">
        <f>ROUND(SUMPRODUCT(PRODUCT(1+P11:P$23)),4)</f>
        <v>1.4118999999999999</v>
      </c>
      <c r="AB11" s="2754">
        <f>ROUND(SUMPRODUCT(PRODUCT(1+Q11:Q$23)),4)</f>
        <v>1.1930000000000001</v>
      </c>
      <c r="AD11" s="2674">
        <f>ROUND(AVERAGE(I11:I$24)/100,4)</f>
        <v>2.46E-2</v>
      </c>
      <c r="AE11" s="2674">
        <f>ROUND(AVERAGE(J11:J$24)/100,4)</f>
        <v>1.6E-2</v>
      </c>
      <c r="AF11" s="2674">
        <f t="shared" si="1"/>
        <v>1.6E-2</v>
      </c>
      <c r="AG11" s="2674">
        <f>ROUND(AVERAGE(K11:K$24)/100,4)</f>
        <v>2.75E-2</v>
      </c>
      <c r="AH11" s="2674">
        <f>ROUND(AVERAGE(L11:L$24)/100,4)</f>
        <v>1.37E-2</v>
      </c>
    </row>
    <row r="12" spans="1:34" s="2761" customFormat="1" ht="13.8" thickBot="1">
      <c r="A12" s="2655" t="s">
        <v>2580</v>
      </c>
      <c r="B12" s="2669">
        <f t="shared" si="45"/>
        <v>405.524</v>
      </c>
      <c r="C12" s="2669">
        <f t="shared" si="45"/>
        <v>307.79840000000002</v>
      </c>
      <c r="D12" s="2669">
        <f t="shared" si="33"/>
        <v>307.79840000000002</v>
      </c>
      <c r="E12" s="2669">
        <f t="shared" si="46"/>
        <v>574.67759999999998</v>
      </c>
      <c r="F12" s="2669">
        <f t="shared" si="46"/>
        <v>270.20280000000002</v>
      </c>
      <c r="G12" s="3130"/>
      <c r="H12" s="2659">
        <v>1</v>
      </c>
      <c r="I12" s="2659">
        <v>3.45</v>
      </c>
      <c r="J12" s="2659">
        <v>1.92</v>
      </c>
      <c r="K12" s="2659">
        <v>3.92</v>
      </c>
      <c r="L12" s="2670">
        <v>1.58</v>
      </c>
      <c r="M12" s="2663"/>
      <c r="N12" s="2672">
        <f t="shared" si="36"/>
        <v>3.4500000000000003E-2</v>
      </c>
      <c r="O12" s="2673">
        <f t="shared" ref="O12" si="50">J12/100</f>
        <v>1.9199999999999998E-2</v>
      </c>
      <c r="P12" s="2673">
        <f t="shared" ref="P12" si="51">K12/100</f>
        <v>3.9199999999999999E-2</v>
      </c>
      <c r="Q12" s="2673">
        <f t="shared" ref="Q12" si="52">L12/100</f>
        <v>1.5800000000000002E-2</v>
      </c>
      <c r="R12" s="2666"/>
      <c r="S12" s="2672">
        <f>B12/B13-1</f>
        <v>3.4499999999999975E-2</v>
      </c>
      <c r="T12" s="2673">
        <f>C12/C13-1</f>
        <v>1.9200000000000106E-2</v>
      </c>
      <c r="U12" s="2673">
        <f>E12/E13-1</f>
        <v>3.9199999999999902E-2</v>
      </c>
      <c r="V12" s="2673">
        <f>F12/F13-1</f>
        <v>1.5800000000000036E-2</v>
      </c>
      <c r="W12" s="2663"/>
      <c r="X12" s="2754">
        <f>ROUND(SUMPRODUCT(PRODUCT(1+N12:N$23)),4)</f>
        <v>1.3180000000000001</v>
      </c>
      <c r="Y12" s="2754">
        <f>ROUND(SUMPRODUCT(PRODUCT(1+O12:O$23)),4)</f>
        <v>1.1966000000000001</v>
      </c>
      <c r="Z12" s="2754">
        <f t="shared" si="0"/>
        <v>1.1966000000000001</v>
      </c>
      <c r="AA12" s="2754">
        <f>ROUND(SUMPRODUCT(PRODUCT(1+P12:P$23)),4)</f>
        <v>1.36</v>
      </c>
      <c r="AB12" s="2754">
        <f>ROUND(SUMPRODUCT(PRODUCT(1+Q12:Q$23)),4)</f>
        <v>1.1733</v>
      </c>
      <c r="AC12" s="2663"/>
      <c r="AD12" s="2674">
        <f>ROUND(AVERAGE(I12:I$24)/100,4)</f>
        <v>2.3900000000000001E-2</v>
      </c>
      <c r="AE12" s="2674">
        <f>ROUND(AVERAGE(J12:J$24)/100,4)</f>
        <v>1.5699999999999999E-2</v>
      </c>
      <c r="AF12" s="2674">
        <f t="shared" si="1"/>
        <v>1.5699999999999999E-2</v>
      </c>
      <c r="AG12" s="2674">
        <f>ROUND(AVERAGE(K12:K$24)/100,4)</f>
        <v>2.6599999999999999E-2</v>
      </c>
      <c r="AH12" s="2674">
        <f>ROUND(AVERAGE(L12:L$24)/100,4)</f>
        <v>1.34E-2</v>
      </c>
    </row>
    <row r="13" spans="1:34">
      <c r="A13" s="2655" t="s">
        <v>970</v>
      </c>
      <c r="B13" s="2661">
        <v>392</v>
      </c>
      <c r="C13" s="2661">
        <v>302</v>
      </c>
      <c r="D13" s="2661">
        <f t="shared" si="33"/>
        <v>302</v>
      </c>
      <c r="E13" s="2661">
        <v>553</v>
      </c>
      <c r="F13" s="2662">
        <v>266</v>
      </c>
      <c r="G13" s="3544">
        <v>2016</v>
      </c>
      <c r="H13" s="2656">
        <v>4</v>
      </c>
      <c r="I13" s="2656">
        <v>4.5599999999999996</v>
      </c>
      <c r="J13" s="2656">
        <v>2.15</v>
      </c>
      <c r="K13" s="2656">
        <v>5.32</v>
      </c>
      <c r="L13" s="2657">
        <v>1.57</v>
      </c>
      <c r="N13" s="2664">
        <f t="shared" si="36"/>
        <v>4.5599999999999995E-2</v>
      </c>
      <c r="O13" s="2665">
        <f t="shared" ref="O13:Q28" si="53">J13/100</f>
        <v>2.1499999999999998E-2</v>
      </c>
      <c r="P13" s="2665">
        <f t="shared" si="53"/>
        <v>5.3200000000000004E-2</v>
      </c>
      <c r="Q13" s="2665">
        <f t="shared" si="53"/>
        <v>1.5700000000000002E-2</v>
      </c>
      <c r="R13" s="2666"/>
      <c r="S13" s="2667"/>
      <c r="T13" s="2668"/>
      <c r="U13" s="2668"/>
      <c r="V13" s="2668"/>
      <c r="X13" s="2754">
        <f>ROUND(SUMPRODUCT(PRODUCT(1+N13:N$23)),4)</f>
        <v>1.274</v>
      </c>
      <c r="Y13" s="2754">
        <f>ROUND(SUMPRODUCT(PRODUCT(1+O13:O$23)),4)</f>
        <v>1.1740999999999999</v>
      </c>
      <c r="Z13" s="2754">
        <f t="shared" si="0"/>
        <v>1.1740999999999999</v>
      </c>
      <c r="AA13" s="2754">
        <f>ROUND(SUMPRODUCT(PRODUCT(1+P13:P$23)),4)</f>
        <v>1.3087</v>
      </c>
      <c r="AB13" s="2754">
        <f>ROUND(SUMPRODUCT(PRODUCT(1+Q13:Q$23)),4)</f>
        <v>1.1551</v>
      </c>
      <c r="AD13" s="2674">
        <f>ROUND(AVERAGE(I13:I$24)/100,4)</f>
        <v>2.3E-2</v>
      </c>
      <c r="AE13" s="2674">
        <f>ROUND(AVERAGE(J13:J$24)/100,4)</f>
        <v>1.55E-2</v>
      </c>
      <c r="AF13" s="2674">
        <f t="shared" si="1"/>
        <v>1.55E-2</v>
      </c>
      <c r="AG13" s="2674">
        <f>ROUND(AVERAGE(K13:K$24)/100,4)</f>
        <v>2.5600000000000001E-2</v>
      </c>
      <c r="AH13" s="2674">
        <f>ROUND(AVERAGE(L13:L$24)/100,4)</f>
        <v>1.32E-2</v>
      </c>
    </row>
    <row r="14" spans="1:34">
      <c r="A14" s="2655" t="s">
        <v>969</v>
      </c>
      <c r="B14" s="2669">
        <f t="shared" ref="B14:C16" si="54">B13/(1+N13)</f>
        <v>374.90436113236416</v>
      </c>
      <c r="C14" s="2669">
        <f t="shared" si="54"/>
        <v>295.64366128242779</v>
      </c>
      <c r="D14" s="2669">
        <f t="shared" ref="D14:D73" si="55">C14</f>
        <v>295.64366128242779</v>
      </c>
      <c r="E14" s="2669">
        <f t="shared" ref="E14:F16" si="56">E13/(1+P13)</f>
        <v>525.06646410938095</v>
      </c>
      <c r="F14" s="2669">
        <f t="shared" si="56"/>
        <v>261.88835286009646</v>
      </c>
      <c r="G14" s="3539"/>
      <c r="H14" s="2659">
        <v>3</v>
      </c>
      <c r="I14" s="2659">
        <v>4.12</v>
      </c>
      <c r="J14" s="2659">
        <v>2</v>
      </c>
      <c r="K14" s="2659">
        <v>4.79</v>
      </c>
      <c r="L14" s="2670">
        <v>1.97</v>
      </c>
      <c r="N14" s="2664">
        <f t="shared" ref="N14:Q48" si="57">I14/100</f>
        <v>4.1200000000000001E-2</v>
      </c>
      <c r="O14" s="2665">
        <f t="shared" si="53"/>
        <v>0.02</v>
      </c>
      <c r="P14" s="2665">
        <f t="shared" si="53"/>
        <v>4.7899999999999998E-2</v>
      </c>
      <c r="Q14" s="2665">
        <f t="shared" si="53"/>
        <v>1.9699999999999999E-2</v>
      </c>
      <c r="R14" s="2666"/>
      <c r="S14" s="2664"/>
      <c r="T14" s="2665"/>
      <c r="U14" s="2665"/>
      <c r="V14" s="2665"/>
      <c r="X14" s="2754">
        <f>ROUND(SUMPRODUCT(PRODUCT(1+N14:N$23)),4)</f>
        <v>1.2184999999999999</v>
      </c>
      <c r="Y14" s="2754">
        <f>ROUND(SUMPRODUCT(PRODUCT(1+O14:O$23)),4)</f>
        <v>1.1494</v>
      </c>
      <c r="Z14" s="2754">
        <f t="shared" si="0"/>
        <v>1.1494</v>
      </c>
      <c r="AA14" s="2754">
        <f>ROUND(SUMPRODUCT(PRODUCT(1+P14:P$23)),4)</f>
        <v>1.2425999999999999</v>
      </c>
      <c r="AB14" s="2754">
        <f>ROUND(SUMPRODUCT(PRODUCT(1+Q14:Q$23)),4)</f>
        <v>1.1372</v>
      </c>
      <c r="AD14" s="2674">
        <f>ROUND(AVERAGE(I14:I$24)/100,4)</f>
        <v>2.0899999999999998E-2</v>
      </c>
      <c r="AE14" s="2674">
        <f>ROUND(AVERAGE(J14:J$24)/100,4)</f>
        <v>1.49E-2</v>
      </c>
      <c r="AF14" s="2674">
        <f t="shared" si="1"/>
        <v>1.49E-2</v>
      </c>
      <c r="AG14" s="2674">
        <f>ROUND(AVERAGE(K14:K$24)/100,4)</f>
        <v>2.3099999999999999E-2</v>
      </c>
      <c r="AH14" s="2674">
        <f>ROUND(AVERAGE(L14:L$24)/100,4)</f>
        <v>1.2999999999999999E-2</v>
      </c>
    </row>
    <row r="15" spans="1:34">
      <c r="A15" s="2655" t="s">
        <v>959</v>
      </c>
      <c r="B15" s="2669">
        <f t="shared" si="54"/>
        <v>360.06949782209392</v>
      </c>
      <c r="C15" s="2669">
        <f t="shared" si="54"/>
        <v>289.84672674747821</v>
      </c>
      <c r="D15" s="2669">
        <f t="shared" si="55"/>
        <v>289.84672674747821</v>
      </c>
      <c r="E15" s="2669">
        <f t="shared" si="56"/>
        <v>501.06543001181495</v>
      </c>
      <c r="F15" s="2669">
        <f t="shared" si="56"/>
        <v>256.82882500744967</v>
      </c>
      <c r="G15" s="3539"/>
      <c r="H15" s="2660">
        <v>2</v>
      </c>
      <c r="I15" s="2660">
        <v>3.85</v>
      </c>
      <c r="J15" s="2660">
        <v>1.95</v>
      </c>
      <c r="K15" s="2660">
        <v>4.4800000000000004</v>
      </c>
      <c r="L15" s="2671">
        <v>1.41</v>
      </c>
      <c r="N15" s="2664">
        <f t="shared" si="57"/>
        <v>3.85E-2</v>
      </c>
      <c r="O15" s="2665">
        <f t="shared" si="53"/>
        <v>1.95E-2</v>
      </c>
      <c r="P15" s="2665">
        <f t="shared" si="53"/>
        <v>4.4800000000000006E-2</v>
      </c>
      <c r="Q15" s="2665">
        <f t="shared" si="53"/>
        <v>1.41E-2</v>
      </c>
      <c r="R15" s="2666"/>
      <c r="S15" s="2664"/>
      <c r="T15" s="2665"/>
      <c r="U15" s="2665"/>
      <c r="V15" s="2665"/>
      <c r="X15" s="2754">
        <f>ROUND(SUMPRODUCT(PRODUCT(1+N15:N$23)),4)</f>
        <v>1.1702999999999999</v>
      </c>
      <c r="Y15" s="2754">
        <f>ROUND(SUMPRODUCT(PRODUCT(1+O15:O$23)),4)</f>
        <v>1.1269</v>
      </c>
      <c r="Z15" s="2754">
        <f t="shared" si="0"/>
        <v>1.1269</v>
      </c>
      <c r="AA15" s="2754">
        <f>ROUND(SUMPRODUCT(PRODUCT(1+P15:P$23)),4)</f>
        <v>1.1858</v>
      </c>
      <c r="AB15" s="2754">
        <f>ROUND(SUMPRODUCT(PRODUCT(1+Q15:Q$23)),4)</f>
        <v>1.1152</v>
      </c>
      <c r="AD15" s="2674">
        <f>ROUND(AVERAGE(I15:I$24)/100,4)</f>
        <v>1.89E-2</v>
      </c>
      <c r="AE15" s="2674">
        <f>ROUND(AVERAGE(J15:J$24)/100,4)</f>
        <v>1.44E-2</v>
      </c>
      <c r="AF15" s="2674">
        <f t="shared" si="1"/>
        <v>1.44E-2</v>
      </c>
      <c r="AG15" s="2674">
        <f>ROUND(AVERAGE(K15:K$24)/100,4)</f>
        <v>2.06E-2</v>
      </c>
      <c r="AH15" s="2674">
        <f>ROUND(AVERAGE(L15:L$24)/100,4)</f>
        <v>1.23E-2</v>
      </c>
    </row>
    <row r="16" spans="1:34" ht="13.8" thickBot="1">
      <c r="A16" s="2655" t="s">
        <v>968</v>
      </c>
      <c r="B16" s="2669">
        <f t="shared" si="54"/>
        <v>346.720748986128</v>
      </c>
      <c r="C16" s="2669">
        <f t="shared" si="54"/>
        <v>284.30282172386285</v>
      </c>
      <c r="D16" s="2669">
        <f t="shared" si="55"/>
        <v>284.30282172386285</v>
      </c>
      <c r="E16" s="2669">
        <f t="shared" si="56"/>
        <v>479.58023546306947</v>
      </c>
      <c r="F16" s="2669">
        <f t="shared" si="56"/>
        <v>253.25788877571213</v>
      </c>
      <c r="G16" s="3540"/>
      <c r="H16" s="2659">
        <v>1</v>
      </c>
      <c r="I16" s="2659">
        <v>4.09</v>
      </c>
      <c r="J16" s="2659">
        <v>2.93</v>
      </c>
      <c r="K16" s="2659">
        <v>4.54</v>
      </c>
      <c r="L16" s="2670">
        <v>1.48</v>
      </c>
      <c r="N16" s="2664">
        <f t="shared" si="57"/>
        <v>4.0899999999999999E-2</v>
      </c>
      <c r="O16" s="2665">
        <f t="shared" si="53"/>
        <v>2.9300000000000003E-2</v>
      </c>
      <c r="P16" s="2665">
        <f t="shared" si="53"/>
        <v>4.5400000000000003E-2</v>
      </c>
      <c r="Q16" s="2665">
        <f t="shared" si="53"/>
        <v>1.4800000000000001E-2</v>
      </c>
      <c r="R16" s="2666"/>
      <c r="S16" s="2672">
        <f>B16/B17-1</f>
        <v>4.1203450408792808E-2</v>
      </c>
      <c r="T16" s="2673">
        <f>C16/C17-1</f>
        <v>2.6363977342465095E-2</v>
      </c>
      <c r="U16" s="2673">
        <f>E16/E17-1</f>
        <v>4.4837114298626357E-2</v>
      </c>
      <c r="V16" s="2673">
        <f>F16/F17-1</f>
        <v>1.7099954922538574E-2</v>
      </c>
      <c r="X16" s="2754">
        <f>ROUND(SUMPRODUCT(PRODUCT(1+N16:N$23)),4)</f>
        <v>1.1269</v>
      </c>
      <c r="Y16" s="2754">
        <f>ROUND(SUMPRODUCT(PRODUCT(1+O16:O$23)),4)</f>
        <v>1.1052999999999999</v>
      </c>
      <c r="Z16" s="2754">
        <f t="shared" si="0"/>
        <v>1.1052999999999999</v>
      </c>
      <c r="AA16" s="2754">
        <f>ROUND(SUMPRODUCT(PRODUCT(1+P16:P$23)),4)</f>
        <v>1.1349</v>
      </c>
      <c r="AB16" s="2754">
        <f>ROUND(SUMPRODUCT(PRODUCT(1+Q16:Q$23)),4)</f>
        <v>1.0996999999999999</v>
      </c>
      <c r="AD16" s="2674">
        <f>ROUND(AVERAGE(I16:I$24)/100,4)</f>
        <v>1.67E-2</v>
      </c>
      <c r="AE16" s="2674">
        <f>ROUND(AVERAGE(J16:J$24)/100,4)</f>
        <v>1.38E-2</v>
      </c>
      <c r="AF16" s="2674">
        <f t="shared" si="1"/>
        <v>1.38E-2</v>
      </c>
      <c r="AG16" s="2674">
        <f>ROUND(AVERAGE(K16:K$24)/100,4)</f>
        <v>1.7899999999999999E-2</v>
      </c>
      <c r="AH16" s="2674">
        <f>ROUND(AVERAGE(L16:L$24)/100,4)</f>
        <v>1.21E-2</v>
      </c>
    </row>
    <row r="17" spans="1:34" ht="13.8" thickBot="1">
      <c r="A17" s="2655" t="s">
        <v>967</v>
      </c>
      <c r="B17" s="2661">
        <v>333</v>
      </c>
      <c r="C17" s="2661">
        <v>277</v>
      </c>
      <c r="D17" s="2661">
        <f t="shared" si="55"/>
        <v>277</v>
      </c>
      <c r="E17" s="2661">
        <v>459</v>
      </c>
      <c r="F17" s="2662">
        <v>249</v>
      </c>
      <c r="G17" s="3538">
        <v>2015</v>
      </c>
      <c r="H17" s="2675">
        <v>4</v>
      </c>
      <c r="I17" s="2675">
        <v>1.63</v>
      </c>
      <c r="J17" s="2675">
        <v>1.1100000000000001</v>
      </c>
      <c r="K17" s="2675">
        <v>1.77</v>
      </c>
      <c r="L17" s="2676">
        <v>1.89</v>
      </c>
      <c r="N17" s="2677">
        <f t="shared" si="57"/>
        <v>1.6299999999999999E-2</v>
      </c>
      <c r="O17" s="2678">
        <f t="shared" si="53"/>
        <v>1.11E-2</v>
      </c>
      <c r="P17" s="2678">
        <f t="shared" si="53"/>
        <v>1.77E-2</v>
      </c>
      <c r="Q17" s="2678">
        <f t="shared" si="53"/>
        <v>1.89E-2</v>
      </c>
      <c r="R17" s="2666"/>
      <c r="X17" s="2754">
        <f>ROUND(SUMPRODUCT(PRODUCT(1+N17:N$23)),4)</f>
        <v>1.0826</v>
      </c>
      <c r="Y17" s="2754">
        <f>ROUND(SUMPRODUCT(PRODUCT(1+O17:O$23)),4)</f>
        <v>1.0738000000000001</v>
      </c>
      <c r="Z17" s="2754">
        <f t="shared" si="0"/>
        <v>1.0738000000000001</v>
      </c>
      <c r="AA17" s="2754">
        <f>ROUND(SUMPRODUCT(PRODUCT(1+P17:P$23)),4)</f>
        <v>1.0855999999999999</v>
      </c>
      <c r="AB17" s="2754">
        <f>ROUND(SUMPRODUCT(PRODUCT(1+Q17:Q$23)),4)</f>
        <v>1.0837000000000001</v>
      </c>
      <c r="AD17" s="2674">
        <f>ROUND(AVERAGE(I17:I$24)/100,4)</f>
        <v>1.37E-2</v>
      </c>
      <c r="AE17" s="2674">
        <f>ROUND(AVERAGE(J17:J$24)/100,4)</f>
        <v>1.1900000000000001E-2</v>
      </c>
      <c r="AF17" s="2674">
        <f t="shared" si="1"/>
        <v>1.1900000000000001E-2</v>
      </c>
      <c r="AG17" s="2674">
        <f>ROUND(AVERAGE(K17:K$24)/100,4)</f>
        <v>1.4500000000000001E-2</v>
      </c>
      <c r="AH17" s="2674">
        <f>ROUND(AVERAGE(L17:L$24)/100,4)</f>
        <v>1.18E-2</v>
      </c>
    </row>
    <row r="18" spans="1:34">
      <c r="A18" s="2655" t="s">
        <v>966</v>
      </c>
      <c r="B18" s="2669">
        <f t="shared" ref="B18:C20" si="58">B17/(1+N17)</f>
        <v>327.65915576109415</v>
      </c>
      <c r="C18" s="2669">
        <f t="shared" si="58"/>
        <v>273.95905449510434</v>
      </c>
      <c r="D18" s="2669">
        <f t="shared" si="55"/>
        <v>273.95905449510434</v>
      </c>
      <c r="E18" s="2669">
        <f t="shared" ref="E18:F20" si="59">E17/(1+P17)</f>
        <v>451.01699911565294</v>
      </c>
      <c r="F18" s="2669">
        <f t="shared" si="59"/>
        <v>244.38119540681129</v>
      </c>
      <c r="G18" s="3539"/>
      <c r="H18" s="2680">
        <v>3</v>
      </c>
      <c r="I18" s="2680">
        <v>1.65</v>
      </c>
      <c r="J18" s="2680">
        <v>0.92</v>
      </c>
      <c r="K18" s="2680">
        <v>1.88</v>
      </c>
      <c r="L18" s="2681">
        <v>1.26</v>
      </c>
      <c r="N18" s="2664">
        <f t="shared" si="57"/>
        <v>1.6500000000000001E-2</v>
      </c>
      <c r="O18" s="2682">
        <f t="shared" si="53"/>
        <v>9.1999999999999998E-3</v>
      </c>
      <c r="P18" s="2682">
        <f t="shared" si="53"/>
        <v>1.8799999999999997E-2</v>
      </c>
      <c r="Q18" s="2682">
        <f t="shared" si="53"/>
        <v>1.26E-2</v>
      </c>
      <c r="R18" s="2666"/>
      <c r="S18" s="2664"/>
      <c r="T18" s="2665"/>
      <c r="U18" s="2665"/>
      <c r="V18" s="2665"/>
      <c r="X18" s="2754">
        <f>ROUND(SUMPRODUCT(PRODUCT(1+N18:N$23)),4)</f>
        <v>1.0651999999999999</v>
      </c>
      <c r="Y18" s="2754">
        <f>ROUND(SUMPRODUCT(PRODUCT(1+O18:O$23)),4)</f>
        <v>1.0621</v>
      </c>
      <c r="Z18" s="2754">
        <f t="shared" si="0"/>
        <v>1.0621</v>
      </c>
      <c r="AA18" s="2754">
        <f>ROUND(SUMPRODUCT(PRODUCT(1+P18:P$23)),4)</f>
        <v>1.0668</v>
      </c>
      <c r="AB18" s="2754">
        <f>ROUND(SUMPRODUCT(PRODUCT(1+Q18:Q$23)),4)</f>
        <v>1.0636000000000001</v>
      </c>
      <c r="AD18" s="2674">
        <f>ROUND(AVERAGE(I18:I$24)/100,4)</f>
        <v>1.3299999999999999E-2</v>
      </c>
      <c r="AE18" s="2674">
        <f>ROUND(AVERAGE(J18:J$24)/100,4)</f>
        <v>1.2E-2</v>
      </c>
      <c r="AF18" s="2674">
        <f t="shared" si="1"/>
        <v>1.2E-2</v>
      </c>
      <c r="AG18" s="2674">
        <f>ROUND(AVERAGE(K18:K$24)/100,4)</f>
        <v>1.4E-2</v>
      </c>
      <c r="AH18" s="2674">
        <f>ROUND(AVERAGE(L18:L$24)/100,4)</f>
        <v>1.0800000000000001E-2</v>
      </c>
    </row>
    <row r="19" spans="1:34">
      <c r="A19" s="2655" t="s">
        <v>965</v>
      </c>
      <c r="B19" s="2669">
        <f t="shared" si="58"/>
        <v>322.34053690220776</v>
      </c>
      <c r="C19" s="2669">
        <f t="shared" si="58"/>
        <v>271.46160770422546</v>
      </c>
      <c r="D19" s="2669">
        <f t="shared" si="55"/>
        <v>271.46160770422546</v>
      </c>
      <c r="E19" s="2669">
        <f t="shared" si="59"/>
        <v>442.69434542172456</v>
      </c>
      <c r="F19" s="2669">
        <f t="shared" si="59"/>
        <v>241.34030753190925</v>
      </c>
      <c r="G19" s="3539"/>
      <c r="H19" s="2660">
        <v>2</v>
      </c>
      <c r="I19" s="2660">
        <v>0.77</v>
      </c>
      <c r="J19" s="2660">
        <v>0.69</v>
      </c>
      <c r="K19" s="2660">
        <v>0.8</v>
      </c>
      <c r="L19" s="2671">
        <v>0.88</v>
      </c>
      <c r="N19" s="2664">
        <f t="shared" si="57"/>
        <v>7.7000000000000002E-3</v>
      </c>
      <c r="O19" s="2682">
        <f t="shared" si="53"/>
        <v>6.8999999999999999E-3</v>
      </c>
      <c r="P19" s="2682">
        <f t="shared" si="53"/>
        <v>8.0000000000000002E-3</v>
      </c>
      <c r="Q19" s="2682">
        <f t="shared" si="53"/>
        <v>8.8000000000000005E-3</v>
      </c>
      <c r="R19" s="2666"/>
      <c r="S19" s="2664"/>
      <c r="T19" s="2665"/>
      <c r="U19" s="2665"/>
      <c r="V19" s="2665"/>
      <c r="X19" s="2754">
        <f>ROUND(SUMPRODUCT(PRODUCT(1+N19:N$23)),4)</f>
        <v>1.048</v>
      </c>
      <c r="Y19" s="2754">
        <f>ROUND(SUMPRODUCT(PRODUCT(1+O19:O$23)),4)</f>
        <v>1.0524</v>
      </c>
      <c r="Z19" s="2754">
        <f t="shared" si="0"/>
        <v>1.0524</v>
      </c>
      <c r="AA19" s="2754">
        <f>ROUND(SUMPRODUCT(PRODUCT(1+P19:P$23)),4)</f>
        <v>1.0470999999999999</v>
      </c>
      <c r="AB19" s="2754">
        <f>ROUND(SUMPRODUCT(PRODUCT(1+Q19:Q$23)),4)</f>
        <v>1.0504</v>
      </c>
      <c r="AD19" s="2674">
        <f>ROUND(AVERAGE(I19:I$24)/100,4)</f>
        <v>1.2800000000000001E-2</v>
      </c>
      <c r="AE19" s="2674">
        <f>ROUND(AVERAGE(J19:J$24)/100,4)</f>
        <v>1.2500000000000001E-2</v>
      </c>
      <c r="AF19" s="2674">
        <f t="shared" si="1"/>
        <v>1.2500000000000001E-2</v>
      </c>
      <c r="AG19" s="2674">
        <f>ROUND(AVERAGE(K19:K$24)/100,4)</f>
        <v>1.32E-2</v>
      </c>
      <c r="AH19" s="2674">
        <f>ROUND(AVERAGE(L19:L$24)/100,4)</f>
        <v>1.0500000000000001E-2</v>
      </c>
    </row>
    <row r="20" spans="1:34">
      <c r="A20" s="2655" t="s">
        <v>964</v>
      </c>
      <c r="B20" s="2669">
        <f t="shared" si="58"/>
        <v>319.87748030386797</v>
      </c>
      <c r="C20" s="2669">
        <f t="shared" si="58"/>
        <v>269.60135833173649</v>
      </c>
      <c r="D20" s="2669">
        <f t="shared" si="55"/>
        <v>269.60135833173649</v>
      </c>
      <c r="E20" s="2669">
        <f t="shared" si="59"/>
        <v>439.18089823583784</v>
      </c>
      <c r="F20" s="2669">
        <f t="shared" si="59"/>
        <v>239.23503918706311</v>
      </c>
      <c r="G20" s="3540"/>
      <c r="H20" s="2659">
        <v>1</v>
      </c>
      <c r="I20" s="2659">
        <v>0.51</v>
      </c>
      <c r="J20" s="2659">
        <v>0.54</v>
      </c>
      <c r="K20" s="2659">
        <v>0.48</v>
      </c>
      <c r="L20" s="2670">
        <v>0.93</v>
      </c>
      <c r="N20" s="2672">
        <f t="shared" si="57"/>
        <v>5.1000000000000004E-3</v>
      </c>
      <c r="O20" s="2673">
        <f t="shared" si="53"/>
        <v>5.4000000000000003E-3</v>
      </c>
      <c r="P20" s="2673">
        <f t="shared" si="53"/>
        <v>4.7999999999999996E-3</v>
      </c>
      <c r="Q20" s="2673">
        <f t="shared" si="53"/>
        <v>9.300000000000001E-3</v>
      </c>
      <c r="R20" s="2666"/>
      <c r="S20" s="2672">
        <f>B20/B21-1</f>
        <v>5.9040261127922822E-3</v>
      </c>
      <c r="T20" s="2673">
        <f>C20/C21-1</f>
        <v>5.9752176557332781E-3</v>
      </c>
      <c r="U20" s="2673">
        <f>E20/E21-1</f>
        <v>4.9906138119859556E-3</v>
      </c>
      <c r="V20" s="2673">
        <f>F20/F21-1</f>
        <v>9.4305450930933787E-3</v>
      </c>
      <c r="X20" s="2754">
        <f>ROUND(SUMPRODUCT(PRODUCT(1+N20:N$23)),4)</f>
        <v>1.0399</v>
      </c>
      <c r="Y20" s="2754">
        <f>ROUND(SUMPRODUCT(PRODUCT(1+O20:O$23)),4)</f>
        <v>1.0451999999999999</v>
      </c>
      <c r="Z20" s="2754">
        <f t="shared" si="0"/>
        <v>1.0451999999999999</v>
      </c>
      <c r="AA20" s="2754">
        <f>ROUND(SUMPRODUCT(PRODUCT(1+P20:P$23)),4)</f>
        <v>1.0387999999999999</v>
      </c>
      <c r="AB20" s="2754">
        <f>ROUND(SUMPRODUCT(PRODUCT(1+Q20:Q$23)),4)</f>
        <v>1.0411999999999999</v>
      </c>
      <c r="AD20" s="2674">
        <f>ROUND(AVERAGE(I20:I$24)/100,4)</f>
        <v>1.38E-2</v>
      </c>
      <c r="AE20" s="2674">
        <f>ROUND(AVERAGE(J20:J$24)/100,4)</f>
        <v>1.3599999999999999E-2</v>
      </c>
      <c r="AF20" s="2674">
        <f t="shared" si="1"/>
        <v>1.3599999999999999E-2</v>
      </c>
      <c r="AG20" s="2674">
        <f>ROUND(AVERAGE(K20:K$24)/100,4)</f>
        <v>1.4200000000000001E-2</v>
      </c>
      <c r="AH20" s="2674">
        <f>ROUND(AVERAGE(L20:L$24)/100,4)</f>
        <v>1.0800000000000001E-2</v>
      </c>
    </row>
    <row r="21" spans="1:34" ht="13.8" thickBot="1">
      <c r="A21" s="2655" t="s">
        <v>963</v>
      </c>
      <c r="B21" s="2683">
        <v>318</v>
      </c>
      <c r="C21" s="2683">
        <v>268</v>
      </c>
      <c r="D21" s="2683">
        <f t="shared" si="55"/>
        <v>268</v>
      </c>
      <c r="E21" s="2683">
        <v>437</v>
      </c>
      <c r="F21" s="2684">
        <v>237</v>
      </c>
      <c r="G21" s="3538">
        <v>2014</v>
      </c>
      <c r="H21" s="2675">
        <v>4</v>
      </c>
      <c r="I21" s="2675">
        <v>0.21</v>
      </c>
      <c r="J21" s="2675">
        <v>0.41</v>
      </c>
      <c r="K21" s="2675">
        <v>0.12</v>
      </c>
      <c r="L21" s="2676">
        <v>0.89</v>
      </c>
      <c r="N21" s="2664">
        <f t="shared" si="57"/>
        <v>2.0999999999999999E-3</v>
      </c>
      <c r="O21" s="2665">
        <f t="shared" si="53"/>
        <v>4.0999999999999995E-3</v>
      </c>
      <c r="P21" s="2665">
        <f t="shared" si="53"/>
        <v>1.1999999999999999E-3</v>
      </c>
      <c r="Q21" s="2665">
        <f t="shared" si="53"/>
        <v>8.8999999999999999E-3</v>
      </c>
      <c r="R21" s="2666"/>
      <c r="S21" s="2667"/>
      <c r="T21" s="2668"/>
      <c r="U21" s="2668"/>
      <c r="V21" s="2668"/>
      <c r="X21" s="2754">
        <f>ROUND(SUMPRODUCT(PRODUCT(1+N21:N$23)),4)</f>
        <v>1.0347</v>
      </c>
      <c r="Y21" s="2754">
        <f>ROUND(SUMPRODUCT(PRODUCT(1+O21:O$23)),4)</f>
        <v>1.0395000000000001</v>
      </c>
      <c r="Z21" s="2754">
        <f t="shared" si="0"/>
        <v>1.0395000000000001</v>
      </c>
      <c r="AA21" s="2754">
        <f>ROUND(SUMPRODUCT(PRODUCT(1+P21:P$23)),4)</f>
        <v>1.0338000000000001</v>
      </c>
      <c r="AB21" s="2754">
        <f>ROUND(SUMPRODUCT(PRODUCT(1+Q21:Q$23)),4)</f>
        <v>1.0316000000000001</v>
      </c>
      <c r="AD21" s="2674">
        <f>ROUND(AVERAGE(I21:I$24)/100,4)</f>
        <v>1.6E-2</v>
      </c>
      <c r="AE21" s="2674">
        <f>ROUND(AVERAGE(J21:J$24)/100,4)</f>
        <v>1.5599999999999999E-2</v>
      </c>
      <c r="AF21" s="2674">
        <f t="shared" si="1"/>
        <v>1.5599999999999999E-2</v>
      </c>
      <c r="AG21" s="2674">
        <f>ROUND(AVERAGE(K21:K$24)/100,4)</f>
        <v>1.66E-2</v>
      </c>
      <c r="AH21" s="2674">
        <f>ROUND(AVERAGE(L21:L$24)/100,4)</f>
        <v>1.12E-2</v>
      </c>
    </row>
    <row r="22" spans="1:34">
      <c r="A22" s="2655" t="s">
        <v>962</v>
      </c>
      <c r="B22" s="2669">
        <f t="shared" ref="B22:C24" si="60">B21/(1+N21)</f>
        <v>317.33359944117353</v>
      </c>
      <c r="C22" s="2669">
        <f t="shared" si="60"/>
        <v>266.90568668459315</v>
      </c>
      <c r="D22" s="2669">
        <f t="shared" si="55"/>
        <v>266.90568668459315</v>
      </c>
      <c r="E22" s="2669">
        <f t="shared" ref="E22:F24" si="61">E21/(1+P21)</f>
        <v>436.47622852576905</v>
      </c>
      <c r="F22" s="2669">
        <f t="shared" si="61"/>
        <v>234.90930716622066</v>
      </c>
      <c r="G22" s="3539"/>
      <c r="H22" s="2685">
        <v>3</v>
      </c>
      <c r="I22" s="2685">
        <v>0.83</v>
      </c>
      <c r="J22" s="2685">
        <v>1.47</v>
      </c>
      <c r="K22" s="2685">
        <v>0.65</v>
      </c>
      <c r="L22" s="2686">
        <v>0.72</v>
      </c>
      <c r="N22" s="2664">
        <f t="shared" si="57"/>
        <v>8.3000000000000001E-3</v>
      </c>
      <c r="O22" s="2665">
        <f t="shared" si="53"/>
        <v>1.47E-2</v>
      </c>
      <c r="P22" s="2665">
        <f t="shared" si="53"/>
        <v>6.5000000000000006E-3</v>
      </c>
      <c r="Q22" s="2665">
        <f t="shared" si="53"/>
        <v>7.1999999999999998E-3</v>
      </c>
      <c r="R22" s="2666"/>
      <c r="S22" s="2664"/>
      <c r="T22" s="2665"/>
      <c r="U22" s="2665"/>
      <c r="V22" s="2665"/>
      <c r="X22" s="2754">
        <f>ROUND(SUMPRODUCT(PRODUCT(1+N22:N$23)),4)</f>
        <v>1.0325</v>
      </c>
      <c r="Y22" s="2754">
        <f>ROUND(SUMPRODUCT(PRODUCT(1+O22:O$23)),4)</f>
        <v>1.0353000000000001</v>
      </c>
      <c r="Z22" s="2754">
        <f t="shared" ref="Z22:Z23" si="62">Y22</f>
        <v>1.0353000000000001</v>
      </c>
      <c r="AA22" s="2754">
        <f>ROUND(SUMPRODUCT(PRODUCT(1+P22:P$23)),4)</f>
        <v>1.0326</v>
      </c>
      <c r="AB22" s="2754">
        <f>ROUND(SUMPRODUCT(PRODUCT(1+Q22:Q$23)),4)</f>
        <v>1.0225</v>
      </c>
      <c r="AD22" s="2674">
        <f>ROUND(AVERAGE(I22:I$24)/100,4)</f>
        <v>2.07E-2</v>
      </c>
      <c r="AE22" s="2674">
        <f>ROUND(AVERAGE(J22:J$24)/100,4)</f>
        <v>1.95E-2</v>
      </c>
      <c r="AF22" s="2674">
        <f t="shared" si="1"/>
        <v>1.95E-2</v>
      </c>
      <c r="AG22" s="2674">
        <f>ROUND(AVERAGE(K22:K$24)/100,4)</f>
        <v>2.1700000000000001E-2</v>
      </c>
      <c r="AH22" s="2674">
        <f>ROUND(AVERAGE(L22:L$24)/100,4)</f>
        <v>1.2E-2</v>
      </c>
    </row>
    <row r="23" spans="1:34" ht="13.8" thickBot="1">
      <c r="A23" s="2655" t="s">
        <v>961</v>
      </c>
      <c r="B23" s="2669">
        <f t="shared" si="60"/>
        <v>314.72141172386546</v>
      </c>
      <c r="C23" s="2669">
        <f t="shared" si="60"/>
        <v>263.03901319069001</v>
      </c>
      <c r="D23" s="2669">
        <f t="shared" si="55"/>
        <v>263.03901319069001</v>
      </c>
      <c r="E23" s="2669">
        <f t="shared" si="61"/>
        <v>433.65745506782821</v>
      </c>
      <c r="F23" s="2669">
        <f t="shared" si="61"/>
        <v>233.23005080045735</v>
      </c>
      <c r="G23" s="3539"/>
      <c r="H23" s="2675">
        <v>2</v>
      </c>
      <c r="I23" s="2675">
        <v>2.4</v>
      </c>
      <c r="J23" s="2675">
        <v>2.0299999999999998</v>
      </c>
      <c r="K23" s="2675">
        <v>2.59</v>
      </c>
      <c r="L23" s="2676">
        <v>1.52</v>
      </c>
      <c r="N23" s="2664">
        <f t="shared" si="57"/>
        <v>2.4E-2</v>
      </c>
      <c r="O23" s="2665">
        <f t="shared" si="53"/>
        <v>2.0299999999999999E-2</v>
      </c>
      <c r="P23" s="2665">
        <f t="shared" si="53"/>
        <v>2.5899999999999999E-2</v>
      </c>
      <c r="Q23" s="2665">
        <f t="shared" si="53"/>
        <v>1.52E-2</v>
      </c>
      <c r="R23" s="2666"/>
      <c r="S23" s="2664"/>
      <c r="T23" s="2665"/>
      <c r="U23" s="2665"/>
      <c r="V23" s="2665"/>
      <c r="X23" s="2754">
        <f>1+N23</f>
        <v>1.024</v>
      </c>
      <c r="Y23" s="2754">
        <f>1+O23</f>
        <v>1.0203</v>
      </c>
      <c r="Z23" s="2754">
        <f t="shared" si="62"/>
        <v>1.0203</v>
      </c>
      <c r="AA23" s="2754">
        <f>1+P23</f>
        <v>1.0259</v>
      </c>
      <c r="AB23" s="2754">
        <f>1+Q23</f>
        <v>1.0152000000000001</v>
      </c>
      <c r="AD23" s="2674">
        <f>ROUND(AVERAGE(I23:I$24)/100,4)</f>
        <v>2.69E-2</v>
      </c>
      <c r="AE23" s="2674">
        <f>ROUND(AVERAGE(J23:J$24)/100,4)</f>
        <v>2.1899999999999999E-2</v>
      </c>
      <c r="AF23" s="2674">
        <f t="shared" ref="AF23" si="63">AE23</f>
        <v>2.1899999999999999E-2</v>
      </c>
      <c r="AG23" s="2674">
        <f>ROUND(AVERAGE(K23:K$24)/100,4)</f>
        <v>2.9399999999999999E-2</v>
      </c>
      <c r="AH23" s="2674">
        <f>ROUND(AVERAGE(L23:L$24)/100,4)</f>
        <v>1.44E-2</v>
      </c>
    </row>
    <row r="24" spans="1:34" s="2691" customFormat="1" ht="13.8" thickBot="1">
      <c r="A24" s="2687" t="s">
        <v>960</v>
      </c>
      <c r="B24" s="2688">
        <f t="shared" si="60"/>
        <v>307.34512863658733</v>
      </c>
      <c r="C24" s="2688">
        <f t="shared" si="60"/>
        <v>257.80556031626975</v>
      </c>
      <c r="D24" s="2688">
        <f t="shared" si="55"/>
        <v>257.80556031626975</v>
      </c>
      <c r="E24" s="2688">
        <f t="shared" si="61"/>
        <v>422.70928459677179</v>
      </c>
      <c r="F24" s="2688">
        <f t="shared" si="61"/>
        <v>229.73803270336617</v>
      </c>
      <c r="G24" s="3540"/>
      <c r="H24" s="2689">
        <v>1</v>
      </c>
      <c r="I24" s="2689">
        <v>2.97</v>
      </c>
      <c r="J24" s="2689">
        <v>2.34</v>
      </c>
      <c r="K24" s="2689">
        <v>3.28</v>
      </c>
      <c r="L24" s="2690">
        <v>1.36</v>
      </c>
      <c r="N24" s="2692">
        <f t="shared" si="57"/>
        <v>2.9700000000000001E-2</v>
      </c>
      <c r="O24" s="2693">
        <f t="shared" si="53"/>
        <v>2.3399999999999997E-2</v>
      </c>
      <c r="P24" s="2693">
        <f t="shared" si="53"/>
        <v>3.2799999999999996E-2</v>
      </c>
      <c r="Q24" s="2693">
        <f t="shared" si="53"/>
        <v>1.3600000000000001E-2</v>
      </c>
      <c r="R24" s="2694"/>
      <c r="S24" s="2695">
        <f>B24/B25-1</f>
        <v>2.7910129219355539E-2</v>
      </c>
      <c r="T24" s="2696">
        <f>C24/C25-1</f>
        <v>2.3037937762975247E-2</v>
      </c>
      <c r="U24" s="2696">
        <f>E24/E25-1</f>
        <v>3.3519033243940788E-2</v>
      </c>
      <c r="V24" s="2696">
        <f>F24/F25-1</f>
        <v>1.2061818076502862E-2</v>
      </c>
      <c r="W24" s="2763" t="s">
        <v>2638</v>
      </c>
      <c r="X24" s="2765">
        <v>1</v>
      </c>
      <c r="Y24" s="2765">
        <v>1</v>
      </c>
      <c r="Z24" s="2765">
        <v>1</v>
      </c>
      <c r="AA24" s="2765">
        <v>1</v>
      </c>
      <c r="AB24" s="2765">
        <v>1</v>
      </c>
      <c r="AD24" s="3009">
        <f>I24/100</f>
        <v>2.9700000000000001E-2</v>
      </c>
      <c r="AE24" s="3009">
        <f>J24/100</f>
        <v>2.3399999999999997E-2</v>
      </c>
      <c r="AF24" s="3009">
        <f>AE24</f>
        <v>2.3399999999999997E-2</v>
      </c>
      <c r="AG24" s="3009">
        <f>K24/100</f>
        <v>3.2799999999999996E-2</v>
      </c>
      <c r="AH24" s="3009">
        <f>L24/100</f>
        <v>1.3600000000000001E-2</v>
      </c>
    </row>
    <row r="25" spans="1:34" ht="13.8" thickBot="1">
      <c r="A25" s="2655" t="s">
        <v>2581</v>
      </c>
      <c r="B25" s="2661">
        <v>299</v>
      </c>
      <c r="C25" s="2661">
        <v>252</v>
      </c>
      <c r="D25" s="2661">
        <f t="shared" si="55"/>
        <v>252</v>
      </c>
      <c r="E25" s="2661">
        <v>409</v>
      </c>
      <c r="F25" s="2662">
        <v>227</v>
      </c>
      <c r="G25" s="3541">
        <v>2013</v>
      </c>
      <c r="H25" s="2697">
        <v>4</v>
      </c>
      <c r="I25" s="2697">
        <v>1.83</v>
      </c>
      <c r="J25" s="2697">
        <v>1.68</v>
      </c>
      <c r="K25" s="2697">
        <v>1.97</v>
      </c>
      <c r="L25" s="2698">
        <v>0.87</v>
      </c>
      <c r="N25" s="2677">
        <f t="shared" si="57"/>
        <v>1.83E-2</v>
      </c>
      <c r="O25" s="2678">
        <f t="shared" si="53"/>
        <v>1.6799999999999999E-2</v>
      </c>
      <c r="P25" s="2678">
        <f t="shared" si="53"/>
        <v>1.9699999999999999E-2</v>
      </c>
      <c r="Q25" s="2678">
        <f t="shared" si="53"/>
        <v>8.6999999999999994E-3</v>
      </c>
      <c r="R25" s="2666"/>
      <c r="S25" s="2667"/>
      <c r="T25" s="2668"/>
      <c r="U25" s="2668"/>
      <c r="V25" s="2668"/>
      <c r="X25" s="2668"/>
      <c r="Y25" s="2668"/>
      <c r="Z25" s="2668"/>
    </row>
    <row r="26" spans="1:34">
      <c r="A26" s="2655" t="s">
        <v>2582</v>
      </c>
      <c r="B26" s="2669">
        <f t="shared" ref="B26:C28" si="64">B25/(1+N25)</f>
        <v>293.62663262299913</v>
      </c>
      <c r="C26" s="2669">
        <f t="shared" si="64"/>
        <v>247.83634933123525</v>
      </c>
      <c r="D26" s="2669">
        <f t="shared" si="55"/>
        <v>247.83634933123525</v>
      </c>
      <c r="E26" s="2669">
        <f t="shared" ref="E26:F28" si="65">E25/(1+P25)</f>
        <v>401.09836226341076</v>
      </c>
      <c r="F26" s="2669">
        <f t="shared" si="65"/>
        <v>225.04213343908003</v>
      </c>
      <c r="G26" s="3542"/>
      <c r="H26" s="2680">
        <v>3</v>
      </c>
      <c r="I26" s="2680">
        <v>1.86</v>
      </c>
      <c r="J26" s="2680">
        <v>1.72</v>
      </c>
      <c r="K26" s="2680">
        <v>1.98</v>
      </c>
      <c r="L26" s="2681">
        <v>0.88</v>
      </c>
      <c r="N26" s="2664">
        <f t="shared" si="57"/>
        <v>1.8600000000000002E-2</v>
      </c>
      <c r="O26" s="2682">
        <f t="shared" si="53"/>
        <v>1.72E-2</v>
      </c>
      <c r="P26" s="2682">
        <f t="shared" si="53"/>
        <v>1.9799999999999998E-2</v>
      </c>
      <c r="Q26" s="2682">
        <f t="shared" si="53"/>
        <v>8.8000000000000005E-3</v>
      </c>
      <c r="R26" s="2666"/>
      <c r="S26" s="2664"/>
      <c r="T26" s="2665"/>
      <c r="U26" s="2665"/>
      <c r="V26" s="2665"/>
    </row>
    <row r="27" spans="1:34">
      <c r="A27" s="2655" t="s">
        <v>2583</v>
      </c>
      <c r="B27" s="2669">
        <f t="shared" si="64"/>
        <v>288.2649053828776</v>
      </c>
      <c r="C27" s="2669">
        <f t="shared" si="64"/>
        <v>243.64564425013293</v>
      </c>
      <c r="D27" s="2669">
        <f t="shared" si="55"/>
        <v>243.64564425013293</v>
      </c>
      <c r="E27" s="2669">
        <f t="shared" si="65"/>
        <v>393.31080825986544</v>
      </c>
      <c r="F27" s="2669">
        <f t="shared" si="65"/>
        <v>223.07903790551154</v>
      </c>
      <c r="G27" s="3542"/>
      <c r="H27" s="2660">
        <v>2</v>
      </c>
      <c r="I27" s="2660">
        <v>2.04</v>
      </c>
      <c r="J27" s="2660">
        <v>2.33</v>
      </c>
      <c r="K27" s="2660">
        <v>2.0699999999999998</v>
      </c>
      <c r="L27" s="2671">
        <v>0.69</v>
      </c>
      <c r="N27" s="2664">
        <f t="shared" si="57"/>
        <v>2.0400000000000001E-2</v>
      </c>
      <c r="O27" s="2682">
        <f t="shared" si="53"/>
        <v>2.3300000000000001E-2</v>
      </c>
      <c r="P27" s="2682">
        <f t="shared" si="53"/>
        <v>2.07E-2</v>
      </c>
      <c r="Q27" s="2682">
        <f t="shared" si="53"/>
        <v>6.8999999999999999E-3</v>
      </c>
      <c r="R27" s="2666"/>
      <c r="S27" s="2664"/>
      <c r="T27" s="2665"/>
      <c r="U27" s="2665"/>
      <c r="V27" s="2665"/>
      <c r="X27" s="2766"/>
      <c r="Y27" s="2768"/>
    </row>
    <row r="28" spans="1:34">
      <c r="A28" s="2655" t="s">
        <v>2584</v>
      </c>
      <c r="B28" s="2669">
        <f t="shared" si="64"/>
        <v>282.50186729015837</v>
      </c>
      <c r="C28" s="2669">
        <f t="shared" si="64"/>
        <v>238.09796174155468</v>
      </c>
      <c r="D28" s="2669">
        <f t="shared" si="55"/>
        <v>238.09796174155468</v>
      </c>
      <c r="E28" s="2669">
        <f t="shared" si="65"/>
        <v>385.33438646014054</v>
      </c>
      <c r="F28" s="2669">
        <f t="shared" si="65"/>
        <v>221.55034055567739</v>
      </c>
      <c r="G28" s="3543"/>
      <c r="H28" s="2659">
        <v>1</v>
      </c>
      <c r="I28" s="2659">
        <v>1.67</v>
      </c>
      <c r="J28" s="2659">
        <v>1.31</v>
      </c>
      <c r="K28" s="2659">
        <v>1.85</v>
      </c>
      <c r="L28" s="2670">
        <v>0.96</v>
      </c>
      <c r="N28" s="2672">
        <f t="shared" si="57"/>
        <v>1.67E-2</v>
      </c>
      <c r="O28" s="2673">
        <f t="shared" si="53"/>
        <v>1.3100000000000001E-2</v>
      </c>
      <c r="P28" s="2673">
        <f t="shared" si="53"/>
        <v>1.8500000000000003E-2</v>
      </c>
      <c r="Q28" s="2673">
        <f t="shared" si="53"/>
        <v>9.5999999999999992E-3</v>
      </c>
      <c r="R28" s="2666"/>
      <c r="S28" s="2672">
        <f>B28/B29-1</f>
        <v>1.6193767230785472E-2</v>
      </c>
      <c r="T28" s="2673">
        <f>C28/C29-1</f>
        <v>1.7512657015190891E-2</v>
      </c>
      <c r="U28" s="2673">
        <f>E28/E29-1</f>
        <v>1.6713420739157048E-2</v>
      </c>
      <c r="V28" s="2673">
        <f>F28/F29-1</f>
        <v>7.0470025258062563E-3</v>
      </c>
      <c r="X28" s="2767"/>
      <c r="Y28" s="2674"/>
      <c r="Z28" s="2674"/>
    </row>
    <row r="29" spans="1:34" ht="13.8" thickBot="1">
      <c r="A29" s="2655" t="s">
        <v>2585</v>
      </c>
      <c r="B29" s="2699">
        <v>278</v>
      </c>
      <c r="C29" s="2699">
        <v>234</v>
      </c>
      <c r="D29" s="2699">
        <f t="shared" si="55"/>
        <v>234</v>
      </c>
      <c r="E29" s="2699">
        <v>379</v>
      </c>
      <c r="F29" s="2700">
        <v>220</v>
      </c>
      <c r="G29" s="3538">
        <v>2012</v>
      </c>
      <c r="H29" s="2675">
        <v>4</v>
      </c>
      <c r="I29" s="2675">
        <v>0.91</v>
      </c>
      <c r="J29" s="2675">
        <v>0.68</v>
      </c>
      <c r="K29" s="2675">
        <v>0.98</v>
      </c>
      <c r="L29" s="2676">
        <v>0.9</v>
      </c>
      <c r="N29" s="2664">
        <f t="shared" si="57"/>
        <v>9.1000000000000004E-3</v>
      </c>
      <c r="O29" s="2665">
        <f t="shared" si="57"/>
        <v>6.8000000000000005E-3</v>
      </c>
      <c r="P29" s="2665">
        <f t="shared" si="57"/>
        <v>9.7999999999999997E-3</v>
      </c>
      <c r="Q29" s="2665">
        <f t="shared" si="57"/>
        <v>9.0000000000000011E-3</v>
      </c>
      <c r="R29" s="2666"/>
      <c r="S29" s="2667"/>
      <c r="T29" s="2668"/>
      <c r="U29" s="2668"/>
      <c r="V29" s="2668"/>
      <c r="X29" s="2668"/>
      <c r="Y29" s="2668"/>
      <c r="Z29" s="2668"/>
    </row>
    <row r="30" spans="1:34">
      <c r="A30" s="2655" t="s">
        <v>2586</v>
      </c>
      <c r="B30" s="2669">
        <f>B29/(1+N29)</f>
        <v>275.49301357645425</v>
      </c>
      <c r="C30" s="2669">
        <f>C29/(1+O29)</f>
        <v>232.41954707985698</v>
      </c>
      <c r="D30" s="2669">
        <f t="shared" si="55"/>
        <v>232.41954707985698</v>
      </c>
      <c r="E30" s="2669">
        <f t="shared" ref="E30:F32" si="66">E29/(1+P29)</f>
        <v>375.32184591008121</v>
      </c>
      <c r="F30" s="2669">
        <f t="shared" si="66"/>
        <v>218.03766105054513</v>
      </c>
      <c r="G30" s="3539"/>
      <c r="H30" s="2680">
        <v>3</v>
      </c>
      <c r="I30" s="2680">
        <v>0.09</v>
      </c>
      <c r="J30" s="2680">
        <v>0.28999999999999998</v>
      </c>
      <c r="K30" s="2680">
        <v>-0.01</v>
      </c>
      <c r="L30" s="2681">
        <v>0.57999999999999996</v>
      </c>
      <c r="N30" s="2664">
        <f t="shared" si="57"/>
        <v>8.9999999999999998E-4</v>
      </c>
      <c r="O30" s="2665">
        <f t="shared" si="57"/>
        <v>2.8999999999999998E-3</v>
      </c>
      <c r="P30" s="2665">
        <f t="shared" si="57"/>
        <v>-1E-4</v>
      </c>
      <c r="Q30" s="2665">
        <f t="shared" si="57"/>
        <v>5.7999999999999996E-3</v>
      </c>
      <c r="R30" s="2666"/>
      <c r="S30" s="2664"/>
      <c r="T30" s="2665"/>
      <c r="U30" s="2665"/>
      <c r="V30" s="2665"/>
    </row>
    <row r="31" spans="1:34">
      <c r="A31" s="2655" t="s">
        <v>2587</v>
      </c>
      <c r="B31" s="2669">
        <f>B30/(1+N30)</f>
        <v>275.24529281292263</v>
      </c>
      <c r="C31" s="2669">
        <f>C30/(1+O30)</f>
        <v>231.74747938962707</v>
      </c>
      <c r="D31" s="2669">
        <f t="shared" si="55"/>
        <v>231.74747938962707</v>
      </c>
      <c r="E31" s="2669">
        <f t="shared" si="66"/>
        <v>375.35938184826603</v>
      </c>
      <c r="F31" s="2669">
        <f t="shared" si="66"/>
        <v>216.78033510692495</v>
      </c>
      <c r="G31" s="3539"/>
      <c r="H31" s="2660">
        <v>2</v>
      </c>
      <c r="I31" s="2660">
        <v>0.02</v>
      </c>
      <c r="J31" s="2660">
        <v>0.12</v>
      </c>
      <c r="K31" s="2660">
        <v>-0.08</v>
      </c>
      <c r="L31" s="2671">
        <v>1.24</v>
      </c>
      <c r="N31" s="2664">
        <f t="shared" si="57"/>
        <v>2.0000000000000001E-4</v>
      </c>
      <c r="O31" s="2665">
        <f t="shared" si="57"/>
        <v>1.1999999999999999E-3</v>
      </c>
      <c r="P31" s="2665">
        <f t="shared" si="57"/>
        <v>-8.0000000000000004E-4</v>
      </c>
      <c r="Q31" s="2665">
        <f t="shared" si="57"/>
        <v>1.24E-2</v>
      </c>
      <c r="R31" s="2666"/>
      <c r="S31" s="2664"/>
      <c r="T31" s="2665"/>
      <c r="U31" s="2665"/>
      <c r="V31" s="2665"/>
    </row>
    <row r="32" spans="1:34" ht="13.8" thickBot="1">
      <c r="A32" s="2655" t="s">
        <v>2588</v>
      </c>
      <c r="B32" s="2669">
        <f>B31/(1+N31)</f>
        <v>275.19025476197027</v>
      </c>
      <c r="C32" s="2701">
        <v>232</v>
      </c>
      <c r="D32" s="2701">
        <f t="shared" si="55"/>
        <v>232</v>
      </c>
      <c r="E32" s="2669">
        <f t="shared" si="66"/>
        <v>375.65990977608692</v>
      </c>
      <c r="F32" s="2669">
        <f t="shared" si="66"/>
        <v>214.12518283971252</v>
      </c>
      <c r="G32" s="3540"/>
      <c r="H32" s="2659">
        <v>1</v>
      </c>
      <c r="I32" s="2659">
        <v>0.02</v>
      </c>
      <c r="J32" s="2659">
        <v>0.13</v>
      </c>
      <c r="K32" s="2659">
        <v>-0.04</v>
      </c>
      <c r="L32" s="2670">
        <v>0.46</v>
      </c>
      <c r="N32" s="2664">
        <f t="shared" si="57"/>
        <v>2.0000000000000001E-4</v>
      </c>
      <c r="O32" s="2665">
        <f t="shared" si="57"/>
        <v>1.2999999999999999E-3</v>
      </c>
      <c r="P32" s="2665">
        <f t="shared" si="57"/>
        <v>-4.0000000000000002E-4</v>
      </c>
      <c r="Q32" s="2665">
        <f t="shared" si="57"/>
        <v>4.5999999999999999E-3</v>
      </c>
      <c r="R32" s="2666"/>
      <c r="S32" s="2672">
        <f>B32/B33-1</f>
        <v>6.9183549807361189E-4</v>
      </c>
      <c r="T32" s="2673">
        <f>C32/C33-1</f>
        <v>0</v>
      </c>
      <c r="U32" s="2673">
        <f>E32/E33-1</f>
        <v>-9.0449527636460303E-4</v>
      </c>
      <c r="V32" s="2673">
        <f>F32/F33-1</f>
        <v>5.2825485432512753E-3</v>
      </c>
      <c r="X32" s="2674"/>
      <c r="Y32" s="2674"/>
      <c r="Z32" s="2674"/>
    </row>
    <row r="33" spans="1:26" ht="13.8" thickBot="1">
      <c r="A33" s="2655" t="s">
        <v>2589</v>
      </c>
      <c r="B33" s="2661">
        <v>275</v>
      </c>
      <c r="C33" s="2661">
        <v>232</v>
      </c>
      <c r="D33" s="2661">
        <f t="shared" si="55"/>
        <v>232</v>
      </c>
      <c r="E33" s="2661">
        <v>376</v>
      </c>
      <c r="F33" s="2662">
        <v>213</v>
      </c>
      <c r="G33" s="3538">
        <v>2011</v>
      </c>
      <c r="H33" s="2675">
        <v>4</v>
      </c>
      <c r="I33" s="2675">
        <v>-0.2</v>
      </c>
      <c r="J33" s="2675">
        <v>0.04</v>
      </c>
      <c r="K33" s="2675">
        <v>-0.34</v>
      </c>
      <c r="L33" s="2676">
        <v>0.46</v>
      </c>
      <c r="N33" s="2677">
        <f t="shared" si="57"/>
        <v>-2E-3</v>
      </c>
      <c r="O33" s="2678">
        <f t="shared" si="57"/>
        <v>4.0000000000000002E-4</v>
      </c>
      <c r="P33" s="2678">
        <f t="shared" si="57"/>
        <v>-3.4000000000000002E-3</v>
      </c>
      <c r="Q33" s="2678">
        <f t="shared" si="57"/>
        <v>4.5999999999999999E-3</v>
      </c>
      <c r="R33" s="2666"/>
      <c r="S33" s="2667"/>
      <c r="T33" s="2668"/>
      <c r="U33" s="2668"/>
      <c r="V33" s="2668"/>
      <c r="X33" s="2668"/>
      <c r="Y33" s="2668"/>
      <c r="Z33" s="2668"/>
    </row>
    <row r="34" spans="1:26">
      <c r="A34" s="2655" t="s">
        <v>2590</v>
      </c>
      <c r="B34" s="2669">
        <f t="shared" ref="B34:C36" si="67">B33/(1+N33)</f>
        <v>275.55110220440883</v>
      </c>
      <c r="C34" s="2669">
        <f t="shared" si="67"/>
        <v>231.90723710515795</v>
      </c>
      <c r="D34" s="2669">
        <f t="shared" si="55"/>
        <v>231.90723710515795</v>
      </c>
      <c r="E34" s="2669">
        <f t="shared" ref="E34:F36" si="68">E33/(1+P33)</f>
        <v>377.28276138872161</v>
      </c>
      <c r="F34" s="2669">
        <f t="shared" si="68"/>
        <v>212.02468644236512</v>
      </c>
      <c r="G34" s="3539">
        <v>2011</v>
      </c>
      <c r="H34" s="2680">
        <v>3</v>
      </c>
      <c r="I34" s="2680">
        <v>0.13</v>
      </c>
      <c r="J34" s="2680">
        <v>0.75</v>
      </c>
      <c r="K34" s="2680">
        <v>-0.08</v>
      </c>
      <c r="L34" s="2681">
        <v>0.53</v>
      </c>
      <c r="N34" s="2664">
        <f t="shared" si="57"/>
        <v>1.2999999999999999E-3</v>
      </c>
      <c r="O34" s="2682">
        <f t="shared" si="57"/>
        <v>7.4999999999999997E-3</v>
      </c>
      <c r="P34" s="2682">
        <f t="shared" si="57"/>
        <v>-8.0000000000000004E-4</v>
      </c>
      <c r="Q34" s="2682">
        <f t="shared" si="57"/>
        <v>5.3E-3</v>
      </c>
      <c r="R34" s="2666"/>
      <c r="S34" s="2664"/>
      <c r="T34" s="2665"/>
      <c r="U34" s="2665"/>
      <c r="V34" s="2665"/>
    </row>
    <row r="35" spans="1:26">
      <c r="A35" s="2655" t="s">
        <v>2591</v>
      </c>
      <c r="B35" s="2669">
        <f t="shared" si="67"/>
        <v>275.19335084830601</v>
      </c>
      <c r="C35" s="2669">
        <f t="shared" si="67"/>
        <v>230.18088050139744</v>
      </c>
      <c r="D35" s="2669">
        <f t="shared" si="55"/>
        <v>230.18088050139744</v>
      </c>
      <c r="E35" s="2669">
        <f t="shared" si="68"/>
        <v>377.58482925212331</v>
      </c>
      <c r="F35" s="2669">
        <f t="shared" si="68"/>
        <v>210.90687997847917</v>
      </c>
      <c r="G35" s="3539">
        <v>2011</v>
      </c>
      <c r="H35" s="2660">
        <v>2</v>
      </c>
      <c r="I35" s="2660">
        <v>-0.4</v>
      </c>
      <c r="J35" s="2660">
        <v>0.17</v>
      </c>
      <c r="K35" s="2660">
        <v>-0.57999999999999996</v>
      </c>
      <c r="L35" s="2671">
        <v>-0.2</v>
      </c>
      <c r="N35" s="2664">
        <f t="shared" si="57"/>
        <v>-4.0000000000000001E-3</v>
      </c>
      <c r="O35" s="2682">
        <f t="shared" si="57"/>
        <v>1.7000000000000001E-3</v>
      </c>
      <c r="P35" s="2682">
        <f t="shared" si="57"/>
        <v>-5.7999999999999996E-3</v>
      </c>
      <c r="Q35" s="2682">
        <f t="shared" si="57"/>
        <v>-2E-3</v>
      </c>
      <c r="R35" s="2666"/>
      <c r="S35" s="2664"/>
      <c r="T35" s="2665"/>
      <c r="U35" s="2665"/>
      <c r="V35" s="2665"/>
    </row>
    <row r="36" spans="1:26" ht="13.8" thickBot="1">
      <c r="A36" s="2655" t="s">
        <v>2592</v>
      </c>
      <c r="B36" s="2669">
        <f t="shared" si="67"/>
        <v>276.29854502841971</v>
      </c>
      <c r="C36" s="2669">
        <f t="shared" si="67"/>
        <v>229.79023709833027</v>
      </c>
      <c r="D36" s="2669">
        <f t="shared" si="55"/>
        <v>229.79023709833027</v>
      </c>
      <c r="E36" s="2669">
        <f t="shared" si="68"/>
        <v>379.78759731655936</v>
      </c>
      <c r="F36" s="2669">
        <f t="shared" si="68"/>
        <v>211.32953905659235</v>
      </c>
      <c r="G36" s="3540">
        <v>2011</v>
      </c>
      <c r="H36" s="2659">
        <v>1</v>
      </c>
      <c r="I36" s="2659">
        <v>2.65</v>
      </c>
      <c r="J36" s="2659">
        <v>3.76</v>
      </c>
      <c r="K36" s="2659">
        <v>1.89</v>
      </c>
      <c r="L36" s="2670">
        <v>7.95</v>
      </c>
      <c r="N36" s="2672">
        <f t="shared" si="57"/>
        <v>2.6499999999999999E-2</v>
      </c>
      <c r="O36" s="2673">
        <f t="shared" si="57"/>
        <v>3.7599999999999995E-2</v>
      </c>
      <c r="P36" s="2673">
        <f t="shared" si="57"/>
        <v>1.89E-2</v>
      </c>
      <c r="Q36" s="2673">
        <f t="shared" si="57"/>
        <v>7.9500000000000001E-2</v>
      </c>
      <c r="R36" s="2666"/>
      <c r="S36" s="2672">
        <f>B36/B37-1</f>
        <v>2.713213765211786E-2</v>
      </c>
      <c r="T36" s="2673">
        <f>C36/C37-1</f>
        <v>3.9774828499231862E-2</v>
      </c>
      <c r="U36" s="2673">
        <f>E36/E37-1</f>
        <v>1.8197311840641772E-2</v>
      </c>
      <c r="V36" s="2673">
        <f>F36/F37-1</f>
        <v>7.8211933962205826E-2</v>
      </c>
      <c r="X36" s="2674"/>
      <c r="Y36" s="2674"/>
      <c r="Z36" s="2674"/>
    </row>
    <row r="37" spans="1:26" ht="13.8" thickBot="1">
      <c r="A37" s="2655" t="s">
        <v>2593</v>
      </c>
      <c r="B37" s="2661">
        <v>269</v>
      </c>
      <c r="C37" s="2661">
        <v>221</v>
      </c>
      <c r="D37" s="2661">
        <f t="shared" si="55"/>
        <v>221</v>
      </c>
      <c r="E37" s="2661">
        <v>373</v>
      </c>
      <c r="F37" s="2662">
        <v>196</v>
      </c>
      <c r="G37" s="3538">
        <v>2010</v>
      </c>
      <c r="H37" s="2675">
        <v>4</v>
      </c>
      <c r="I37" s="2675">
        <v>5.72</v>
      </c>
      <c r="J37" s="2675">
        <v>6.57</v>
      </c>
      <c r="K37" s="2675">
        <v>5.72</v>
      </c>
      <c r="L37" s="2676">
        <v>2.72</v>
      </c>
      <c r="N37" s="2664">
        <f t="shared" si="57"/>
        <v>5.7200000000000001E-2</v>
      </c>
      <c r="O37" s="2665">
        <f t="shared" si="57"/>
        <v>6.5700000000000008E-2</v>
      </c>
      <c r="P37" s="2665">
        <f t="shared" si="57"/>
        <v>5.7200000000000001E-2</v>
      </c>
      <c r="Q37" s="2665">
        <f t="shared" si="57"/>
        <v>2.7200000000000002E-2</v>
      </c>
      <c r="R37" s="2666"/>
      <c r="S37" s="2667"/>
      <c r="T37" s="2668"/>
      <c r="U37" s="2668"/>
      <c r="V37" s="2668"/>
      <c r="X37" s="2668"/>
      <c r="Y37" s="2668"/>
      <c r="Z37" s="2668"/>
    </row>
    <row r="38" spans="1:26">
      <c r="A38" s="2655" t="s">
        <v>2594</v>
      </c>
      <c r="B38" s="2669">
        <f t="shared" ref="B38:C40" si="69">B37/(1+N37)</f>
        <v>254.44570563753314</v>
      </c>
      <c r="C38" s="2669">
        <f t="shared" si="69"/>
        <v>207.37543398705074</v>
      </c>
      <c r="D38" s="2669">
        <f t="shared" si="55"/>
        <v>207.37543398705074</v>
      </c>
      <c r="E38" s="2669">
        <f t="shared" ref="E38:F40" si="70">E37/(1+P37)</f>
        <v>352.81876655315932</v>
      </c>
      <c r="F38" s="2669">
        <f t="shared" si="70"/>
        <v>190.809968847352</v>
      </c>
      <c r="G38" s="3539">
        <v>2010</v>
      </c>
      <c r="H38" s="2680">
        <v>3</v>
      </c>
      <c r="I38" s="2680">
        <v>4.7300000000000004</v>
      </c>
      <c r="J38" s="2680">
        <v>3.9</v>
      </c>
      <c r="K38" s="2680">
        <v>5.03</v>
      </c>
      <c r="L38" s="2681">
        <v>4.21</v>
      </c>
      <c r="N38" s="2664">
        <f t="shared" si="57"/>
        <v>4.7300000000000002E-2</v>
      </c>
      <c r="O38" s="2665">
        <f t="shared" si="57"/>
        <v>3.9E-2</v>
      </c>
      <c r="P38" s="2665">
        <f t="shared" si="57"/>
        <v>5.0300000000000004E-2</v>
      </c>
      <c r="Q38" s="2665">
        <f t="shared" si="57"/>
        <v>4.2099999999999999E-2</v>
      </c>
      <c r="R38" s="2666"/>
      <c r="S38" s="2664"/>
      <c r="T38" s="2665"/>
      <c r="U38" s="2665"/>
      <c r="V38" s="2665"/>
    </row>
    <row r="39" spans="1:26">
      <c r="A39" s="2655" t="s">
        <v>2595</v>
      </c>
      <c r="B39" s="2669">
        <f t="shared" si="69"/>
        <v>242.95398227588385</v>
      </c>
      <c r="C39" s="2669">
        <f t="shared" si="69"/>
        <v>199.59137053614126</v>
      </c>
      <c r="D39" s="2669">
        <f t="shared" si="55"/>
        <v>199.59137053614126</v>
      </c>
      <c r="E39" s="2669">
        <f t="shared" si="70"/>
        <v>335.92189522342125</v>
      </c>
      <c r="F39" s="2669">
        <f t="shared" si="70"/>
        <v>183.10139991109489</v>
      </c>
      <c r="G39" s="3539">
        <v>2010</v>
      </c>
      <c r="H39" s="2660">
        <v>2</v>
      </c>
      <c r="I39" s="2660">
        <v>4.6900000000000004</v>
      </c>
      <c r="J39" s="2660">
        <v>3.55</v>
      </c>
      <c r="K39" s="2660">
        <v>5.07</v>
      </c>
      <c r="L39" s="2671">
        <v>4.2300000000000004</v>
      </c>
      <c r="N39" s="2664">
        <f t="shared" si="57"/>
        <v>4.6900000000000004E-2</v>
      </c>
      <c r="O39" s="2665">
        <f t="shared" si="57"/>
        <v>3.5499999999999997E-2</v>
      </c>
      <c r="P39" s="2665">
        <f t="shared" si="57"/>
        <v>5.0700000000000002E-2</v>
      </c>
      <c r="Q39" s="2665">
        <f t="shared" si="57"/>
        <v>4.2300000000000004E-2</v>
      </c>
      <c r="R39" s="2666"/>
      <c r="S39" s="2664"/>
      <c r="T39" s="2665"/>
      <c r="U39" s="2665"/>
      <c r="V39" s="2665"/>
    </row>
    <row r="40" spans="1:26" ht="13.8" thickBot="1">
      <c r="A40" s="2655" t="s">
        <v>2596</v>
      </c>
      <c r="B40" s="2669">
        <f t="shared" si="69"/>
        <v>232.06990378821649</v>
      </c>
      <c r="C40" s="2669">
        <f t="shared" si="69"/>
        <v>192.74878854286936</v>
      </c>
      <c r="D40" s="2669">
        <f t="shared" si="55"/>
        <v>192.74878854286936</v>
      </c>
      <c r="E40" s="2669">
        <f t="shared" si="70"/>
        <v>319.71247284992984</v>
      </c>
      <c r="F40" s="2669">
        <f t="shared" si="70"/>
        <v>175.67053622862409</v>
      </c>
      <c r="G40" s="3540">
        <v>2010</v>
      </c>
      <c r="H40" s="2659">
        <v>1</v>
      </c>
      <c r="I40" s="2659">
        <v>5.4</v>
      </c>
      <c r="J40" s="2659">
        <v>3.2</v>
      </c>
      <c r="K40" s="2659">
        <v>6.16</v>
      </c>
      <c r="L40" s="2670">
        <v>4.51</v>
      </c>
      <c r="N40" s="2664">
        <f t="shared" si="57"/>
        <v>5.4000000000000006E-2</v>
      </c>
      <c r="O40" s="2665">
        <f t="shared" si="57"/>
        <v>3.2000000000000001E-2</v>
      </c>
      <c r="P40" s="2665">
        <f t="shared" si="57"/>
        <v>6.1600000000000002E-2</v>
      </c>
      <c r="Q40" s="2665">
        <f t="shared" si="57"/>
        <v>4.5100000000000001E-2</v>
      </c>
      <c r="R40" s="2666"/>
      <c r="S40" s="2672">
        <f>B40/B41-1</f>
        <v>5.4863199037347599E-2</v>
      </c>
      <c r="T40" s="2673">
        <f>C40/C41-1</f>
        <v>3.0742184721226584E-2</v>
      </c>
      <c r="U40" s="2673">
        <f>E40/E41-1</f>
        <v>6.2167683886810154E-2</v>
      </c>
      <c r="V40" s="2673">
        <f>F40/F41-1</f>
        <v>4.5657953741810031E-2</v>
      </c>
      <c r="X40" s="2674"/>
      <c r="Y40" s="2674"/>
      <c r="Z40" s="2674"/>
    </row>
    <row r="41" spans="1:26" ht="13.8" thickBot="1">
      <c r="A41" s="2655" t="s">
        <v>2597</v>
      </c>
      <c r="B41" s="2661">
        <v>220</v>
      </c>
      <c r="C41" s="2661">
        <v>187</v>
      </c>
      <c r="D41" s="2661">
        <f t="shared" si="55"/>
        <v>187</v>
      </c>
      <c r="E41" s="2661">
        <v>301</v>
      </c>
      <c r="F41" s="2662">
        <v>168</v>
      </c>
      <c r="G41" s="3538">
        <v>2009</v>
      </c>
      <c r="H41" s="2675">
        <v>4</v>
      </c>
      <c r="I41" s="2675">
        <v>2.2999999999999998</v>
      </c>
      <c r="J41" s="2675">
        <v>1.04</v>
      </c>
      <c r="K41" s="2675">
        <v>2.84</v>
      </c>
      <c r="L41" s="2676">
        <v>0.67</v>
      </c>
      <c r="N41" s="2677">
        <f t="shared" si="57"/>
        <v>2.3E-2</v>
      </c>
      <c r="O41" s="2678">
        <f t="shared" si="57"/>
        <v>1.04E-2</v>
      </c>
      <c r="P41" s="2678">
        <f t="shared" si="57"/>
        <v>2.8399999999999998E-2</v>
      </c>
      <c r="Q41" s="2678">
        <f t="shared" si="57"/>
        <v>6.7000000000000002E-3</v>
      </c>
      <c r="R41" s="2666"/>
      <c r="S41" s="2667"/>
      <c r="T41" s="2668"/>
      <c r="U41" s="2668"/>
      <c r="V41" s="2668"/>
      <c r="X41" s="2668"/>
      <c r="Y41" s="2668"/>
      <c r="Z41" s="2668"/>
    </row>
    <row r="42" spans="1:26">
      <c r="A42" s="2655" t="s">
        <v>2598</v>
      </c>
      <c r="B42" s="2669">
        <f t="shared" ref="B42:C44" si="71">B41/(1+N41)</f>
        <v>215.05376344086022</v>
      </c>
      <c r="C42" s="2669">
        <f t="shared" si="71"/>
        <v>185.0752177355503</v>
      </c>
      <c r="D42" s="2669">
        <f t="shared" si="55"/>
        <v>185.0752177355503</v>
      </c>
      <c r="E42" s="2669">
        <f t="shared" ref="E42:F44" si="72">E41/(1+P41)</f>
        <v>292.68767016725008</v>
      </c>
      <c r="F42" s="2669">
        <f t="shared" si="72"/>
        <v>166.88189132810174</v>
      </c>
      <c r="G42" s="3539">
        <v>2009</v>
      </c>
      <c r="H42" s="2680">
        <v>3</v>
      </c>
      <c r="I42" s="2680">
        <v>2.1</v>
      </c>
      <c r="J42" s="2680">
        <v>1.86</v>
      </c>
      <c r="K42" s="2680">
        <v>2.29</v>
      </c>
      <c r="L42" s="2681">
        <v>0.85</v>
      </c>
      <c r="N42" s="2664">
        <f t="shared" si="57"/>
        <v>2.1000000000000001E-2</v>
      </c>
      <c r="O42" s="2682">
        <f t="shared" si="57"/>
        <v>1.8600000000000002E-2</v>
      </c>
      <c r="P42" s="2682">
        <f t="shared" si="57"/>
        <v>2.29E-2</v>
      </c>
      <c r="Q42" s="2682">
        <f t="shared" si="57"/>
        <v>8.5000000000000006E-3</v>
      </c>
      <c r="R42" s="2666"/>
      <c r="S42" s="2664"/>
      <c r="T42" s="2665"/>
      <c r="U42" s="2665"/>
      <c r="V42" s="2665"/>
    </row>
    <row r="43" spans="1:26">
      <c r="A43" s="2655" t="s">
        <v>2599</v>
      </c>
      <c r="B43" s="2669">
        <f t="shared" si="71"/>
        <v>210.630522469011</v>
      </c>
      <c r="C43" s="2669">
        <f t="shared" si="71"/>
        <v>181.69567812247232</v>
      </c>
      <c r="D43" s="2669">
        <f t="shared" si="55"/>
        <v>181.69567812247232</v>
      </c>
      <c r="E43" s="2669">
        <f t="shared" si="72"/>
        <v>286.13517466736738</v>
      </c>
      <c r="F43" s="2669">
        <f t="shared" si="72"/>
        <v>165.47535084591149</v>
      </c>
      <c r="G43" s="3539">
        <v>2009</v>
      </c>
      <c r="H43" s="2660">
        <v>2</v>
      </c>
      <c r="I43" s="2660">
        <v>0.86</v>
      </c>
      <c r="J43" s="2660">
        <v>-1.1299999999999999</v>
      </c>
      <c r="K43" s="2660">
        <v>1.79</v>
      </c>
      <c r="L43" s="2671">
        <v>-2.0699999999999998</v>
      </c>
      <c r="N43" s="2664">
        <f t="shared" si="57"/>
        <v>8.6E-3</v>
      </c>
      <c r="O43" s="2682">
        <f t="shared" si="57"/>
        <v>-1.1299999999999999E-2</v>
      </c>
      <c r="P43" s="2682">
        <f t="shared" si="57"/>
        <v>1.7899999999999999E-2</v>
      </c>
      <c r="Q43" s="2682">
        <f t="shared" si="57"/>
        <v>-2.07E-2</v>
      </c>
      <c r="R43" s="2666"/>
      <c r="S43" s="2664"/>
      <c r="T43" s="2665"/>
      <c r="U43" s="2665"/>
      <c r="V43" s="2665"/>
    </row>
    <row r="44" spans="1:26">
      <c r="A44" s="2655" t="s">
        <v>2600</v>
      </c>
      <c r="B44" s="2669">
        <f t="shared" si="71"/>
        <v>208.83454537875372</v>
      </c>
      <c r="C44" s="2669">
        <f t="shared" si="71"/>
        <v>183.77230517090351</v>
      </c>
      <c r="D44" s="2669">
        <f t="shared" si="55"/>
        <v>183.77230517090351</v>
      </c>
      <c r="E44" s="2669">
        <f t="shared" si="72"/>
        <v>281.10342338870947</v>
      </c>
      <c r="F44" s="2669">
        <f t="shared" si="72"/>
        <v>168.97309388942256</v>
      </c>
      <c r="G44" s="3540">
        <v>2009</v>
      </c>
      <c r="H44" s="2659">
        <v>1</v>
      </c>
      <c r="I44" s="2659">
        <v>-2.64</v>
      </c>
      <c r="J44" s="2659">
        <v>-2.5299999999999998</v>
      </c>
      <c r="K44" s="2659">
        <v>-3.02</v>
      </c>
      <c r="L44" s="2670">
        <v>1.52</v>
      </c>
      <c r="N44" s="2672">
        <f t="shared" si="57"/>
        <v>-2.64E-2</v>
      </c>
      <c r="O44" s="2673">
        <f t="shared" si="57"/>
        <v>-2.53E-2</v>
      </c>
      <c r="P44" s="2673">
        <f t="shared" si="57"/>
        <v>-3.0200000000000001E-2</v>
      </c>
      <c r="Q44" s="2673">
        <f t="shared" si="57"/>
        <v>1.52E-2</v>
      </c>
      <c r="R44" s="2666"/>
      <c r="S44" s="2672">
        <f>B44/B45-1</f>
        <v>-2.4137638417038754E-2</v>
      </c>
      <c r="T44" s="2673">
        <f>C44/C45-1</f>
        <v>-2.248773845264096E-2</v>
      </c>
      <c r="U44" s="2673">
        <f>E44/E45-1</f>
        <v>-2.7323794502735366E-2</v>
      </c>
      <c r="V44" s="2673">
        <f>F44/F45-1</f>
        <v>1.7910204153148035E-2</v>
      </c>
      <c r="X44" s="2674"/>
      <c r="Y44" s="2674"/>
      <c r="Z44" s="2674"/>
    </row>
    <row r="45" spans="1:26" ht="13.8" thickBot="1">
      <c r="A45" s="2655" t="s">
        <v>2601</v>
      </c>
      <c r="B45" s="2699">
        <v>214</v>
      </c>
      <c r="C45" s="2699">
        <v>188</v>
      </c>
      <c r="D45" s="2699">
        <f t="shared" si="55"/>
        <v>188</v>
      </c>
      <c r="E45" s="2699">
        <v>289</v>
      </c>
      <c r="F45" s="2700">
        <v>166</v>
      </c>
      <c r="G45" s="3538">
        <v>2008</v>
      </c>
      <c r="H45" s="2675">
        <v>4</v>
      </c>
      <c r="I45" s="2675">
        <v>1.73</v>
      </c>
      <c r="J45" s="2675">
        <v>0.03</v>
      </c>
      <c r="K45" s="2675">
        <v>2.59</v>
      </c>
      <c r="L45" s="2676">
        <v>-1.66</v>
      </c>
      <c r="N45" s="2664">
        <f t="shared" si="57"/>
        <v>1.7299999999999999E-2</v>
      </c>
      <c r="O45" s="2665">
        <f t="shared" si="57"/>
        <v>2.9999999999999997E-4</v>
      </c>
      <c r="P45" s="2665">
        <f t="shared" si="57"/>
        <v>2.5899999999999999E-2</v>
      </c>
      <c r="Q45" s="2665">
        <f t="shared" si="57"/>
        <v>-1.66E-2</v>
      </c>
      <c r="R45" s="2666"/>
      <c r="S45" s="2667"/>
      <c r="T45" s="2668"/>
      <c r="U45" s="2668"/>
      <c r="V45" s="2668"/>
      <c r="X45" s="2668"/>
      <c r="Y45" s="2668"/>
      <c r="Z45" s="2668"/>
    </row>
    <row r="46" spans="1:26">
      <c r="A46" s="2655" t="s">
        <v>2602</v>
      </c>
      <c r="B46" s="2669">
        <f t="shared" ref="B46:C48" si="73">B45/(1+N45)</f>
        <v>210.36075887152265</v>
      </c>
      <c r="C46" s="2669">
        <f t="shared" si="73"/>
        <v>187.94361691492554</v>
      </c>
      <c r="D46" s="2669">
        <f t="shared" si="55"/>
        <v>187.94361691492554</v>
      </c>
      <c r="E46" s="2669">
        <f t="shared" ref="E46:F48" si="74">E45/(1+P45)</f>
        <v>281.70386977288234</v>
      </c>
      <c r="F46" s="2669">
        <f t="shared" si="74"/>
        <v>168.80211511083994</v>
      </c>
      <c r="G46" s="3539">
        <v>2008</v>
      </c>
      <c r="H46" s="2680">
        <v>3</v>
      </c>
      <c r="I46" s="2680">
        <v>1.96</v>
      </c>
      <c r="J46" s="2680">
        <v>2.36</v>
      </c>
      <c r="K46" s="2680">
        <v>1.82</v>
      </c>
      <c r="L46" s="2681">
        <v>2.2200000000000002</v>
      </c>
      <c r="N46" s="2664">
        <f t="shared" si="57"/>
        <v>1.9599999999999999E-2</v>
      </c>
      <c r="O46" s="2665">
        <f t="shared" si="57"/>
        <v>2.3599999999999999E-2</v>
      </c>
      <c r="P46" s="2665">
        <f t="shared" si="57"/>
        <v>1.8200000000000001E-2</v>
      </c>
      <c r="Q46" s="2665">
        <f t="shared" si="57"/>
        <v>2.2200000000000001E-2</v>
      </c>
      <c r="R46" s="2666"/>
      <c r="S46" s="2664"/>
      <c r="T46" s="2665"/>
      <c r="U46" s="2665"/>
      <c r="V46" s="2665"/>
    </row>
    <row r="47" spans="1:26">
      <c r="A47" s="2655" t="s">
        <v>2603</v>
      </c>
      <c r="B47" s="2669">
        <f t="shared" si="73"/>
        <v>206.31694671589116</v>
      </c>
      <c r="C47" s="2669">
        <f t="shared" si="73"/>
        <v>183.61041121036101</v>
      </c>
      <c r="D47" s="2669">
        <f t="shared" si="55"/>
        <v>183.61041121036101</v>
      </c>
      <c r="E47" s="2669">
        <f t="shared" si="74"/>
        <v>276.66850301795557</v>
      </c>
      <c r="F47" s="2669">
        <f t="shared" si="74"/>
        <v>165.1360938278614</v>
      </c>
      <c r="G47" s="3539">
        <v>2008</v>
      </c>
      <c r="H47" s="2660">
        <v>2</v>
      </c>
      <c r="I47" s="2660">
        <v>4.93</v>
      </c>
      <c r="J47" s="2660">
        <v>7.38</v>
      </c>
      <c r="K47" s="2660">
        <v>3.98</v>
      </c>
      <c r="L47" s="2671">
        <v>6.86</v>
      </c>
      <c r="N47" s="2664">
        <f t="shared" si="57"/>
        <v>4.9299999999999997E-2</v>
      </c>
      <c r="O47" s="2665">
        <f t="shared" si="57"/>
        <v>7.3800000000000004E-2</v>
      </c>
      <c r="P47" s="2665">
        <f t="shared" si="57"/>
        <v>3.9800000000000002E-2</v>
      </c>
      <c r="Q47" s="2665">
        <f t="shared" si="57"/>
        <v>6.8600000000000008E-2</v>
      </c>
      <c r="R47" s="2666"/>
      <c r="S47" s="2664"/>
      <c r="T47" s="2665"/>
      <c r="U47" s="2665"/>
      <c r="V47" s="2665"/>
    </row>
    <row r="48" spans="1:26" s="2705" customFormat="1" ht="13.8" thickBot="1">
      <c r="A48" s="2655" t="s">
        <v>2604</v>
      </c>
      <c r="B48" s="2702">
        <f t="shared" si="73"/>
        <v>196.62341248059772</v>
      </c>
      <c r="C48" s="2702">
        <f t="shared" si="73"/>
        <v>170.99125648199012</v>
      </c>
      <c r="D48" s="2702">
        <f t="shared" si="55"/>
        <v>170.99125648199012</v>
      </c>
      <c r="E48" s="2702">
        <f t="shared" si="74"/>
        <v>266.07857570490052</v>
      </c>
      <c r="F48" s="2702">
        <f t="shared" si="74"/>
        <v>154.53499328828505</v>
      </c>
      <c r="G48" s="3540">
        <v>2008</v>
      </c>
      <c r="H48" s="2703">
        <v>1</v>
      </c>
      <c r="I48" s="2703">
        <v>4.1399999999999997</v>
      </c>
      <c r="J48" s="2703">
        <v>3.45</v>
      </c>
      <c r="K48" s="2703">
        <v>4.95</v>
      </c>
      <c r="L48" s="2704">
        <v>4.82</v>
      </c>
      <c r="N48" s="2706">
        <f t="shared" si="57"/>
        <v>4.1399999999999999E-2</v>
      </c>
      <c r="O48" s="2707">
        <f t="shared" si="57"/>
        <v>3.4500000000000003E-2</v>
      </c>
      <c r="P48" s="2707">
        <f t="shared" si="57"/>
        <v>4.9500000000000002E-2</v>
      </c>
      <c r="Q48" s="2707">
        <f t="shared" si="57"/>
        <v>4.82E-2</v>
      </c>
      <c r="R48" s="2708"/>
      <c r="S48" s="2706">
        <f>B48/B49-1</f>
        <v>4.5869215322328349E-2</v>
      </c>
      <c r="T48" s="2707">
        <f>C48/C49-1</f>
        <v>3.6310645345394743E-2</v>
      </c>
      <c r="U48" s="2707">
        <f>E48/E49-1</f>
        <v>4.7553447657088688E-2</v>
      </c>
      <c r="V48" s="2707">
        <f>F48/F49-1</f>
        <v>4.4155360055980086E-2</v>
      </c>
      <c r="X48" s="2709"/>
      <c r="Y48" s="2709"/>
      <c r="Z48" s="2709"/>
    </row>
    <row r="49" spans="1:26" ht="13.8" thickBot="1">
      <c r="A49" s="2655" t="s">
        <v>2605</v>
      </c>
      <c r="B49" s="2661">
        <v>188</v>
      </c>
      <c r="C49" s="2661">
        <v>165</v>
      </c>
      <c r="D49" s="2661">
        <f t="shared" si="55"/>
        <v>165</v>
      </c>
      <c r="E49" s="2661">
        <v>254</v>
      </c>
      <c r="F49" s="2662">
        <v>148</v>
      </c>
      <c r="G49" s="3538">
        <v>2007</v>
      </c>
      <c r="H49" s="2710">
        <v>4</v>
      </c>
      <c r="I49" s="2710">
        <v>5.51</v>
      </c>
      <c r="J49" s="2710">
        <v>4.8899999999999997</v>
      </c>
      <c r="K49" s="2710">
        <v>6.43</v>
      </c>
      <c r="L49" s="2711">
        <v>5.36</v>
      </c>
      <c r="N49" s="2712">
        <f t="shared" ref="N49:O52" si="75">B49/B50-1</f>
        <v>4.1339718365245526E-2</v>
      </c>
      <c r="O49" s="2713">
        <f t="shared" si="75"/>
        <v>4.0324492593776018E-2</v>
      </c>
      <c r="P49" s="2713">
        <f t="shared" ref="P49:Q52" si="76">E49/E50-1</f>
        <v>6.1625555347990968E-2</v>
      </c>
      <c r="Q49" s="2713">
        <f t="shared" si="76"/>
        <v>4.6757569250590603E-2</v>
      </c>
      <c r="R49" s="2666"/>
      <c r="S49" s="2667"/>
      <c r="T49" s="2668"/>
      <c r="U49" s="2668"/>
      <c r="V49" s="2668"/>
      <c r="X49" s="2668"/>
      <c r="Y49" s="2668"/>
      <c r="Z49" s="2668"/>
    </row>
    <row r="50" spans="1:26">
      <c r="A50" s="2655" t="s">
        <v>2606</v>
      </c>
      <c r="B50" s="2669">
        <f t="shared" ref="B50:C52" si="77">B51+(B$49-B$53)*I50/SUM(I$49:I$52)</f>
        <v>180.5366651097618</v>
      </c>
      <c r="C50" s="2669">
        <f t="shared" si="77"/>
        <v>158.60435967302453</v>
      </c>
      <c r="D50" s="2669">
        <f t="shared" si="55"/>
        <v>158.60435967302453</v>
      </c>
      <c r="E50" s="2669">
        <f t="shared" ref="E50:F52" si="78">E51+(E$49-E$53)*K50/SUM(K$49:K$52)</f>
        <v>239.25573260785075</v>
      </c>
      <c r="F50" s="2669">
        <f t="shared" si="78"/>
        <v>141.38899430740037</v>
      </c>
      <c r="G50" s="3539">
        <v>2007</v>
      </c>
      <c r="H50" s="2680">
        <v>3</v>
      </c>
      <c r="I50" s="2680">
        <v>8.65</v>
      </c>
      <c r="J50" s="2680">
        <v>8.06</v>
      </c>
      <c r="K50" s="2680">
        <v>9.94</v>
      </c>
      <c r="L50" s="2681">
        <v>5.8</v>
      </c>
      <c r="N50" s="2712">
        <f t="shared" si="75"/>
        <v>6.940217571740015E-2</v>
      </c>
      <c r="O50" s="2713">
        <f t="shared" si="75"/>
        <v>7.1197482471153428E-2</v>
      </c>
      <c r="P50" s="2713">
        <f t="shared" si="76"/>
        <v>0.10529679922579582</v>
      </c>
      <c r="Q50" s="2713">
        <f t="shared" si="76"/>
        <v>5.3292245059512133E-2</v>
      </c>
      <c r="R50" s="2666"/>
      <c r="S50" s="2664"/>
      <c r="T50" s="2665"/>
      <c r="U50" s="2665"/>
      <c r="V50" s="2665"/>
      <c r="X50" s="2714"/>
      <c r="Y50" s="2714"/>
      <c r="Z50" s="2714"/>
    </row>
    <row r="51" spans="1:26">
      <c r="A51" s="2655" t="s">
        <v>2607</v>
      </c>
      <c r="B51" s="2669">
        <f t="shared" si="77"/>
        <v>168.82017748715555</v>
      </c>
      <c r="C51" s="2669">
        <f t="shared" si="77"/>
        <v>148.06267029972753</v>
      </c>
      <c r="D51" s="2669">
        <f t="shared" si="55"/>
        <v>148.06267029972753</v>
      </c>
      <c r="E51" s="2669">
        <f t="shared" si="78"/>
        <v>216.46288379323747</v>
      </c>
      <c r="F51" s="2669">
        <f t="shared" si="78"/>
        <v>134.23529411764704</v>
      </c>
      <c r="G51" s="3539">
        <v>2007</v>
      </c>
      <c r="H51" s="2660">
        <v>2</v>
      </c>
      <c r="I51" s="2660">
        <v>3.67</v>
      </c>
      <c r="J51" s="2660">
        <v>2.3199999999999998</v>
      </c>
      <c r="K51" s="2660">
        <v>5.0199999999999996</v>
      </c>
      <c r="L51" s="2671">
        <v>6.71</v>
      </c>
      <c r="N51" s="2712">
        <f t="shared" si="75"/>
        <v>3.0339138143848032E-2</v>
      </c>
      <c r="O51" s="2713">
        <f t="shared" si="75"/>
        <v>2.0922341588790472E-2</v>
      </c>
      <c r="P51" s="2713">
        <f t="shared" si="76"/>
        <v>5.6164796592717003E-2</v>
      </c>
      <c r="Q51" s="2713">
        <f t="shared" si="76"/>
        <v>6.5704536723887319E-2</v>
      </c>
      <c r="R51" s="2666"/>
      <c r="S51" s="2664"/>
      <c r="T51" s="2665"/>
      <c r="U51" s="2665"/>
      <c r="V51" s="2665"/>
      <c r="X51" s="2714"/>
      <c r="Y51" s="2714"/>
      <c r="Z51" s="2714"/>
    </row>
    <row r="52" spans="1:26">
      <c r="A52" s="2655" t="s">
        <v>2608</v>
      </c>
      <c r="B52" s="2669">
        <f t="shared" si="77"/>
        <v>163.84913591779542</v>
      </c>
      <c r="C52" s="2669">
        <f t="shared" si="77"/>
        <v>145.0283378746594</v>
      </c>
      <c r="D52" s="2669">
        <f t="shared" si="55"/>
        <v>145.0283378746594</v>
      </c>
      <c r="E52" s="2669">
        <f t="shared" si="78"/>
        <v>204.95180722891567</v>
      </c>
      <c r="F52" s="2669">
        <f t="shared" si="78"/>
        <v>125.95920303605313</v>
      </c>
      <c r="G52" s="3540">
        <v>2007</v>
      </c>
      <c r="H52" s="2659">
        <v>1</v>
      </c>
      <c r="I52" s="2659">
        <v>3.58</v>
      </c>
      <c r="J52" s="2659">
        <v>3.08</v>
      </c>
      <c r="K52" s="2659">
        <v>4.34</v>
      </c>
      <c r="L52" s="2670">
        <v>3.21</v>
      </c>
      <c r="N52" s="2715">
        <f t="shared" si="75"/>
        <v>3.0497710174814063E-2</v>
      </c>
      <c r="O52" s="2716">
        <f t="shared" si="75"/>
        <v>2.8569772160704998E-2</v>
      </c>
      <c r="P52" s="2716">
        <f t="shared" si="76"/>
        <v>5.1034908866234296E-2</v>
      </c>
      <c r="Q52" s="2716">
        <f t="shared" si="76"/>
        <v>3.245248390207478E-2</v>
      </c>
      <c r="R52" s="2666"/>
      <c r="S52" s="2672">
        <f>B52/B53-1</f>
        <v>3.0497710174814063E-2</v>
      </c>
      <c r="T52" s="2673">
        <f>C52/C53-1</f>
        <v>2.8569772160704998E-2</v>
      </c>
      <c r="U52" s="2673">
        <f>E52/E53-1</f>
        <v>5.1034908866234296E-2</v>
      </c>
      <c r="V52" s="2673">
        <f>F52/F53-1</f>
        <v>3.245248390207478E-2</v>
      </c>
      <c r="X52" s="2714"/>
      <c r="Y52" s="2714"/>
      <c r="Z52" s="2714"/>
    </row>
    <row r="53" spans="1:26" ht="13.8" thickBot="1">
      <c r="A53" s="2655" t="s">
        <v>2609</v>
      </c>
      <c r="B53" s="2683">
        <v>159</v>
      </c>
      <c r="C53" s="2683">
        <v>141</v>
      </c>
      <c r="D53" s="2683">
        <f t="shared" si="55"/>
        <v>141</v>
      </c>
      <c r="E53" s="2683">
        <v>195</v>
      </c>
      <c r="F53" s="2684">
        <v>122</v>
      </c>
      <c r="G53" s="3538">
        <v>2006</v>
      </c>
      <c r="H53" s="2675">
        <v>4</v>
      </c>
      <c r="I53" s="2675">
        <v>3.79</v>
      </c>
      <c r="J53" s="2675">
        <v>2.21</v>
      </c>
      <c r="K53" s="2675">
        <v>5.65</v>
      </c>
      <c r="L53" s="2676">
        <v>5.41</v>
      </c>
      <c r="N53" s="2712">
        <f t="shared" ref="N53:O56" si="79">I53/SUM(I$53:I$56)*(B$53/B$57-1)</f>
        <v>7.245466462748526E-2</v>
      </c>
      <c r="O53" s="2713">
        <f t="shared" si="79"/>
        <v>2.3237230038062766E-2</v>
      </c>
      <c r="P53" s="2713">
        <f t="shared" ref="P53:Q56" si="80">K53/SUM(K$53:K$56)*(E$53/E$57-1)</f>
        <v>0.16146893866323722</v>
      </c>
      <c r="Q53" s="2713">
        <f t="shared" si="80"/>
        <v>5.0755230321793784E-2</v>
      </c>
      <c r="R53" s="2666"/>
      <c r="S53" s="2667"/>
      <c r="T53" s="2668"/>
      <c r="U53" s="2668"/>
      <c r="V53" s="2668"/>
      <c r="X53" s="2714"/>
      <c r="Y53" s="2714"/>
      <c r="Z53" s="2714"/>
    </row>
    <row r="54" spans="1:26">
      <c r="A54" s="2655" t="s">
        <v>2610</v>
      </c>
      <c r="B54" s="2669">
        <f t="shared" ref="B54:C56" si="81">B55+(B$53-B$57)*I54/SUM(I$53:I$56)</f>
        <v>149.00125628140702</v>
      </c>
      <c r="C54" s="2669">
        <f t="shared" si="81"/>
        <v>137.95592286501378</v>
      </c>
      <c r="D54" s="2669">
        <f t="shared" si="55"/>
        <v>137.95592286501378</v>
      </c>
      <c r="E54" s="2669">
        <f t="shared" ref="E54:F56" si="82">E55+(E$53-E$57)*K54/SUM(K$53:K$56)</f>
        <v>169.97231450719823</v>
      </c>
      <c r="F54" s="2669">
        <f t="shared" si="82"/>
        <v>116.21390374331551</v>
      </c>
      <c r="G54" s="3539">
        <v>2006</v>
      </c>
      <c r="H54" s="2680">
        <v>3</v>
      </c>
      <c r="I54" s="2680">
        <v>0.92</v>
      </c>
      <c r="J54" s="2680">
        <v>1.08</v>
      </c>
      <c r="K54" s="2680">
        <v>0.73</v>
      </c>
      <c r="L54" s="2681">
        <v>1.08</v>
      </c>
      <c r="N54" s="2712">
        <f t="shared" si="79"/>
        <v>1.7587939698492462E-2</v>
      </c>
      <c r="O54" s="2713">
        <f t="shared" si="79"/>
        <v>1.1355750425840628E-2</v>
      </c>
      <c r="P54" s="2713">
        <f t="shared" si="80"/>
        <v>2.0862358446754544E-2</v>
      </c>
      <c r="Q54" s="2713">
        <f t="shared" si="80"/>
        <v>1.0132282578103011E-2</v>
      </c>
      <c r="R54" s="2666"/>
      <c r="S54" s="2664"/>
      <c r="T54" s="2665"/>
      <c r="U54" s="2665"/>
      <c r="V54" s="2665"/>
      <c r="X54" s="2714"/>
      <c r="Y54" s="2714"/>
      <c r="Z54" s="2714"/>
    </row>
    <row r="55" spans="1:26">
      <c r="A55" s="2655" t="s">
        <v>2611</v>
      </c>
      <c r="B55" s="2669">
        <f t="shared" si="81"/>
        <v>146.57412060301507</v>
      </c>
      <c r="C55" s="2669">
        <f t="shared" si="81"/>
        <v>136.46831955922866</v>
      </c>
      <c r="D55" s="2669">
        <f t="shared" si="55"/>
        <v>136.46831955922866</v>
      </c>
      <c r="E55" s="2669">
        <f t="shared" si="82"/>
        <v>166.73864894795128</v>
      </c>
      <c r="F55" s="2669">
        <f t="shared" si="82"/>
        <v>115.05882352941177</v>
      </c>
      <c r="G55" s="3539">
        <v>2006</v>
      </c>
      <c r="H55" s="2660">
        <v>2</v>
      </c>
      <c r="I55" s="2660">
        <v>0.96</v>
      </c>
      <c r="J55" s="2660">
        <v>0.25</v>
      </c>
      <c r="K55" s="2660">
        <v>1.9</v>
      </c>
      <c r="L55" s="2671">
        <v>0.95</v>
      </c>
      <c r="N55" s="2712">
        <f t="shared" si="79"/>
        <v>1.8352632728861701E-2</v>
      </c>
      <c r="O55" s="2713">
        <f t="shared" si="79"/>
        <v>2.6286459319075526E-3</v>
      </c>
      <c r="P55" s="2713">
        <f t="shared" si="80"/>
        <v>5.4299289107991269E-2</v>
      </c>
      <c r="Q55" s="2713">
        <f t="shared" si="80"/>
        <v>8.9126559714794995E-3</v>
      </c>
      <c r="R55" s="2666"/>
      <c r="S55" s="2664"/>
      <c r="T55" s="2665"/>
      <c r="U55" s="2665"/>
      <c r="V55" s="2665"/>
      <c r="X55" s="2714"/>
      <c r="Y55" s="2714"/>
      <c r="Z55" s="2714"/>
    </row>
    <row r="56" spans="1:26">
      <c r="A56" s="2655" t="s">
        <v>2612</v>
      </c>
      <c r="B56" s="2669">
        <f t="shared" si="81"/>
        <v>144.04145728643215</v>
      </c>
      <c r="C56" s="2669">
        <f t="shared" si="81"/>
        <v>136.12396694214877</v>
      </c>
      <c r="D56" s="2669">
        <f t="shared" si="55"/>
        <v>136.12396694214877</v>
      </c>
      <c r="E56" s="2669">
        <f t="shared" si="82"/>
        <v>158.32225913621264</v>
      </c>
      <c r="F56" s="2669">
        <f t="shared" si="82"/>
        <v>114.04278074866311</v>
      </c>
      <c r="G56" s="3540">
        <v>2006</v>
      </c>
      <c r="H56" s="2659">
        <v>1</v>
      </c>
      <c r="I56" s="2659">
        <v>2.29</v>
      </c>
      <c r="J56" s="2659">
        <v>3.72</v>
      </c>
      <c r="K56" s="2659">
        <v>0.75</v>
      </c>
      <c r="L56" s="2670">
        <v>0.04</v>
      </c>
      <c r="N56" s="2715">
        <f t="shared" si="79"/>
        <v>4.3778675988638847E-2</v>
      </c>
      <c r="O56" s="2716">
        <f t="shared" si="79"/>
        <v>3.9114251466784385E-2</v>
      </c>
      <c r="P56" s="2716">
        <f t="shared" si="80"/>
        <v>2.1433929911049188E-2</v>
      </c>
      <c r="Q56" s="2716">
        <f t="shared" si="80"/>
        <v>3.7526972511492629E-4</v>
      </c>
      <c r="R56" s="2666"/>
      <c r="S56" s="2672">
        <f>B56/B57-1</f>
        <v>4.3778675988638716E-2</v>
      </c>
      <c r="T56" s="2673">
        <f>C56/C57-1</f>
        <v>3.91142514667846E-2</v>
      </c>
      <c r="U56" s="2673">
        <f>E56/E57-1</f>
        <v>2.143392991104931E-2</v>
      </c>
      <c r="V56" s="2673">
        <f>F56/F57-1</f>
        <v>3.7526972511492396E-4</v>
      </c>
      <c r="X56" s="2714"/>
      <c r="Y56" s="2714"/>
      <c r="Z56" s="2714"/>
    </row>
    <row r="57" spans="1:26" ht="13.8" thickBot="1">
      <c r="A57" s="2655" t="s">
        <v>2613</v>
      </c>
      <c r="B57" s="2683">
        <v>138</v>
      </c>
      <c r="C57" s="2683">
        <v>131</v>
      </c>
      <c r="D57" s="2683">
        <f t="shared" si="55"/>
        <v>131</v>
      </c>
      <c r="E57" s="2683">
        <v>155</v>
      </c>
      <c r="F57" s="2684">
        <v>114</v>
      </c>
      <c r="G57" s="3538">
        <v>2005</v>
      </c>
      <c r="H57" s="2675">
        <v>4</v>
      </c>
      <c r="I57" s="2675">
        <v>3.29</v>
      </c>
      <c r="J57" s="2675">
        <v>1.44</v>
      </c>
      <c r="K57" s="2675">
        <v>0.66</v>
      </c>
      <c r="L57" s="2676">
        <v>7.78</v>
      </c>
      <c r="N57" s="2712">
        <f t="shared" ref="N57:O60" si="83">I57/SUM(I$57:I$60)*(B$57/B$61-1)</f>
        <v>9.9404603216919935E-2</v>
      </c>
      <c r="O57" s="2713">
        <f t="shared" si="83"/>
        <v>4.7636550760861554E-2</v>
      </c>
      <c r="P57" s="2713">
        <f t="shared" ref="P57:Q60" si="84">K57/SUM(K$57:K$60)*(E$57/E$61-1)</f>
        <v>8.3756345177664976E-2</v>
      </c>
      <c r="Q57" s="2713">
        <f t="shared" si="84"/>
        <v>5.2148766661559584E-2</v>
      </c>
      <c r="R57" s="2666"/>
      <c r="S57" s="2667"/>
      <c r="T57" s="2668"/>
      <c r="U57" s="2668"/>
      <c r="V57" s="2668"/>
      <c r="X57" s="2714"/>
      <c r="Y57" s="2714"/>
      <c r="Z57" s="2714"/>
    </row>
    <row r="58" spans="1:26">
      <c r="A58" s="2655" t="s">
        <v>2614</v>
      </c>
      <c r="B58" s="2669">
        <f t="shared" ref="B58:C60" si="85">B59+(B$57-B$61)*I58/SUM(I$57:I$60)</f>
        <v>125.9720430107527</v>
      </c>
      <c r="C58" s="2669">
        <f t="shared" si="85"/>
        <v>125.1883408071749</v>
      </c>
      <c r="D58" s="2669">
        <f t="shared" si="55"/>
        <v>125.1883408071749</v>
      </c>
      <c r="E58" s="2669">
        <f t="shared" ref="E58:F60" si="86">E59+(E$57-E$61)*K58/SUM(K$57:K$60)</f>
        <v>144.61421319796952</v>
      </c>
      <c r="F58" s="2669">
        <f t="shared" si="86"/>
        <v>108.42008196721311</v>
      </c>
      <c r="G58" s="3539">
        <v>2005</v>
      </c>
      <c r="H58" s="2680">
        <v>3</v>
      </c>
      <c r="I58" s="2680">
        <v>0.46</v>
      </c>
      <c r="J58" s="2680">
        <v>0.32</v>
      </c>
      <c r="K58" s="2680">
        <v>0.42</v>
      </c>
      <c r="L58" s="2681">
        <v>0.64</v>
      </c>
      <c r="N58" s="2712">
        <f t="shared" si="83"/>
        <v>1.3898515951301874E-2</v>
      </c>
      <c r="O58" s="2713">
        <f t="shared" si="83"/>
        <v>1.0585900169080346E-2</v>
      </c>
      <c r="P58" s="2713">
        <f t="shared" si="84"/>
        <v>5.3299492385786795E-2</v>
      </c>
      <c r="Q58" s="2713">
        <f t="shared" si="84"/>
        <v>4.2898728359123568E-3</v>
      </c>
      <c r="R58" s="2666"/>
      <c r="S58" s="2664"/>
      <c r="T58" s="2665"/>
      <c r="U58" s="2665"/>
      <c r="V58" s="2665"/>
      <c r="X58" s="2714"/>
      <c r="Y58" s="2714"/>
      <c r="Z58" s="2714"/>
    </row>
    <row r="59" spans="1:26">
      <c r="A59" s="2655" t="s">
        <v>2615</v>
      </c>
      <c r="B59" s="2669">
        <f t="shared" si="85"/>
        <v>124.29032258064517</v>
      </c>
      <c r="C59" s="2669">
        <f t="shared" si="85"/>
        <v>123.8968609865471</v>
      </c>
      <c r="D59" s="2669">
        <f t="shared" si="55"/>
        <v>123.8968609865471</v>
      </c>
      <c r="E59" s="2669">
        <f t="shared" si="86"/>
        <v>138.00507614213197</v>
      </c>
      <c r="F59" s="2669">
        <f t="shared" si="86"/>
        <v>107.96106557377048</v>
      </c>
      <c r="G59" s="3539">
        <v>2005</v>
      </c>
      <c r="H59" s="2660">
        <v>2</v>
      </c>
      <c r="I59" s="2660">
        <v>0.47</v>
      </c>
      <c r="J59" s="2660">
        <v>0.1</v>
      </c>
      <c r="K59" s="2660">
        <v>0.52</v>
      </c>
      <c r="L59" s="2671">
        <v>0.79</v>
      </c>
      <c r="N59" s="2712">
        <f t="shared" si="83"/>
        <v>1.420065760241713E-2</v>
      </c>
      <c r="O59" s="2713">
        <f t="shared" si="83"/>
        <v>3.3080938028376083E-3</v>
      </c>
      <c r="P59" s="2713">
        <f t="shared" si="84"/>
        <v>6.598984771573603E-2</v>
      </c>
      <c r="Q59" s="2713">
        <f t="shared" si="84"/>
        <v>5.2953117818293153E-3</v>
      </c>
      <c r="R59" s="2666"/>
      <c r="S59" s="2664"/>
      <c r="T59" s="2665"/>
      <c r="U59" s="2665"/>
      <c r="V59" s="2665"/>
      <c r="X59" s="2714"/>
      <c r="Y59" s="2714"/>
      <c r="Z59" s="2714"/>
    </row>
    <row r="60" spans="1:26">
      <c r="A60" s="2655" t="s">
        <v>2616</v>
      </c>
      <c r="B60" s="2669">
        <f t="shared" si="85"/>
        <v>122.57204301075269</v>
      </c>
      <c r="C60" s="2669">
        <f t="shared" si="85"/>
        <v>123.4932735426009</v>
      </c>
      <c r="D60" s="2669">
        <f t="shared" si="55"/>
        <v>123.4932735426009</v>
      </c>
      <c r="E60" s="2669">
        <f t="shared" si="86"/>
        <v>129.82233502538071</v>
      </c>
      <c r="F60" s="2669">
        <f t="shared" si="86"/>
        <v>107.39446721311475</v>
      </c>
      <c r="G60" s="3540">
        <v>2005</v>
      </c>
      <c r="H60" s="2659">
        <v>1</v>
      </c>
      <c r="I60" s="2659">
        <v>0.43</v>
      </c>
      <c r="J60" s="2659">
        <v>0.37</v>
      </c>
      <c r="K60" s="2659">
        <v>0.37</v>
      </c>
      <c r="L60" s="2670">
        <v>0.55000000000000004</v>
      </c>
      <c r="N60" s="2715">
        <f t="shared" si="83"/>
        <v>1.2992090997956099E-2</v>
      </c>
      <c r="O60" s="2716">
        <f t="shared" si="83"/>
        <v>1.2239947070499151E-2</v>
      </c>
      <c r="P60" s="2716">
        <f t="shared" si="84"/>
        <v>4.6954314720812178E-2</v>
      </c>
      <c r="Q60" s="2716">
        <f t="shared" si="84"/>
        <v>3.6866094683621815E-3</v>
      </c>
      <c r="R60" s="2666"/>
      <c r="S60" s="2672">
        <f>B60/B61-1</f>
        <v>1.2992090997956174E-2</v>
      </c>
      <c r="T60" s="2673">
        <f>C60/C61-1</f>
        <v>1.2239947070499246E-2</v>
      </c>
      <c r="U60" s="2673">
        <f>E60/E61-1</f>
        <v>4.695431472081224E-2</v>
      </c>
      <c r="V60" s="2673">
        <f>F60/F61-1</f>
        <v>3.6866094683620787E-3</v>
      </c>
      <c r="X60" s="2714"/>
      <c r="Y60" s="2714"/>
      <c r="Z60" s="2714"/>
    </row>
    <row r="61" spans="1:26" ht="13.8" thickBot="1">
      <c r="A61" s="2655" t="s">
        <v>2617</v>
      </c>
      <c r="B61" s="2699">
        <v>121</v>
      </c>
      <c r="C61" s="2699">
        <v>122</v>
      </c>
      <c r="D61" s="2699">
        <f t="shared" si="55"/>
        <v>122</v>
      </c>
      <c r="E61" s="2699">
        <v>124</v>
      </c>
      <c r="F61" s="2700">
        <v>107</v>
      </c>
      <c r="G61" s="3538">
        <v>2004</v>
      </c>
      <c r="H61" s="2675">
        <v>4</v>
      </c>
      <c r="I61" s="2675">
        <v>0.33</v>
      </c>
      <c r="J61" s="2675">
        <v>0.5</v>
      </c>
      <c r="K61" s="2675">
        <v>0.5</v>
      </c>
      <c r="L61" s="2676">
        <v>0</v>
      </c>
      <c r="N61" s="2712">
        <f t="shared" ref="N61:O64" si="87">I61/SUM(I$61:I$64)*(B$61/B$65-1)</f>
        <v>1.3391770148526898E-2</v>
      </c>
      <c r="O61" s="2713">
        <f t="shared" si="87"/>
        <v>1.063264221158958E-2</v>
      </c>
      <c r="P61" s="2713">
        <f t="shared" ref="P61:Q64" si="88">K61/SUM(K$61:K$64)*(E$61/E$65-1)</f>
        <v>2.2244466688911134E-2</v>
      </c>
      <c r="Q61" s="2713">
        <f t="shared" si="88"/>
        <v>0</v>
      </c>
      <c r="R61" s="2666"/>
      <c r="S61" s="2667"/>
      <c r="T61" s="2668"/>
      <c r="U61" s="2668"/>
      <c r="V61" s="2668"/>
      <c r="X61" s="2714"/>
      <c r="Y61" s="2714"/>
      <c r="Z61" s="2714"/>
    </row>
    <row r="62" spans="1:26">
      <c r="A62" s="2655" t="s">
        <v>2618</v>
      </c>
      <c r="B62" s="2669">
        <f t="shared" ref="B62:C64" si="89">B63+(B$61-B$65)*I62/SUM(I$61:I$64)</f>
        <v>119.51351351351352</v>
      </c>
      <c r="C62" s="2669">
        <f t="shared" si="89"/>
        <v>120.7878787878788</v>
      </c>
      <c r="D62" s="2669">
        <f t="shared" si="55"/>
        <v>120.7878787878788</v>
      </c>
      <c r="E62" s="2669">
        <f t="shared" ref="E62:F64" si="90">E63+(E$61-E$65)*K62/SUM(K$61:K$64)</f>
        <v>121.5975975975976</v>
      </c>
      <c r="F62" s="2669">
        <f t="shared" si="90"/>
        <v>107</v>
      </c>
      <c r="G62" s="3539">
        <v>2004</v>
      </c>
      <c r="H62" s="2680">
        <v>3</v>
      </c>
      <c r="I62" s="2680">
        <v>0.56000000000000005</v>
      </c>
      <c r="J62" s="2680">
        <v>0.8</v>
      </c>
      <c r="K62" s="2680">
        <v>0.83</v>
      </c>
      <c r="L62" s="2681">
        <v>0.06</v>
      </c>
      <c r="N62" s="2712">
        <f t="shared" si="87"/>
        <v>2.2725428130833527E-2</v>
      </c>
      <c r="O62" s="2713">
        <f t="shared" si="87"/>
        <v>1.7012227538543329E-2</v>
      </c>
      <c r="P62" s="2713">
        <f t="shared" si="88"/>
        <v>3.6925814703592477E-2</v>
      </c>
      <c r="Q62" s="2713">
        <f t="shared" si="88"/>
        <v>2.8846153846153744E-2</v>
      </c>
      <c r="R62" s="2666"/>
      <c r="S62" s="2664"/>
      <c r="T62" s="2665"/>
      <c r="U62" s="2665"/>
      <c r="V62" s="2665"/>
      <c r="X62" s="2714"/>
      <c r="Y62" s="2714"/>
      <c r="Z62" s="2714"/>
    </row>
    <row r="63" spans="1:26">
      <c r="A63" s="2655" t="s">
        <v>2619</v>
      </c>
      <c r="B63" s="2669">
        <f t="shared" si="89"/>
        <v>116.99099099099099</v>
      </c>
      <c r="C63" s="2669">
        <f t="shared" si="89"/>
        <v>118.84848484848486</v>
      </c>
      <c r="D63" s="2669">
        <f t="shared" si="55"/>
        <v>118.84848484848486</v>
      </c>
      <c r="E63" s="2669">
        <f t="shared" si="90"/>
        <v>117.60960960960961</v>
      </c>
      <c r="F63" s="2669">
        <f t="shared" si="90"/>
        <v>104</v>
      </c>
      <c r="G63" s="3539">
        <v>2004</v>
      </c>
      <c r="H63" s="2660">
        <v>2</v>
      </c>
      <c r="I63" s="2660">
        <v>1</v>
      </c>
      <c r="J63" s="2660">
        <v>1.5</v>
      </c>
      <c r="K63" s="2660">
        <v>1.5</v>
      </c>
      <c r="L63" s="2671">
        <v>0</v>
      </c>
      <c r="N63" s="2712">
        <f t="shared" si="87"/>
        <v>4.0581121662202721E-2</v>
      </c>
      <c r="O63" s="2713">
        <f t="shared" si="87"/>
        <v>3.1897926634768738E-2</v>
      </c>
      <c r="P63" s="2713">
        <f t="shared" si="88"/>
        <v>6.6733400066733395E-2</v>
      </c>
      <c r="Q63" s="2713">
        <f t="shared" si="88"/>
        <v>0</v>
      </c>
      <c r="R63" s="2666"/>
      <c r="S63" s="2664"/>
      <c r="T63" s="2665"/>
      <c r="U63" s="2665"/>
      <c r="V63" s="2665"/>
      <c r="X63" s="2714"/>
      <c r="Y63" s="2714"/>
      <c r="Z63" s="2714"/>
    </row>
    <row r="64" spans="1:26" s="2705" customFormat="1" ht="13.8" thickBot="1">
      <c r="A64" s="2655" t="s">
        <v>2620</v>
      </c>
      <c r="B64" s="2702">
        <f t="shared" si="89"/>
        <v>112.48648648648648</v>
      </c>
      <c r="C64" s="2702">
        <f t="shared" si="89"/>
        <v>115.21212121212122</v>
      </c>
      <c r="D64" s="2702">
        <f t="shared" si="55"/>
        <v>115.21212121212122</v>
      </c>
      <c r="E64" s="2702">
        <f t="shared" si="90"/>
        <v>110.4024024024024</v>
      </c>
      <c r="F64" s="2702">
        <f t="shared" si="90"/>
        <v>104</v>
      </c>
      <c r="G64" s="3540">
        <v>2004</v>
      </c>
      <c r="H64" s="2703">
        <v>1</v>
      </c>
      <c r="I64" s="2703">
        <v>0.33</v>
      </c>
      <c r="J64" s="2703">
        <v>0.5</v>
      </c>
      <c r="K64" s="2703">
        <v>0.5</v>
      </c>
      <c r="L64" s="2704">
        <v>0</v>
      </c>
      <c r="N64" s="2717">
        <f t="shared" si="87"/>
        <v>1.3391770148526898E-2</v>
      </c>
      <c r="O64" s="2718">
        <f t="shared" si="87"/>
        <v>1.063264221158958E-2</v>
      </c>
      <c r="P64" s="2718">
        <f t="shared" si="88"/>
        <v>2.2244466688911134E-2</v>
      </c>
      <c r="Q64" s="2718">
        <f t="shared" si="88"/>
        <v>0</v>
      </c>
      <c r="R64" s="2708"/>
      <c r="S64" s="2706">
        <f>B64/B65-1</f>
        <v>1.3391770148526883E-2</v>
      </c>
      <c r="T64" s="2707">
        <f>C64/C65-1</f>
        <v>1.063264221158966E-2</v>
      </c>
      <c r="U64" s="2707">
        <f>E64/E65-1</f>
        <v>2.2244466688911224E-2</v>
      </c>
      <c r="V64" s="2707">
        <f>F64/F65-1</f>
        <v>0</v>
      </c>
      <c r="X64" s="2719"/>
      <c r="Y64" s="2719"/>
      <c r="Z64" s="2719"/>
    </row>
    <row r="65" spans="1:26" ht="13.8" thickBot="1">
      <c r="A65" s="2655" t="s">
        <v>2621</v>
      </c>
      <c r="B65" s="2720">
        <v>111</v>
      </c>
      <c r="C65" s="2720">
        <v>114</v>
      </c>
      <c r="D65" s="2720">
        <f t="shared" si="55"/>
        <v>114</v>
      </c>
      <c r="E65" s="2720">
        <v>108</v>
      </c>
      <c r="F65" s="2721">
        <v>104</v>
      </c>
      <c r="G65" s="3538">
        <v>2003</v>
      </c>
      <c r="H65" s="2710">
        <v>4</v>
      </c>
      <c r="I65" s="2722"/>
      <c r="J65" s="2722"/>
      <c r="K65" s="2722"/>
      <c r="L65" s="2722"/>
      <c r="N65" s="2723"/>
      <c r="O65" s="2722"/>
      <c r="P65" s="2722"/>
      <c r="Q65" s="2722"/>
      <c r="S65" s="2723"/>
      <c r="T65" s="2722"/>
      <c r="U65" s="2722"/>
      <c r="V65" s="2722"/>
      <c r="X65" s="2714"/>
      <c r="Y65" s="2714"/>
      <c r="Z65" s="2714"/>
    </row>
    <row r="66" spans="1:26">
      <c r="A66" s="2655" t="s">
        <v>2622</v>
      </c>
      <c r="B66" s="2724">
        <f t="shared" ref="B66:C68" si="91">B67+(B$65-B$69)/4</f>
        <v>109.75</v>
      </c>
      <c r="C66" s="2724">
        <f t="shared" si="91"/>
        <v>112.25</v>
      </c>
      <c r="D66" s="2724">
        <f t="shared" si="55"/>
        <v>112.25</v>
      </c>
      <c r="E66" s="2724">
        <f t="shared" ref="E66:F68" si="92">E67+(E$65-E$69)/4</f>
        <v>107.25</v>
      </c>
      <c r="F66" s="2724">
        <f t="shared" si="92"/>
        <v>103.5</v>
      </c>
      <c r="G66" s="3539">
        <v>2003</v>
      </c>
      <c r="H66" s="2680">
        <v>3</v>
      </c>
      <c r="I66" s="2722"/>
      <c r="J66" s="2722"/>
      <c r="K66" s="2722"/>
      <c r="L66" s="2722"/>
      <c r="X66" s="2714"/>
      <c r="Y66" s="2714"/>
      <c r="Z66" s="2714"/>
    </row>
    <row r="67" spans="1:26">
      <c r="A67" s="2655" t="s">
        <v>2623</v>
      </c>
      <c r="B67" s="2724">
        <f t="shared" si="91"/>
        <v>108.5</v>
      </c>
      <c r="C67" s="2724">
        <f t="shared" si="91"/>
        <v>110.5</v>
      </c>
      <c r="D67" s="2724">
        <f t="shared" si="55"/>
        <v>110.5</v>
      </c>
      <c r="E67" s="2724">
        <f t="shared" si="92"/>
        <v>106.5</v>
      </c>
      <c r="F67" s="2724">
        <f t="shared" si="92"/>
        <v>103</v>
      </c>
      <c r="G67" s="3539">
        <v>2003</v>
      </c>
      <c r="H67" s="2660">
        <v>2</v>
      </c>
      <c r="I67" s="2722"/>
      <c r="J67" s="2722"/>
      <c r="K67" s="2722"/>
      <c r="L67" s="2722"/>
      <c r="X67" s="2714"/>
      <c r="Y67" s="2714"/>
      <c r="Z67" s="2714"/>
    </row>
    <row r="68" spans="1:26" ht="13.8" thickBot="1">
      <c r="A68" s="2655" t="s">
        <v>2624</v>
      </c>
      <c r="B68" s="2724">
        <f t="shared" si="91"/>
        <v>107.25</v>
      </c>
      <c r="C68" s="2724">
        <f t="shared" si="91"/>
        <v>108.75</v>
      </c>
      <c r="D68" s="2724">
        <f t="shared" si="55"/>
        <v>108.75</v>
      </c>
      <c r="E68" s="2724">
        <f t="shared" si="92"/>
        <v>105.75</v>
      </c>
      <c r="F68" s="2724">
        <f t="shared" si="92"/>
        <v>102.5</v>
      </c>
      <c r="G68" s="3540">
        <v>2003</v>
      </c>
      <c r="H68" s="2725">
        <v>1</v>
      </c>
      <c r="I68" s="2722"/>
      <c r="J68" s="2722"/>
      <c r="K68" s="2722"/>
      <c r="L68" s="2722"/>
      <c r="S68" s="2664"/>
      <c r="T68" s="2665"/>
      <c r="U68" s="2665"/>
      <c r="X68" s="2714"/>
      <c r="Y68" s="2714"/>
      <c r="Z68" s="2714"/>
    </row>
    <row r="69" spans="1:26" ht="13.8" thickBot="1">
      <c r="A69" s="2655" t="s">
        <v>2625</v>
      </c>
      <c r="B69" s="2726">
        <v>106</v>
      </c>
      <c r="C69" s="2726">
        <v>107</v>
      </c>
      <c r="D69" s="2726">
        <f t="shared" si="55"/>
        <v>107</v>
      </c>
      <c r="E69" s="2726">
        <v>105</v>
      </c>
      <c r="F69" s="2727">
        <v>102</v>
      </c>
      <c r="G69" s="3538">
        <v>2002</v>
      </c>
      <c r="H69" s="2675">
        <v>4</v>
      </c>
      <c r="I69" s="2722"/>
      <c r="J69" s="2722"/>
      <c r="K69" s="2722"/>
      <c r="L69" s="2722"/>
      <c r="N69" s="2723"/>
      <c r="O69" s="2722"/>
      <c r="P69" s="2722"/>
      <c r="Q69" s="2722"/>
      <c r="S69" s="2723"/>
      <c r="T69" s="2722"/>
      <c r="U69" s="2722"/>
      <c r="V69" s="2722"/>
      <c r="X69" s="2714"/>
      <c r="Y69" s="2714"/>
      <c r="Z69" s="2714"/>
    </row>
    <row r="70" spans="1:26">
      <c r="A70" s="2655" t="s">
        <v>2626</v>
      </c>
      <c r="B70" s="2724">
        <f t="shared" ref="B70:C72" si="93">B71+(B$69-B$73)/4</f>
        <v>105</v>
      </c>
      <c r="C70" s="2724">
        <f t="shared" si="93"/>
        <v>106</v>
      </c>
      <c r="D70" s="2724">
        <f t="shared" si="55"/>
        <v>106</v>
      </c>
      <c r="E70" s="2724">
        <f t="shared" ref="E70:F72" si="94">E71+(E$69-E$73)/4</f>
        <v>104.5</v>
      </c>
      <c r="F70" s="2724">
        <f t="shared" si="94"/>
        <v>101.5</v>
      </c>
      <c r="G70" s="3539">
        <v>2002</v>
      </c>
      <c r="H70" s="2680">
        <v>3</v>
      </c>
      <c r="I70" s="2722"/>
      <c r="J70" s="2722"/>
      <c r="K70" s="2722"/>
      <c r="L70" s="2722"/>
      <c r="X70" s="2714"/>
      <c r="Y70" s="2714"/>
      <c r="Z70" s="2714"/>
    </row>
    <row r="71" spans="1:26">
      <c r="A71" s="2655" t="s">
        <v>2627</v>
      </c>
      <c r="B71" s="2724">
        <f t="shared" si="93"/>
        <v>104</v>
      </c>
      <c r="C71" s="2724">
        <f t="shared" si="93"/>
        <v>105</v>
      </c>
      <c r="D71" s="2724">
        <f t="shared" si="55"/>
        <v>105</v>
      </c>
      <c r="E71" s="2724">
        <f t="shared" si="94"/>
        <v>104</v>
      </c>
      <c r="F71" s="2724">
        <f t="shared" si="94"/>
        <v>101</v>
      </c>
      <c r="G71" s="3539">
        <v>2002</v>
      </c>
      <c r="H71" s="2660">
        <v>2</v>
      </c>
      <c r="I71" s="2722"/>
      <c r="J71" s="2722"/>
      <c r="K71" s="2722"/>
      <c r="L71" s="2722"/>
      <c r="X71" s="2714"/>
      <c r="Y71" s="2714"/>
      <c r="Z71" s="2714"/>
    </row>
    <row r="72" spans="1:26" s="2691" customFormat="1" ht="13.8" thickBot="1">
      <c r="A72" s="2687" t="s">
        <v>2628</v>
      </c>
      <c r="B72" s="2728">
        <f t="shared" si="93"/>
        <v>103</v>
      </c>
      <c r="C72" s="2728">
        <f t="shared" si="93"/>
        <v>104</v>
      </c>
      <c r="D72" s="2728">
        <f t="shared" si="55"/>
        <v>104</v>
      </c>
      <c r="E72" s="2728">
        <f t="shared" si="94"/>
        <v>103.5</v>
      </c>
      <c r="F72" s="2728">
        <f t="shared" si="94"/>
        <v>100.5</v>
      </c>
      <c r="G72" s="3540">
        <v>2002</v>
      </c>
      <c r="H72" s="2729">
        <v>1</v>
      </c>
      <c r="I72" s="2730"/>
      <c r="J72" s="2730"/>
      <c r="K72" s="2730"/>
      <c r="L72" s="2730"/>
      <c r="N72" s="2731"/>
      <c r="S72" s="2731"/>
      <c r="X72" s="2732"/>
      <c r="Y72" s="2732"/>
      <c r="Z72" s="2732"/>
    </row>
    <row r="73" spans="1:26" ht="13.8" thickBot="1">
      <c r="B73" s="2733">
        <v>102</v>
      </c>
      <c r="C73" s="2734">
        <v>103</v>
      </c>
      <c r="D73" s="2734">
        <f t="shared" si="55"/>
        <v>103</v>
      </c>
      <c r="E73" s="2734">
        <v>103</v>
      </c>
      <c r="F73" s="2735">
        <v>100</v>
      </c>
      <c r="I73" s="2722"/>
      <c r="J73" s="2722"/>
      <c r="K73" s="2722"/>
      <c r="L73" s="2722"/>
      <c r="N73" s="2723"/>
      <c r="O73" s="2722"/>
      <c r="P73" s="2722"/>
      <c r="Q73" s="2722"/>
      <c r="S73" s="2723"/>
      <c r="T73" s="2722"/>
      <c r="U73" s="2722"/>
      <c r="V73" s="2722"/>
      <c r="X73" s="2668"/>
      <c r="Y73" s="2668"/>
      <c r="Z73" s="2668"/>
    </row>
    <row r="75" spans="1:26" s="2737" customFormat="1">
      <c r="A75" s="2736" t="s">
        <v>2629</v>
      </c>
      <c r="G75" s="2738"/>
      <c r="N75" s="2738"/>
      <c r="S75" s="2738"/>
    </row>
    <row r="76" spans="1:26" s="2737" customFormat="1">
      <c r="A76" s="2737" t="s">
        <v>2630</v>
      </c>
      <c r="G76" s="2738"/>
      <c r="N76" s="2738"/>
      <c r="S76" s="2738"/>
    </row>
    <row r="77" spans="1:26" s="2737" customFormat="1">
      <c r="A77" s="2737" t="s">
        <v>2631</v>
      </c>
      <c r="G77" s="2738"/>
      <c r="I77" s="2739"/>
      <c r="J77" s="2739"/>
      <c r="K77" s="2739"/>
      <c r="L77" s="2739"/>
      <c r="N77" s="2740"/>
      <c r="O77" s="2739"/>
      <c r="P77" s="2739"/>
      <c r="Q77" s="2739"/>
      <c r="S77" s="2740"/>
      <c r="T77" s="2739"/>
      <c r="U77" s="2739"/>
      <c r="V77" s="2739"/>
    </row>
    <row r="78" spans="1:26" s="2737" customFormat="1">
      <c r="A78" s="2737" t="s">
        <v>2632</v>
      </c>
      <c r="G78" s="2738"/>
      <c r="N78" s="2738"/>
      <c r="S78" s="2738"/>
    </row>
    <row r="85" spans="7:22" ht="13.8" thickBot="1"/>
    <row r="86" spans="7:22">
      <c r="G86" s="2663"/>
      <c r="S86" s="2741" t="s">
        <v>2633</v>
      </c>
      <c r="T86" s="2742" t="s">
        <v>2634</v>
      </c>
      <c r="U86" s="2742" t="s">
        <v>2635</v>
      </c>
      <c r="V86" s="2742" t="s">
        <v>2636</v>
      </c>
    </row>
    <row r="87" spans="7:22">
      <c r="G87" s="2663"/>
      <c r="N87" s="2667"/>
      <c r="O87" s="2668"/>
      <c r="P87" s="2668"/>
      <c r="Q87" s="2668"/>
      <c r="S87" s="2743">
        <v>2006</v>
      </c>
      <c r="T87" s="2744">
        <v>15.1</v>
      </c>
      <c r="U87" s="2744">
        <v>7.43</v>
      </c>
      <c r="V87" s="2744">
        <v>26.26</v>
      </c>
    </row>
    <row r="88" spans="7:22">
      <c r="G88" s="2663"/>
      <c r="N88" s="2667"/>
      <c r="O88" s="2668"/>
      <c r="P88" s="2668"/>
      <c r="Q88" s="2668"/>
      <c r="S88" s="2746">
        <v>2005</v>
      </c>
      <c r="T88" s="2745">
        <v>13.9</v>
      </c>
      <c r="U88" s="2745">
        <v>7.49</v>
      </c>
      <c r="V88" s="2745">
        <v>24.92</v>
      </c>
    </row>
    <row r="89" spans="7:22">
      <c r="G89" s="2663"/>
      <c r="N89" s="2667"/>
      <c r="O89" s="2668"/>
      <c r="P89" s="2668"/>
      <c r="Q89" s="2668"/>
      <c r="S89" s="2743">
        <v>2004</v>
      </c>
      <c r="T89" s="2744">
        <v>9.48</v>
      </c>
      <c r="U89" s="2744">
        <v>7.2</v>
      </c>
      <c r="V89" s="2744">
        <v>14.68</v>
      </c>
    </row>
    <row r="90" spans="7:22">
      <c r="G90" s="2663"/>
      <c r="N90" s="2667"/>
      <c r="O90" s="2668"/>
      <c r="P90" s="2668"/>
      <c r="Q90" s="2668"/>
      <c r="S90" s="2746">
        <v>2003</v>
      </c>
      <c r="T90" s="2745">
        <v>4.5</v>
      </c>
      <c r="U90" s="2745">
        <v>6.12</v>
      </c>
      <c r="V90" s="2745">
        <v>2.34</v>
      </c>
    </row>
    <row r="91" spans="7:22" ht="13.8" thickBot="1">
      <c r="G91" s="2663"/>
      <c r="N91" s="2667"/>
      <c r="O91" s="2668"/>
      <c r="P91" s="2668"/>
      <c r="Q91" s="2668"/>
      <c r="S91" s="2747">
        <v>2002</v>
      </c>
      <c r="T91" s="2748">
        <v>3.59</v>
      </c>
      <c r="U91" s="2748">
        <v>4.54</v>
      </c>
      <c r="V91" s="2748">
        <v>2.5499999999999998</v>
      </c>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row r="107" spans="7:19">
      <c r="G107" s="2663"/>
      <c r="N107" s="2667"/>
      <c r="O107" s="2668"/>
      <c r="P107" s="2668"/>
      <c r="Q107" s="2668"/>
      <c r="S107" s="2663"/>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C13" zoomScale="70" zoomScaleNormal="70" workbookViewId="0">
      <selection activeCell="L19" sqref="L19"/>
    </sheetView>
  </sheetViews>
  <sheetFormatPr defaultColWidth="9" defaultRowHeight="13.8"/>
  <cols>
    <col min="1" max="1" width="10.44140625" style="1337" customWidth="1"/>
    <col min="2" max="2" width="15.77734375" style="1337" customWidth="1"/>
    <col min="3" max="3" width="18.4414062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3136</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89325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10942</v>
      </c>
      <c r="C3" s="852" t="s">
        <v>721</v>
      </c>
      <c r="D3" s="851">
        <f>SUMIF('数据-汇总表'!$C19:$C33,D1,'数据-汇总表'!$E19:$E33)</f>
        <v>81634.8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8" t="s">
        <v>521</v>
      </c>
      <c r="D4" s="3469"/>
      <c r="E4" s="3499" t="s">
        <v>522</v>
      </c>
      <c r="F4" s="3500"/>
      <c r="G4" s="3468" t="s">
        <v>523</v>
      </c>
      <c r="H4" s="3469"/>
      <c r="I4" s="3468" t="s">
        <v>524</v>
      </c>
      <c r="J4" s="3469"/>
      <c r="K4" s="853" t="s">
        <v>525</v>
      </c>
      <c r="L4" s="2133"/>
      <c r="M4" s="2134"/>
      <c r="N4" s="2134"/>
      <c r="O4" s="2134"/>
      <c r="P4" s="3470" t="s">
        <v>526</v>
      </c>
      <c r="Q4" s="3471"/>
      <c r="R4" s="3456" t="s">
        <v>522</v>
      </c>
      <c r="S4" s="3457"/>
      <c r="T4" s="3456" t="s">
        <v>523</v>
      </c>
      <c r="U4" s="3457"/>
      <c r="V4" s="3476" t="s">
        <v>524</v>
      </c>
      <c r="W4" s="3476"/>
      <c r="X4" s="3209"/>
      <c r="Y4" s="3456" t="s">
        <v>526</v>
      </c>
      <c r="Z4" s="3457"/>
      <c r="AA4" s="3451" t="s">
        <v>522</v>
      </c>
      <c r="AB4" s="3451" t="s">
        <v>523</v>
      </c>
      <c r="AC4" s="3451" t="s">
        <v>524</v>
      </c>
    </row>
    <row r="5" spans="1:29">
      <c r="A5" s="515"/>
      <c r="B5" s="516"/>
      <c r="C5" s="3481" t="str">
        <f>'比较法-住宅、综合'!C7:D7</f>
        <v>恒大云湖上郡</v>
      </c>
      <c r="D5" s="3480"/>
      <c r="E5" s="3545" t="s">
        <v>3414</v>
      </c>
      <c r="F5" s="3502"/>
      <c r="G5" s="3481" t="s">
        <v>3415</v>
      </c>
      <c r="H5" s="3480"/>
      <c r="I5" s="3481" t="s">
        <v>3416</v>
      </c>
      <c r="J5" s="3480"/>
      <c r="K5" s="854"/>
      <c r="L5" s="2133"/>
      <c r="M5" s="2134"/>
      <c r="N5" s="2134"/>
      <c r="O5" s="2134"/>
      <c r="P5" s="3472"/>
      <c r="Q5" s="3473"/>
      <c r="R5" s="3458"/>
      <c r="S5" s="3459"/>
      <c r="T5" s="3458"/>
      <c r="U5" s="3459"/>
      <c r="V5" s="3476"/>
      <c r="W5" s="3476"/>
      <c r="X5" s="3209"/>
      <c r="Y5" s="3458"/>
      <c r="Z5" s="3459"/>
      <c r="AA5" s="3452"/>
      <c r="AB5" s="3452"/>
      <c r="AC5" s="3452"/>
    </row>
    <row r="6" spans="1:29" ht="15" customHeight="1" thickBot="1">
      <c r="A6" s="517"/>
      <c r="B6" s="518"/>
      <c r="C6" s="3546" t="s">
        <v>3156</v>
      </c>
      <c r="D6" s="3478"/>
      <c r="E6" s="3546" t="s">
        <v>3156</v>
      </c>
      <c r="F6" s="3478"/>
      <c r="G6" s="3546" t="s">
        <v>3156</v>
      </c>
      <c r="H6" s="3478"/>
      <c r="I6" s="3546" t="s">
        <v>3156</v>
      </c>
      <c r="J6" s="3478"/>
      <c r="K6" s="854" t="s">
        <v>527</v>
      </c>
      <c r="L6" s="2133"/>
      <c r="M6" s="2134"/>
      <c r="N6" s="2134"/>
      <c r="O6" s="2134"/>
      <c r="P6" s="3474"/>
      <c r="Q6" s="3475"/>
      <c r="R6" s="3458"/>
      <c r="S6" s="3459"/>
      <c r="T6" s="3460"/>
      <c r="U6" s="3461"/>
      <c r="V6" s="3476"/>
      <c r="W6" s="3476"/>
      <c r="X6" s="3209"/>
      <c r="Y6" s="3460"/>
      <c r="Z6" s="3461"/>
      <c r="AA6" s="3453"/>
      <c r="AB6" s="3453"/>
      <c r="AC6" s="3453"/>
    </row>
    <row r="7" spans="1:29" s="1220" customFormat="1" ht="15" thickBot="1">
      <c r="A7" s="2912"/>
      <c r="B7" s="2919" t="s">
        <v>528</v>
      </c>
      <c r="C7" s="519">
        <f>'数据-取费表'!B2</f>
        <v>43626</v>
      </c>
      <c r="D7" s="520">
        <v>100</v>
      </c>
      <c r="E7" s="521">
        <v>43626</v>
      </c>
      <c r="F7" s="522">
        <f>SUMIF(58:58,YEAR(E7)&amp;"-"&amp;MONTH(E7),59:59)</f>
        <v>100</v>
      </c>
      <c r="G7" s="523">
        <f>E7</f>
        <v>43626</v>
      </c>
      <c r="H7" s="520">
        <f>SUMIF(58:58,YEAR(G7)&amp;"-"&amp;MONTH(G7),59:59)</f>
        <v>100</v>
      </c>
      <c r="I7" s="523">
        <f>E7</f>
        <v>43626</v>
      </c>
      <c r="J7" s="520">
        <f>SUMIF(58:58,YEAR(I7)&amp;"-"&amp;MONTH(I7),59:59)</f>
        <v>100</v>
      </c>
      <c r="K7" s="855"/>
      <c r="L7" s="2135"/>
      <c r="M7" s="2136"/>
      <c r="N7" s="2136"/>
      <c r="O7" s="2136"/>
      <c r="P7" s="3454" t="s">
        <v>529</v>
      </c>
      <c r="Q7" s="3463"/>
      <c r="R7" s="1567" t="s">
        <v>8</v>
      </c>
      <c r="S7" s="1568">
        <f t="shared" ref="S7:S15" si="0">F7</f>
        <v>100</v>
      </c>
      <c r="T7" s="1567" t="s">
        <v>8</v>
      </c>
      <c r="U7" s="1568">
        <f t="shared" ref="U7:U15" si="1">H7</f>
        <v>100</v>
      </c>
      <c r="V7" s="1567" t="s">
        <v>8</v>
      </c>
      <c r="W7" s="1568">
        <f t="shared" ref="W7:W15" si="2">J7</f>
        <v>100</v>
      </c>
      <c r="X7" s="1569"/>
      <c r="Y7" s="3454" t="s">
        <v>529</v>
      </c>
      <c r="Z7" s="3455"/>
      <c r="AA7" s="1570">
        <f>D7/F7</f>
        <v>1</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4" t="s">
        <v>532</v>
      </c>
      <c r="Q8" s="3455"/>
      <c r="R8" s="1567" t="s">
        <v>8</v>
      </c>
      <c r="S8" s="1568">
        <f t="shared" si="0"/>
        <v>100</v>
      </c>
      <c r="T8" s="1567" t="s">
        <v>8</v>
      </c>
      <c r="U8" s="1568">
        <f t="shared" si="1"/>
        <v>100</v>
      </c>
      <c r="V8" s="1567" t="s">
        <v>8</v>
      </c>
      <c r="W8" s="1568">
        <f t="shared" si="2"/>
        <v>100</v>
      </c>
      <c r="X8" s="1569"/>
      <c r="Y8" s="3454" t="s">
        <v>532</v>
      </c>
      <c r="Z8" s="3455"/>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2" t="s">
        <v>534</v>
      </c>
      <c r="Q9" s="3205" t="str">
        <f t="shared" ref="Q9:Q15" si="6">B9</f>
        <v>用途</v>
      </c>
      <c r="R9" s="1567" t="s">
        <v>8</v>
      </c>
      <c r="S9" s="1568">
        <f t="shared" si="0"/>
        <v>100</v>
      </c>
      <c r="T9" s="1567" t="s">
        <v>8</v>
      </c>
      <c r="U9" s="1568">
        <f t="shared" si="1"/>
        <v>100</v>
      </c>
      <c r="V9" s="1567" t="s">
        <v>8</v>
      </c>
      <c r="W9" s="1568">
        <f t="shared" si="2"/>
        <v>100</v>
      </c>
      <c r="X9" s="1569"/>
      <c r="Y9" s="3419" t="s">
        <v>535</v>
      </c>
      <c r="Z9" s="320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2"/>
      <c r="Q10" s="3205" t="str">
        <f t="shared" si="6"/>
        <v>土地使用年限（年）</v>
      </c>
      <c r="R10" s="1567" t="s">
        <v>8</v>
      </c>
      <c r="S10" s="1568">
        <f t="shared" si="0"/>
        <v>100</v>
      </c>
      <c r="T10" s="1567" t="s">
        <v>8</v>
      </c>
      <c r="U10" s="1568">
        <f t="shared" si="1"/>
        <v>100</v>
      </c>
      <c r="V10" s="1567" t="s">
        <v>8</v>
      </c>
      <c r="W10" s="1568">
        <f t="shared" si="2"/>
        <v>100</v>
      </c>
      <c r="X10" s="1569"/>
      <c r="Y10" s="3419"/>
      <c r="Z10" s="320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1</v>
      </c>
      <c r="F11" s="863">
        <f>LOOKUP(E11,68:68,69:69)-LOOKUP(C11,68:68,69:69)+100</f>
        <v>100</v>
      </c>
      <c r="G11" s="533">
        <v>2.5</v>
      </c>
      <c r="H11" s="255">
        <f>LOOKUP(G11,68:68,69:69)-LOOKUP(C11,68:68,69:69)+100</f>
        <v>99</v>
      </c>
      <c r="I11" s="533">
        <v>1</v>
      </c>
      <c r="J11" s="255">
        <f>LOOKUP(I11,68:68,69:69)-LOOKUP(C11,68:68,69:69)+100</f>
        <v>100</v>
      </c>
      <c r="K11" s="864">
        <v>1</v>
      </c>
      <c r="L11" s="2140"/>
      <c r="M11" s="2134"/>
      <c r="N11" s="2134"/>
      <c r="O11" s="2141"/>
      <c r="P11" s="3462"/>
      <c r="Q11" s="3205" t="str">
        <f t="shared" si="6"/>
        <v>容积率</v>
      </c>
      <c r="R11" s="1567" t="s">
        <v>8</v>
      </c>
      <c r="S11" s="1568">
        <f t="shared" si="0"/>
        <v>100</v>
      </c>
      <c r="T11" s="1567" t="s">
        <v>8</v>
      </c>
      <c r="U11" s="1568">
        <f t="shared" si="1"/>
        <v>99</v>
      </c>
      <c r="V11" s="1567" t="s">
        <v>8</v>
      </c>
      <c r="W11" s="1568">
        <f t="shared" si="2"/>
        <v>100</v>
      </c>
      <c r="X11" s="1569"/>
      <c r="Y11" s="3419"/>
      <c r="Z11" s="3200" t="str">
        <f t="shared" si="7"/>
        <v>容积率</v>
      </c>
      <c r="AA11" s="1570">
        <f t="shared" si="3"/>
        <v>1</v>
      </c>
      <c r="AB11" s="1570">
        <f t="shared" si="4"/>
        <v>1.0101010101010102</v>
      </c>
      <c r="AC11" s="1570">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2"/>
      <c r="Q12" s="3205">
        <f t="shared" si="6"/>
        <v>111</v>
      </c>
      <c r="R12" s="1567" t="s">
        <v>8</v>
      </c>
      <c r="S12" s="1568">
        <f t="shared" si="0"/>
        <v>100</v>
      </c>
      <c r="T12" s="1567" t="s">
        <v>8</v>
      </c>
      <c r="U12" s="1568">
        <f t="shared" si="1"/>
        <v>100</v>
      </c>
      <c r="V12" s="1567" t="s">
        <v>8</v>
      </c>
      <c r="W12" s="1568">
        <f t="shared" si="2"/>
        <v>100</v>
      </c>
      <c r="X12" s="1569"/>
      <c r="Y12" s="3419"/>
      <c r="Z12" s="320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2"/>
      <c r="Q13" s="3205">
        <f t="shared" si="6"/>
        <v>111</v>
      </c>
      <c r="R13" s="1567" t="s">
        <v>8</v>
      </c>
      <c r="S13" s="1568">
        <f t="shared" si="0"/>
        <v>100</v>
      </c>
      <c r="T13" s="1567" t="s">
        <v>8</v>
      </c>
      <c r="U13" s="1568">
        <f t="shared" si="1"/>
        <v>100</v>
      </c>
      <c r="V13" s="1567" t="s">
        <v>8</v>
      </c>
      <c r="W13" s="1568">
        <f t="shared" si="2"/>
        <v>100</v>
      </c>
      <c r="X13" s="1569"/>
      <c r="Y13" s="3419"/>
      <c r="Z13" s="320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2"/>
      <c r="Q14" s="3205">
        <f t="shared" si="6"/>
        <v>111</v>
      </c>
      <c r="R14" s="1567" t="s">
        <v>8</v>
      </c>
      <c r="S14" s="1568">
        <f t="shared" si="0"/>
        <v>100</v>
      </c>
      <c r="T14" s="1567" t="s">
        <v>8</v>
      </c>
      <c r="U14" s="1568">
        <f t="shared" si="1"/>
        <v>100</v>
      </c>
      <c r="V14" s="1567" t="s">
        <v>8</v>
      </c>
      <c r="W14" s="1568">
        <f t="shared" si="2"/>
        <v>100</v>
      </c>
      <c r="X14" s="1569"/>
      <c r="Y14" s="3419"/>
      <c r="Z14" s="3200">
        <f t="shared" si="7"/>
        <v>111</v>
      </c>
      <c r="AA14" s="1570">
        <f t="shared" si="3"/>
        <v>1</v>
      </c>
      <c r="AB14" s="1570">
        <f t="shared" si="4"/>
        <v>1</v>
      </c>
      <c r="AC14" s="1570">
        <f t="shared" si="5"/>
        <v>1</v>
      </c>
    </row>
    <row r="15" spans="1:29" ht="110.4">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3235" t="s">
        <v>3428</v>
      </c>
      <c r="F15" s="551">
        <f>SUMIF(76:76,E16,77:77)-SUMIF(76:76,C16,77:77)+100</f>
        <v>100</v>
      </c>
      <c r="G15" s="552"/>
      <c r="H15" s="549">
        <f>SUMIF(76:76,G16,77:77)-SUMIF(76:76,C16,77:77)+100</f>
        <v>100</v>
      </c>
      <c r="I15" s="3235" t="s">
        <v>3427</v>
      </c>
      <c r="J15" s="549">
        <f>SUMIF(76:76,I16,77:77)-SUMIF(76:76,C16,77:77)+100</f>
        <v>100</v>
      </c>
      <c r="K15" s="868">
        <v>2</v>
      </c>
      <c r="L15" s="2142"/>
      <c r="M15" s="2134"/>
      <c r="N15" s="2134"/>
      <c r="O15" s="2141"/>
      <c r="P15" s="3464" t="s">
        <v>539</v>
      </c>
      <c r="Q15" s="3207" t="str">
        <f t="shared" si="6"/>
        <v>居住社区成熟度</v>
      </c>
      <c r="R15" s="1572" t="s">
        <v>8</v>
      </c>
      <c r="S15" s="1573">
        <f t="shared" si="0"/>
        <v>100</v>
      </c>
      <c r="T15" s="1572" t="s">
        <v>8</v>
      </c>
      <c r="U15" s="1573">
        <f t="shared" si="1"/>
        <v>100</v>
      </c>
      <c r="V15" s="1572" t="s">
        <v>8</v>
      </c>
      <c r="W15" s="1573">
        <f t="shared" si="2"/>
        <v>100</v>
      </c>
      <c r="X15" s="3209"/>
      <c r="Y15" s="3464" t="s">
        <v>539</v>
      </c>
      <c r="Z15" s="3208" t="str">
        <f t="shared" si="7"/>
        <v>居住社区成熟度</v>
      </c>
      <c r="AA15" s="3210">
        <f t="shared" si="3"/>
        <v>1</v>
      </c>
      <c r="AB15" s="3210">
        <f t="shared" si="4"/>
        <v>1</v>
      </c>
      <c r="AC15" s="3210">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5"/>
      <c r="Q16" s="3207"/>
      <c r="R16" s="1572"/>
      <c r="S16" s="1573"/>
      <c r="T16" s="1572"/>
      <c r="U16" s="1573"/>
      <c r="V16" s="1572"/>
      <c r="W16" s="1573"/>
      <c r="X16" s="3209"/>
      <c r="Y16" s="3465"/>
      <c r="Z16" s="3208"/>
      <c r="AA16" s="3210">
        <v>1</v>
      </c>
      <c r="AB16" s="3210">
        <v>1</v>
      </c>
      <c r="AC16" s="3210">
        <v>1</v>
      </c>
    </row>
    <row r="17" spans="1:29" ht="82.8">
      <c r="A17" s="532"/>
      <c r="B17" s="871" t="s">
        <v>295</v>
      </c>
      <c r="C17" s="872" t="str">
        <f>估价对象房地状况!C6</f>
        <v>估价对象周边道路通达状况较好、公共交通通达情况一般、停车较便捷，综合评价交通便捷度一般</v>
      </c>
      <c r="D17" s="559">
        <v>100</v>
      </c>
      <c r="E17" s="562" t="s">
        <v>3419</v>
      </c>
      <c r="F17" s="563">
        <f>SUMIF(78:78,E18,79:79)-SUMIF(78:78,C18,79:79)+100</f>
        <v>102</v>
      </c>
      <c r="G17" s="564" t="s">
        <v>3418</v>
      </c>
      <c r="H17" s="565">
        <f>SUMIF(78:78,G18,79:79)-SUMIF(78:78,C18,79:79)+100</f>
        <v>102</v>
      </c>
      <c r="I17" s="562" t="s">
        <v>3417</v>
      </c>
      <c r="J17" s="565">
        <f>SUMIF(78:78,I18,79:79)-SUMIF(78:78,C18,79:79)+100</f>
        <v>102</v>
      </c>
      <c r="K17" s="868">
        <v>2</v>
      </c>
      <c r="L17" s="2142"/>
      <c r="M17" s="2134"/>
      <c r="N17" s="2134"/>
      <c r="O17" s="2141"/>
      <c r="P17" s="3465"/>
      <c r="Q17" s="3207" t="str">
        <f>B17</f>
        <v>交通便捷度</v>
      </c>
      <c r="R17" s="1572" t="s">
        <v>8</v>
      </c>
      <c r="S17" s="1573">
        <f>F17</f>
        <v>102</v>
      </c>
      <c r="T17" s="1572" t="s">
        <v>8</v>
      </c>
      <c r="U17" s="1573">
        <f>H17</f>
        <v>102</v>
      </c>
      <c r="V17" s="1572" t="s">
        <v>8</v>
      </c>
      <c r="W17" s="1573">
        <f>J17</f>
        <v>102</v>
      </c>
      <c r="X17" s="3209"/>
      <c r="Y17" s="3465"/>
      <c r="Z17" s="3208" t="str">
        <f>Q17</f>
        <v>交通便捷度</v>
      </c>
      <c r="AA17" s="3210">
        <f t="shared" si="3"/>
        <v>0.98039215686274506</v>
      </c>
      <c r="AB17" s="3210">
        <f t="shared" si="4"/>
        <v>0.98039215686274506</v>
      </c>
      <c r="AC17" s="3210">
        <f t="shared" si="5"/>
        <v>0.98039215686274506</v>
      </c>
    </row>
    <row r="18" spans="1:29" ht="15">
      <c r="A18" s="532"/>
      <c r="B18" s="595"/>
      <c r="C18" s="558" t="s">
        <v>3061</v>
      </c>
      <c r="D18" s="559"/>
      <c r="E18" s="558" t="s">
        <v>3033</v>
      </c>
      <c r="F18" s="563"/>
      <c r="G18" s="558" t="s">
        <v>3033</v>
      </c>
      <c r="H18" s="555"/>
      <c r="I18" s="558" t="s">
        <v>3033</v>
      </c>
      <c r="J18" s="555"/>
      <c r="K18" s="870"/>
      <c r="L18" s="2142"/>
      <c r="M18" s="2134"/>
      <c r="N18" s="2134"/>
      <c r="O18" s="2141"/>
      <c r="P18" s="3465"/>
      <c r="Q18" s="3207"/>
      <c r="R18" s="1572"/>
      <c r="S18" s="1573"/>
      <c r="T18" s="1572"/>
      <c r="U18" s="1573"/>
      <c r="V18" s="1572"/>
      <c r="W18" s="1573"/>
      <c r="X18" s="3209"/>
      <c r="Y18" s="3465"/>
      <c r="Z18" s="3208"/>
      <c r="AA18" s="3210">
        <v>1</v>
      </c>
      <c r="AB18" s="3210">
        <v>1</v>
      </c>
      <c r="AC18" s="3210">
        <v>1</v>
      </c>
    </row>
    <row r="19" spans="1:29" ht="86.4">
      <c r="A19" s="532"/>
      <c r="B19" s="2600" t="s">
        <v>2544</v>
      </c>
      <c r="C19" s="872" t="str">
        <f>估价对象房地状况!C7</f>
        <v>估价对象所在区域公共配套设施齐备情况一般</v>
      </c>
      <c r="D19" s="565">
        <v>100</v>
      </c>
      <c r="E19" s="3234" t="s">
        <v>3425</v>
      </c>
      <c r="F19" s="571">
        <f>SUMIF(80:80,E20,81:81)-SUMIF(80:80,C20,81:81)+100</f>
        <v>101.5</v>
      </c>
      <c r="G19" s="3234" t="s">
        <v>3424</v>
      </c>
      <c r="H19" s="559">
        <f>SUMIF(80:80,G20,81:81)-SUMIF(80:80,C20,81:81)+100</f>
        <v>101.5</v>
      </c>
      <c r="I19" s="3234" t="s">
        <v>3426</v>
      </c>
      <c r="J19" s="559">
        <f>SUMIF(80:80,I20,81:81)-SUMIF(80:80,C20,81:81)+100</f>
        <v>97</v>
      </c>
      <c r="K19" s="868">
        <v>1.5</v>
      </c>
      <c r="L19" s="2142"/>
      <c r="M19" s="2134"/>
      <c r="N19" s="2134"/>
      <c r="O19" s="2141"/>
      <c r="P19" s="3465"/>
      <c r="Q19" s="3207" t="str">
        <f>B19</f>
        <v>公共配套设施</v>
      </c>
      <c r="R19" s="1572" t="s">
        <v>8</v>
      </c>
      <c r="S19" s="1573">
        <f>F19</f>
        <v>101.5</v>
      </c>
      <c r="T19" s="1572" t="s">
        <v>8</v>
      </c>
      <c r="U19" s="1573">
        <f>H19</f>
        <v>101.5</v>
      </c>
      <c r="V19" s="1572" t="s">
        <v>8</v>
      </c>
      <c r="W19" s="1573">
        <f>J19</f>
        <v>97</v>
      </c>
      <c r="X19" s="3209"/>
      <c r="Y19" s="3465"/>
      <c r="Z19" s="3208" t="str">
        <f>Q19</f>
        <v>公共配套设施</v>
      </c>
      <c r="AA19" s="3210">
        <f t="shared" si="3"/>
        <v>0.98522167487684731</v>
      </c>
      <c r="AB19" s="3210">
        <f t="shared" si="4"/>
        <v>0.98522167487684731</v>
      </c>
      <c r="AC19" s="3210">
        <f t="shared" si="5"/>
        <v>1.0309278350515463</v>
      </c>
    </row>
    <row r="20" spans="1:29" ht="15">
      <c r="A20" s="532"/>
      <c r="B20" s="595"/>
      <c r="C20" s="558" t="s">
        <v>3061</v>
      </c>
      <c r="D20" s="555"/>
      <c r="E20" s="558" t="s">
        <v>3033</v>
      </c>
      <c r="F20" s="557"/>
      <c r="G20" s="558" t="s">
        <v>3033</v>
      </c>
      <c r="H20" s="555"/>
      <c r="I20" s="558" t="s">
        <v>3436</v>
      </c>
      <c r="J20" s="555"/>
      <c r="K20" s="870"/>
      <c r="L20" s="2142"/>
      <c r="M20" s="2134"/>
      <c r="N20" s="2134"/>
      <c r="O20" s="2141"/>
      <c r="P20" s="3465"/>
      <c r="Q20" s="3207"/>
      <c r="R20" s="1572"/>
      <c r="S20" s="1573"/>
      <c r="T20" s="1572"/>
      <c r="U20" s="1573"/>
      <c r="V20" s="1572"/>
      <c r="W20" s="1573"/>
      <c r="X20" s="3209"/>
      <c r="Y20" s="3465"/>
      <c r="Z20" s="3208"/>
      <c r="AA20" s="3210">
        <v>1</v>
      </c>
      <c r="AB20" s="3210">
        <v>1</v>
      </c>
      <c r="AC20" s="3210">
        <v>1</v>
      </c>
    </row>
    <row r="21" spans="1:29" ht="41.4">
      <c r="A21" s="532"/>
      <c r="B21" s="2593" t="s">
        <v>2545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1</v>
      </c>
      <c r="L21" s="2142"/>
      <c r="M21" s="2134"/>
      <c r="N21" s="2134"/>
      <c r="O21" s="2141"/>
      <c r="P21" s="3465"/>
      <c r="Q21" s="3207" t="str">
        <f>B21</f>
        <v>基础设施水平</v>
      </c>
      <c r="R21" s="1572" t="s">
        <v>8</v>
      </c>
      <c r="S21" s="1573">
        <f>F21</f>
        <v>100</v>
      </c>
      <c r="T21" s="1572" t="s">
        <v>8</v>
      </c>
      <c r="U21" s="1573">
        <f>H21</f>
        <v>100</v>
      </c>
      <c r="V21" s="1572" t="s">
        <v>8</v>
      </c>
      <c r="W21" s="1573">
        <f>J21</f>
        <v>100</v>
      </c>
      <c r="X21" s="3209"/>
      <c r="Y21" s="3465"/>
      <c r="Z21" s="3208" t="str">
        <f>Q21</f>
        <v>基础设施水平</v>
      </c>
      <c r="AA21" s="3210">
        <f t="shared" ref="AA21" si="8">D21/F21</f>
        <v>1</v>
      </c>
      <c r="AB21" s="3210">
        <f t="shared" ref="AB21" si="9">D21/H21</f>
        <v>1</v>
      </c>
      <c r="AC21" s="3210">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5"/>
      <c r="Q22" s="3207"/>
      <c r="R22" s="1572"/>
      <c r="S22" s="1573"/>
      <c r="T22" s="1572"/>
      <c r="U22" s="1573"/>
      <c r="V22" s="1572"/>
      <c r="W22" s="1573"/>
      <c r="X22" s="3209"/>
      <c r="Y22" s="3465"/>
      <c r="Z22" s="3208"/>
      <c r="AA22" s="3210">
        <v>1</v>
      </c>
      <c r="AB22" s="3210">
        <v>1</v>
      </c>
      <c r="AC22" s="3210">
        <v>1</v>
      </c>
    </row>
    <row r="23" spans="1:29" ht="55.2">
      <c r="A23" s="532"/>
      <c r="B23" s="871" t="s">
        <v>296</v>
      </c>
      <c r="C23" s="872" t="str">
        <f>估价对象房地状况!C9</f>
        <v>区域自然环境较好；人文环境一般；综合评价环境状况一般</v>
      </c>
      <c r="D23" s="559">
        <v>100</v>
      </c>
      <c r="E23" s="3193" t="s">
        <v>3423</v>
      </c>
      <c r="F23" s="563">
        <f>SUMIF(84:84,E24,85:85)-SUMIF(84:84,C24,85:85)+100</f>
        <v>102</v>
      </c>
      <c r="G23" s="3192" t="s">
        <v>3421</v>
      </c>
      <c r="H23" s="559">
        <f>SUMIF(84:84,G24,85:85)-SUMIF(84:84,C24,85:85)+100</f>
        <v>102</v>
      </c>
      <c r="I23" s="3193" t="s">
        <v>3422</v>
      </c>
      <c r="J23" s="559">
        <f>SUMIF(84:84,I24,85:85)-SUMIF(84:84,C24,85:85)+100</f>
        <v>102</v>
      </c>
      <c r="K23" s="868">
        <v>2</v>
      </c>
      <c r="L23" s="2142"/>
      <c r="M23" s="2134"/>
      <c r="N23" s="2134"/>
      <c r="O23" s="2141"/>
      <c r="P23" s="3465"/>
      <c r="Q23" s="3207" t="str">
        <f>B23</f>
        <v>自然及人文环境</v>
      </c>
      <c r="R23" s="1572" t="s">
        <v>8</v>
      </c>
      <c r="S23" s="1573">
        <f>F23</f>
        <v>102</v>
      </c>
      <c r="T23" s="1572" t="s">
        <v>8</v>
      </c>
      <c r="U23" s="1573">
        <f>H23</f>
        <v>102</v>
      </c>
      <c r="V23" s="1572" t="s">
        <v>8</v>
      </c>
      <c r="W23" s="1573">
        <f>J23</f>
        <v>102</v>
      </c>
      <c r="X23" s="3209"/>
      <c r="Y23" s="3465"/>
      <c r="Z23" s="3208" t="str">
        <f>Q23</f>
        <v>自然及人文环境</v>
      </c>
      <c r="AA23" s="3210">
        <f t="shared" si="3"/>
        <v>0.98039215686274506</v>
      </c>
      <c r="AB23" s="3210">
        <f t="shared" si="4"/>
        <v>0.98039215686274506</v>
      </c>
      <c r="AC23" s="3210">
        <f t="shared" si="5"/>
        <v>0.98039215686274506</v>
      </c>
    </row>
    <row r="24" spans="1:29" ht="15">
      <c r="A24" s="532"/>
      <c r="B24" s="595"/>
      <c r="C24" s="558" t="s">
        <v>3061</v>
      </c>
      <c r="D24" s="555"/>
      <c r="E24" s="558" t="s">
        <v>3033</v>
      </c>
      <c r="F24" s="557"/>
      <c r="G24" s="558" t="s">
        <v>3033</v>
      </c>
      <c r="H24" s="555"/>
      <c r="I24" s="558" t="s">
        <v>3033</v>
      </c>
      <c r="J24" s="555"/>
      <c r="K24" s="870"/>
      <c r="L24" s="2142"/>
      <c r="M24" s="2134"/>
      <c r="N24" s="2134"/>
      <c r="O24" s="2141"/>
      <c r="P24" s="3465"/>
      <c r="Q24" s="3207"/>
      <c r="R24" s="1572"/>
      <c r="S24" s="1573"/>
      <c r="T24" s="1572"/>
      <c r="U24" s="1573"/>
      <c r="V24" s="1572"/>
      <c r="W24" s="1573"/>
      <c r="X24" s="3209"/>
      <c r="Y24" s="3465"/>
      <c r="Z24" s="3208"/>
      <c r="AA24" s="3210">
        <v>1</v>
      </c>
      <c r="AB24" s="3210">
        <v>1</v>
      </c>
      <c r="AC24" s="3210">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5"/>
      <c r="Q25" s="3207" t="str">
        <f t="shared" ref="Q25:Q46" si="11">B25</f>
        <v>楼层-1</v>
      </c>
      <c r="R25" s="1572" t="s">
        <v>8</v>
      </c>
      <c r="S25" s="1573">
        <f>F25</f>
        <v>100</v>
      </c>
      <c r="T25" s="1572" t="s">
        <v>8</v>
      </c>
      <c r="U25" s="1573">
        <f>H25</f>
        <v>100</v>
      </c>
      <c r="V25" s="1572" t="s">
        <v>8</v>
      </c>
      <c r="W25" s="1573">
        <f>J25</f>
        <v>100</v>
      </c>
      <c r="X25" s="3209"/>
      <c r="Y25" s="3465"/>
      <c r="Z25" s="3208" t="str">
        <f>Q25</f>
        <v>楼层-1</v>
      </c>
      <c r="AA25" s="3210">
        <f t="shared" si="3"/>
        <v>1</v>
      </c>
      <c r="AB25" s="3210">
        <f t="shared" si="4"/>
        <v>1</v>
      </c>
      <c r="AC25" s="3210">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5"/>
      <c r="Q26" s="3207" t="str">
        <f t="shared" si="11"/>
        <v>朝向</v>
      </c>
      <c r="R26" s="1572" t="s">
        <v>8</v>
      </c>
      <c r="S26" s="1573">
        <f>F26</f>
        <v>100</v>
      </c>
      <c r="T26" s="1572" t="s">
        <v>8</v>
      </c>
      <c r="U26" s="1573">
        <f>H26</f>
        <v>100</v>
      </c>
      <c r="V26" s="1572" t="s">
        <v>8</v>
      </c>
      <c r="W26" s="1573">
        <f>J26</f>
        <v>100</v>
      </c>
      <c r="X26" s="3209"/>
      <c r="Y26" s="3465"/>
      <c r="Z26" s="3208" t="str">
        <f>Q26</f>
        <v>朝向</v>
      </c>
      <c r="AA26" s="3210">
        <f t="shared" si="3"/>
        <v>1</v>
      </c>
      <c r="AB26" s="3210">
        <f t="shared" si="4"/>
        <v>1</v>
      </c>
      <c r="AC26" s="3210">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5"/>
      <c r="Q27" s="3205" t="str">
        <f t="shared" si="11"/>
        <v>道路级别</v>
      </c>
      <c r="R27" s="1567" t="s">
        <v>8</v>
      </c>
      <c r="S27" s="1568">
        <f>F27</f>
        <v>100</v>
      </c>
      <c r="T27" s="1567" t="s">
        <v>8</v>
      </c>
      <c r="U27" s="1568">
        <f>H27</f>
        <v>100</v>
      </c>
      <c r="V27" s="1567" t="s">
        <v>8</v>
      </c>
      <c r="W27" s="1568">
        <f>J27</f>
        <v>100</v>
      </c>
      <c r="X27" s="1569"/>
      <c r="Y27" s="3465"/>
      <c r="Z27" s="3200" t="str">
        <f>Q27</f>
        <v>道路级别</v>
      </c>
      <c r="AA27" s="3210">
        <f>D27/F27</f>
        <v>1</v>
      </c>
      <c r="AB27" s="3210">
        <f>D27/H27</f>
        <v>1</v>
      </c>
      <c r="AC27" s="3210">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5"/>
      <c r="Q28" s="3207">
        <f t="shared" si="11"/>
        <v>111</v>
      </c>
      <c r="R28" s="1572" t="s">
        <v>8</v>
      </c>
      <c r="S28" s="1573">
        <f t="shared" ref="S28:S46" si="12">F28</f>
        <v>100</v>
      </c>
      <c r="T28" s="1572" t="s">
        <v>8</v>
      </c>
      <c r="U28" s="1573">
        <f t="shared" ref="U28:U46" si="13">H28</f>
        <v>100</v>
      </c>
      <c r="V28" s="1572" t="s">
        <v>8</v>
      </c>
      <c r="W28" s="1573">
        <f t="shared" ref="W28:W46" si="14">J28</f>
        <v>100</v>
      </c>
      <c r="X28" s="3209"/>
      <c r="Y28" s="3465"/>
      <c r="Z28" s="3208">
        <f t="shared" ref="Z28:Z46" si="15">Q28</f>
        <v>111</v>
      </c>
      <c r="AA28" s="3210">
        <f t="shared" si="3"/>
        <v>1</v>
      </c>
      <c r="AB28" s="3210">
        <f t="shared" si="4"/>
        <v>1</v>
      </c>
      <c r="AC28" s="321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5"/>
      <c r="Q29" s="3207">
        <f t="shared" si="11"/>
        <v>111</v>
      </c>
      <c r="R29" s="1572" t="s">
        <v>8</v>
      </c>
      <c r="S29" s="1573">
        <f t="shared" si="12"/>
        <v>100</v>
      </c>
      <c r="T29" s="1572" t="s">
        <v>8</v>
      </c>
      <c r="U29" s="1573">
        <f t="shared" si="13"/>
        <v>100</v>
      </c>
      <c r="V29" s="1572" t="s">
        <v>8</v>
      </c>
      <c r="W29" s="1573">
        <f t="shared" si="14"/>
        <v>100</v>
      </c>
      <c r="X29" s="3209"/>
      <c r="Y29" s="3465"/>
      <c r="Z29" s="3208">
        <f t="shared" si="15"/>
        <v>111</v>
      </c>
      <c r="AA29" s="3210">
        <f t="shared" si="3"/>
        <v>1</v>
      </c>
      <c r="AB29" s="3210">
        <f t="shared" si="4"/>
        <v>1</v>
      </c>
      <c r="AC29" s="321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5"/>
      <c r="Q30" s="3207">
        <f t="shared" si="11"/>
        <v>111</v>
      </c>
      <c r="R30" s="1572" t="s">
        <v>8</v>
      </c>
      <c r="S30" s="1573">
        <f t="shared" si="12"/>
        <v>100</v>
      </c>
      <c r="T30" s="1572" t="s">
        <v>8</v>
      </c>
      <c r="U30" s="1573">
        <f t="shared" si="13"/>
        <v>100</v>
      </c>
      <c r="V30" s="1572" t="s">
        <v>8</v>
      </c>
      <c r="W30" s="1573">
        <f t="shared" si="14"/>
        <v>100</v>
      </c>
      <c r="X30" s="3209"/>
      <c r="Y30" s="3465"/>
      <c r="Z30" s="3208">
        <f t="shared" si="15"/>
        <v>111</v>
      </c>
      <c r="AA30" s="3210">
        <f t="shared" si="3"/>
        <v>1</v>
      </c>
      <c r="AB30" s="3210">
        <f t="shared" si="4"/>
        <v>1</v>
      </c>
      <c r="AC30" s="3210">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5"/>
      <c r="Q31" s="3207">
        <f t="shared" si="11"/>
        <v>111</v>
      </c>
      <c r="R31" s="1572" t="s">
        <v>8</v>
      </c>
      <c r="S31" s="1573">
        <f t="shared" si="12"/>
        <v>100</v>
      </c>
      <c r="T31" s="1572" t="s">
        <v>8</v>
      </c>
      <c r="U31" s="1573">
        <f t="shared" si="13"/>
        <v>100</v>
      </c>
      <c r="V31" s="1572" t="s">
        <v>8</v>
      </c>
      <c r="W31" s="1573">
        <f t="shared" si="14"/>
        <v>100</v>
      </c>
      <c r="X31" s="3209"/>
      <c r="Y31" s="3465"/>
      <c r="Z31" s="3208">
        <f t="shared" si="15"/>
        <v>111</v>
      </c>
      <c r="AA31" s="3210">
        <f t="shared" si="3"/>
        <v>1</v>
      </c>
      <c r="AB31" s="3210">
        <f t="shared" si="4"/>
        <v>1</v>
      </c>
      <c r="AC31" s="3210">
        <f t="shared" si="5"/>
        <v>1</v>
      </c>
    </row>
    <row r="32" spans="1:29" ht="15">
      <c r="A32" s="2907" t="s">
        <v>2752</v>
      </c>
      <c r="B32" s="172" t="s">
        <v>724</v>
      </c>
      <c r="C32" s="878" t="s">
        <v>3136</v>
      </c>
      <c r="D32" s="597">
        <v>100</v>
      </c>
      <c r="E32" s="878" t="s">
        <v>3136</v>
      </c>
      <c r="F32" s="575">
        <f>SUMIF(100:100,E32,101:101)-SUMIF(100:100,C32,101:101)+100</f>
        <v>100</v>
      </c>
      <c r="G32" s="878" t="s">
        <v>3136</v>
      </c>
      <c r="H32" s="597">
        <f>SUMIF(100:100,G32,101:101)-SUMIF(100:100,C32,101:101)+100</f>
        <v>100</v>
      </c>
      <c r="I32" s="878" t="s">
        <v>3136</v>
      </c>
      <c r="J32" s="540">
        <f>SUMIF(100:100,I32,101:101)-SUMIF(100:100,C32,101:101)+100</f>
        <v>100</v>
      </c>
      <c r="K32" s="864">
        <v>5</v>
      </c>
      <c r="L32" s="2142"/>
      <c r="M32" s="2134"/>
      <c r="N32" s="2134"/>
      <c r="O32" s="2141"/>
      <c r="P32" s="3466" t="s">
        <v>549</v>
      </c>
      <c r="Q32" s="3207" t="str">
        <f t="shared" si="11"/>
        <v>建筑类型</v>
      </c>
      <c r="R32" s="1572" t="s">
        <v>8</v>
      </c>
      <c r="S32" s="1573">
        <f t="shared" si="12"/>
        <v>100</v>
      </c>
      <c r="T32" s="1572" t="s">
        <v>8</v>
      </c>
      <c r="U32" s="1573">
        <f t="shared" si="13"/>
        <v>100</v>
      </c>
      <c r="V32" s="1572" t="s">
        <v>8</v>
      </c>
      <c r="W32" s="1573">
        <f t="shared" si="14"/>
        <v>100</v>
      </c>
      <c r="X32" s="3209"/>
      <c r="Y32" s="3467" t="s">
        <v>549</v>
      </c>
      <c r="Z32" s="3208" t="str">
        <f t="shared" si="15"/>
        <v>建筑类型</v>
      </c>
      <c r="AA32" s="3210">
        <f t="shared" si="3"/>
        <v>1</v>
      </c>
      <c r="AB32" s="3210">
        <f t="shared" si="4"/>
        <v>1</v>
      </c>
      <c r="AC32" s="3210">
        <f t="shared" si="5"/>
        <v>1</v>
      </c>
    </row>
    <row r="33" spans="1:29" s="1339" customFormat="1" ht="15">
      <c r="A33" s="603"/>
      <c r="B33" s="527" t="s">
        <v>725</v>
      </c>
      <c r="C33" s="880">
        <f>'数据-基础表'!B3</f>
        <v>102043.5</v>
      </c>
      <c r="D33" s="255">
        <v>100</v>
      </c>
      <c r="E33" s="534">
        <v>390014</v>
      </c>
      <c r="F33" s="863">
        <f>LOOKUP(E33,103:103,104:104)-LOOKUP(C33,103:103,104:104)+100</f>
        <v>101</v>
      </c>
      <c r="G33" s="533">
        <v>520000</v>
      </c>
      <c r="H33" s="255">
        <f>LOOKUP(G33,103:103,104:104)-LOOKUP(C33,103:103,104:104)+100</f>
        <v>102</v>
      </c>
      <c r="I33" s="534">
        <v>370000</v>
      </c>
      <c r="J33" s="255">
        <f>LOOKUP(I33,103:103,104:104)-LOOKUP(C33,103:103,104:104)+100</f>
        <v>101</v>
      </c>
      <c r="K33" s="865"/>
      <c r="L33" s="2140"/>
      <c r="M33" s="2171"/>
      <c r="N33" s="2171"/>
      <c r="O33" s="2143"/>
      <c r="P33" s="3467"/>
      <c r="Q33" s="1604" t="str">
        <f t="shared" si="11"/>
        <v>项目建筑规模</v>
      </c>
      <c r="R33" s="1576" t="s">
        <v>8</v>
      </c>
      <c r="S33" s="1577">
        <f t="shared" si="12"/>
        <v>101</v>
      </c>
      <c r="T33" s="1576" t="s">
        <v>8</v>
      </c>
      <c r="U33" s="1577">
        <f t="shared" si="13"/>
        <v>102</v>
      </c>
      <c r="V33" s="1576" t="s">
        <v>8</v>
      </c>
      <c r="W33" s="1577">
        <f t="shared" si="14"/>
        <v>101</v>
      </c>
      <c r="X33" s="1578"/>
      <c r="Y33" s="3467"/>
      <c r="Z33" s="1579" t="str">
        <f t="shared" si="15"/>
        <v>项目建筑规模</v>
      </c>
      <c r="AA33" s="3210">
        <f t="shared" si="3"/>
        <v>0.99009900990099009</v>
      </c>
      <c r="AB33" s="3210">
        <f t="shared" si="4"/>
        <v>0.98039215686274506</v>
      </c>
      <c r="AC33" s="3210">
        <f t="shared" si="5"/>
        <v>0.99009900990099009</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7"/>
      <c r="Q34" s="3207" t="str">
        <f t="shared" si="11"/>
        <v>建筑结构</v>
      </c>
      <c r="R34" s="1572" t="s">
        <v>8</v>
      </c>
      <c r="S34" s="1573">
        <f t="shared" si="12"/>
        <v>100</v>
      </c>
      <c r="T34" s="1572" t="s">
        <v>8</v>
      </c>
      <c r="U34" s="1573">
        <f t="shared" si="13"/>
        <v>100</v>
      </c>
      <c r="V34" s="1572" t="s">
        <v>8</v>
      </c>
      <c r="W34" s="1573">
        <f t="shared" si="14"/>
        <v>100</v>
      </c>
      <c r="X34" s="3209"/>
      <c r="Y34" s="3467"/>
      <c r="Z34" s="3208" t="str">
        <f t="shared" si="15"/>
        <v>建筑结构</v>
      </c>
      <c r="AA34" s="3210">
        <f t="shared" si="3"/>
        <v>1</v>
      </c>
      <c r="AB34" s="3210">
        <f t="shared" si="4"/>
        <v>1</v>
      </c>
      <c r="AC34" s="3210">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7"/>
      <c r="Q35" s="3207" t="str">
        <f t="shared" si="11"/>
        <v>建筑品质</v>
      </c>
      <c r="R35" s="1572" t="s">
        <v>8</v>
      </c>
      <c r="S35" s="1573">
        <f t="shared" si="12"/>
        <v>100</v>
      </c>
      <c r="T35" s="1572" t="s">
        <v>8</v>
      </c>
      <c r="U35" s="1573">
        <f t="shared" si="13"/>
        <v>100</v>
      </c>
      <c r="V35" s="1572" t="s">
        <v>8</v>
      </c>
      <c r="W35" s="1573">
        <f t="shared" si="14"/>
        <v>100</v>
      </c>
      <c r="X35" s="3209"/>
      <c r="Y35" s="3467"/>
      <c r="Z35" s="3208" t="str">
        <f t="shared" si="15"/>
        <v>建筑品质</v>
      </c>
      <c r="AA35" s="3210">
        <f t="shared" si="3"/>
        <v>1</v>
      </c>
      <c r="AB35" s="3210">
        <f t="shared" si="4"/>
        <v>1</v>
      </c>
      <c r="AC35" s="3210">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7"/>
      <c r="Q36" s="3207" t="str">
        <f t="shared" si="11"/>
        <v>公共部分装修</v>
      </c>
      <c r="R36" s="1572" t="s">
        <v>8</v>
      </c>
      <c r="S36" s="1573">
        <f t="shared" si="12"/>
        <v>100</v>
      </c>
      <c r="T36" s="1572" t="s">
        <v>8</v>
      </c>
      <c r="U36" s="1573">
        <f t="shared" si="13"/>
        <v>100</v>
      </c>
      <c r="V36" s="1572" t="s">
        <v>8</v>
      </c>
      <c r="W36" s="1573">
        <f t="shared" si="14"/>
        <v>100</v>
      </c>
      <c r="X36" s="3209"/>
      <c r="Y36" s="3467"/>
      <c r="Z36" s="3208" t="str">
        <f t="shared" si="15"/>
        <v>公共部分装修</v>
      </c>
      <c r="AA36" s="3210">
        <f t="shared" si="3"/>
        <v>1</v>
      </c>
      <c r="AB36" s="3210">
        <f t="shared" si="4"/>
        <v>1</v>
      </c>
      <c r="AC36" s="3210">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7"/>
      <c r="Q37" s="3205" t="str">
        <f t="shared" si="11"/>
        <v>成新度</v>
      </c>
      <c r="R37" s="1567" t="s">
        <v>8</v>
      </c>
      <c r="S37" s="1568">
        <f t="shared" si="12"/>
        <v>100</v>
      </c>
      <c r="T37" s="1567" t="s">
        <v>8</v>
      </c>
      <c r="U37" s="1568">
        <f t="shared" si="13"/>
        <v>100</v>
      </c>
      <c r="V37" s="1567" t="s">
        <v>8</v>
      </c>
      <c r="W37" s="1568">
        <f t="shared" si="14"/>
        <v>100</v>
      </c>
      <c r="X37" s="1569"/>
      <c r="Y37" s="3467"/>
      <c r="Z37" s="320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7" t="s">
        <v>549</v>
      </c>
      <c r="Q38" s="3207" t="str">
        <f t="shared" si="11"/>
        <v>物业管理</v>
      </c>
      <c r="R38" s="1572" t="s">
        <v>8</v>
      </c>
      <c r="S38" s="1573">
        <f t="shared" si="12"/>
        <v>100</v>
      </c>
      <c r="T38" s="1572" t="s">
        <v>8</v>
      </c>
      <c r="U38" s="1573">
        <f t="shared" si="13"/>
        <v>100</v>
      </c>
      <c r="V38" s="1572" t="s">
        <v>8</v>
      </c>
      <c r="W38" s="1573">
        <f t="shared" si="14"/>
        <v>100</v>
      </c>
      <c r="X38" s="3209"/>
      <c r="Y38" s="3467" t="s">
        <v>549</v>
      </c>
      <c r="Z38" s="3208" t="str">
        <f t="shared" si="15"/>
        <v>物业管理</v>
      </c>
      <c r="AA38" s="3210">
        <f t="shared" si="3"/>
        <v>1</v>
      </c>
      <c r="AB38" s="3210">
        <f t="shared" si="4"/>
        <v>1</v>
      </c>
      <c r="AC38" s="3210">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7"/>
      <c r="Q39" s="3207" t="str">
        <f t="shared" si="11"/>
        <v>市政基础设施</v>
      </c>
      <c r="R39" s="1572" t="s">
        <v>8</v>
      </c>
      <c r="S39" s="1573">
        <f t="shared" si="12"/>
        <v>100</v>
      </c>
      <c r="T39" s="1572" t="s">
        <v>8</v>
      </c>
      <c r="U39" s="1573">
        <f t="shared" si="13"/>
        <v>100</v>
      </c>
      <c r="V39" s="1572" t="s">
        <v>8</v>
      </c>
      <c r="W39" s="1573">
        <f t="shared" si="14"/>
        <v>100</v>
      </c>
      <c r="X39" s="3209"/>
      <c r="Y39" s="3467"/>
      <c r="Z39" s="3208" t="str">
        <f t="shared" si="15"/>
        <v>市政基础设施</v>
      </c>
      <c r="AA39" s="3210">
        <f t="shared" si="3"/>
        <v>1</v>
      </c>
      <c r="AB39" s="3210">
        <f t="shared" si="4"/>
        <v>1</v>
      </c>
      <c r="AC39" s="3210">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7"/>
      <c r="Q40" s="3207" t="str">
        <f t="shared" si="11"/>
        <v>房型</v>
      </c>
      <c r="R40" s="1572" t="s">
        <v>8</v>
      </c>
      <c r="S40" s="1573">
        <f t="shared" si="12"/>
        <v>100</v>
      </c>
      <c r="T40" s="1572" t="s">
        <v>8</v>
      </c>
      <c r="U40" s="1573">
        <f t="shared" si="13"/>
        <v>100</v>
      </c>
      <c r="V40" s="1572" t="s">
        <v>8</v>
      </c>
      <c r="W40" s="1573">
        <f t="shared" si="14"/>
        <v>100</v>
      </c>
      <c r="X40" s="3209"/>
      <c r="Y40" s="3467"/>
      <c r="Z40" s="3208" t="str">
        <f t="shared" si="15"/>
        <v>房型</v>
      </c>
      <c r="AA40" s="3210">
        <f t="shared" si="3"/>
        <v>1</v>
      </c>
      <c r="AB40" s="3210">
        <f t="shared" si="4"/>
        <v>1</v>
      </c>
      <c r="AC40" s="3210">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7"/>
      <c r="Q41" s="1604" t="str">
        <f t="shared" si="11"/>
        <v>单套/主力户型建筑面积</v>
      </c>
      <c r="R41" s="1576" t="s">
        <v>8</v>
      </c>
      <c r="S41" s="1577">
        <f t="shared" si="12"/>
        <v>100</v>
      </c>
      <c r="T41" s="1576" t="s">
        <v>8</v>
      </c>
      <c r="U41" s="1577">
        <f t="shared" si="13"/>
        <v>100</v>
      </c>
      <c r="V41" s="1576" t="s">
        <v>8</v>
      </c>
      <c r="W41" s="1577">
        <f t="shared" si="14"/>
        <v>100</v>
      </c>
      <c r="X41" s="1578"/>
      <c r="Y41" s="3467"/>
      <c r="Z41" s="1579" t="str">
        <f t="shared" si="15"/>
        <v>单套/主力户型建筑面积</v>
      </c>
      <c r="AA41" s="3210">
        <f t="shared" si="3"/>
        <v>1</v>
      </c>
      <c r="AB41" s="3210">
        <f t="shared" si="4"/>
        <v>1</v>
      </c>
      <c r="AC41" s="3210">
        <f t="shared" si="5"/>
        <v>1</v>
      </c>
    </row>
    <row r="42" spans="1:29" ht="15">
      <c r="A42" s="594"/>
      <c r="B42" s="527" t="s">
        <v>733</v>
      </c>
      <c r="C42" s="599" t="s">
        <v>3053</v>
      </c>
      <c r="D42" s="540">
        <v>100</v>
      </c>
      <c r="E42" s="599" t="s">
        <v>3053</v>
      </c>
      <c r="F42" s="575">
        <f>SUMIF(122:122,E42,123:123)-SUMIF(122:122,C42,123:123)+100</f>
        <v>100</v>
      </c>
      <c r="G42" s="599" t="s">
        <v>3053</v>
      </c>
      <c r="H42" s="540">
        <f>SUMIF(122:122,G42,123:123)-SUMIF(122:122,C42,123:123)+100</f>
        <v>100</v>
      </c>
      <c r="I42" s="599" t="s">
        <v>3053</v>
      </c>
      <c r="J42" s="540">
        <f>SUMIF(122:122,I42,123:123)-SUMIF(122:122,C42,123:123)+100</f>
        <v>100</v>
      </c>
      <c r="K42" s="864">
        <v>3</v>
      </c>
      <c r="L42" s="2142"/>
      <c r="M42" s="2134"/>
      <c r="N42" s="2134"/>
      <c r="O42" s="2141"/>
      <c r="P42" s="3467"/>
      <c r="Q42" s="3207" t="str">
        <f t="shared" si="11"/>
        <v>内部装修</v>
      </c>
      <c r="R42" s="1572" t="s">
        <v>8</v>
      </c>
      <c r="S42" s="1573">
        <f t="shared" si="12"/>
        <v>100</v>
      </c>
      <c r="T42" s="1572" t="s">
        <v>8</v>
      </c>
      <c r="U42" s="1573">
        <f t="shared" si="13"/>
        <v>100</v>
      </c>
      <c r="V42" s="1572" t="s">
        <v>8</v>
      </c>
      <c r="W42" s="1573">
        <f t="shared" si="14"/>
        <v>100</v>
      </c>
      <c r="X42" s="3209"/>
      <c r="Y42" s="3467"/>
      <c r="Z42" s="3208" t="str">
        <f t="shared" si="15"/>
        <v>内部装修</v>
      </c>
      <c r="AA42" s="3210">
        <f t="shared" si="3"/>
        <v>1</v>
      </c>
      <c r="AB42" s="3210">
        <f t="shared" si="4"/>
        <v>1</v>
      </c>
      <c r="AC42" s="3210">
        <f t="shared" si="5"/>
        <v>1</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7"/>
      <c r="Q43" s="3207" t="str">
        <f t="shared" si="11"/>
        <v>内部装修维护情况</v>
      </c>
      <c r="R43" s="1572" t="s">
        <v>8</v>
      </c>
      <c r="S43" s="1573">
        <f t="shared" si="12"/>
        <v>100</v>
      </c>
      <c r="T43" s="1572" t="s">
        <v>8</v>
      </c>
      <c r="U43" s="1573">
        <f t="shared" si="13"/>
        <v>100</v>
      </c>
      <c r="V43" s="1572" t="s">
        <v>8</v>
      </c>
      <c r="W43" s="1573">
        <f t="shared" si="14"/>
        <v>100</v>
      </c>
      <c r="X43" s="3209"/>
      <c r="Y43" s="3467"/>
      <c r="Z43" s="3208" t="str">
        <f t="shared" si="15"/>
        <v>内部装修维护情况</v>
      </c>
      <c r="AA43" s="3210">
        <f t="shared" si="3"/>
        <v>1</v>
      </c>
      <c r="AB43" s="3210">
        <f t="shared" si="4"/>
        <v>1</v>
      </c>
      <c r="AC43" s="3210">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7"/>
      <c r="Q44" s="3205" t="str">
        <f t="shared" si="11"/>
        <v>特殊修正</v>
      </c>
      <c r="R44" s="1567" t="s">
        <v>8</v>
      </c>
      <c r="S44" s="1568">
        <f t="shared" si="12"/>
        <v>100</v>
      </c>
      <c r="T44" s="1567" t="s">
        <v>8</v>
      </c>
      <c r="U44" s="1568">
        <f t="shared" si="13"/>
        <v>100</v>
      </c>
      <c r="V44" s="1567" t="s">
        <v>8</v>
      </c>
      <c r="W44" s="1568">
        <f t="shared" si="14"/>
        <v>100</v>
      </c>
      <c r="X44" s="1569"/>
      <c r="Y44" s="3467"/>
      <c r="Z44" s="320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7"/>
      <c r="Q45" s="3207">
        <f t="shared" si="11"/>
        <v>111</v>
      </c>
      <c r="R45" s="1572" t="s">
        <v>8</v>
      </c>
      <c r="S45" s="1573">
        <f t="shared" si="12"/>
        <v>100</v>
      </c>
      <c r="T45" s="1572" t="s">
        <v>8</v>
      </c>
      <c r="U45" s="1573">
        <f t="shared" si="13"/>
        <v>100</v>
      </c>
      <c r="V45" s="1572" t="s">
        <v>8</v>
      </c>
      <c r="W45" s="1573">
        <f t="shared" si="14"/>
        <v>100</v>
      </c>
      <c r="X45" s="3209"/>
      <c r="Y45" s="3467"/>
      <c r="Z45" s="3208">
        <f t="shared" si="15"/>
        <v>111</v>
      </c>
      <c r="AA45" s="3210">
        <f t="shared" si="3"/>
        <v>1</v>
      </c>
      <c r="AB45" s="3210">
        <f t="shared" si="4"/>
        <v>1</v>
      </c>
      <c r="AC45" s="3210">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3207">
        <f t="shared" si="11"/>
        <v>111</v>
      </c>
      <c r="R46" s="1572" t="s">
        <v>8</v>
      </c>
      <c r="S46" s="1573">
        <f t="shared" si="12"/>
        <v>100</v>
      </c>
      <c r="T46" s="1572" t="s">
        <v>8</v>
      </c>
      <c r="U46" s="1573">
        <f t="shared" si="13"/>
        <v>100</v>
      </c>
      <c r="V46" s="1572" t="s">
        <v>8</v>
      </c>
      <c r="W46" s="1573">
        <f t="shared" si="14"/>
        <v>100</v>
      </c>
      <c r="X46" s="3209"/>
      <c r="Y46" s="3547"/>
      <c r="Z46" s="3208">
        <f t="shared" si="15"/>
        <v>111</v>
      </c>
      <c r="AA46" s="3210">
        <f t="shared" si="3"/>
        <v>1</v>
      </c>
      <c r="AB46" s="3210">
        <f t="shared" si="4"/>
        <v>1</v>
      </c>
      <c r="AC46" s="3210">
        <f t="shared" si="5"/>
        <v>1</v>
      </c>
    </row>
    <row r="47" spans="1:29" ht="14.4">
      <c r="A47" s="607" t="s">
        <v>735</v>
      </c>
      <c r="B47" s="887"/>
      <c r="C47" s="2627" t="s">
        <v>1</v>
      </c>
      <c r="D47" s="2628"/>
      <c r="E47" s="2629">
        <v>10527</v>
      </c>
      <c r="F47" s="2630"/>
      <c r="G47" s="2631">
        <v>12000</v>
      </c>
      <c r="H47" s="2632"/>
      <c r="I47" s="2629">
        <v>12000</v>
      </c>
      <c r="J47" s="2632"/>
      <c r="K47" s="1605"/>
      <c r="L47" s="2144"/>
      <c r="M47" s="2145"/>
      <c r="N47" s="2134"/>
      <c r="O47" s="2145"/>
      <c r="P47" s="3462" t="str">
        <f>A47</f>
        <v>成交单价（元/平方米）</v>
      </c>
      <c r="Q47" s="3462"/>
      <c r="R47" s="3548">
        <f>E47</f>
        <v>10527</v>
      </c>
      <c r="S47" s="3548"/>
      <c r="T47" s="3548">
        <f>G47</f>
        <v>12000</v>
      </c>
      <c r="U47" s="3548"/>
      <c r="V47" s="3548">
        <f>I47</f>
        <v>12000</v>
      </c>
      <c r="W47" s="3548"/>
      <c r="X47" s="1558"/>
      <c r="Y47" s="1580"/>
      <c r="Z47" s="1558"/>
      <c r="AA47" s="1558"/>
      <c r="AB47" s="1558"/>
      <c r="AC47" s="1558"/>
    </row>
    <row r="48" spans="1:29" ht="15" thickBot="1">
      <c r="A48" s="615" t="s">
        <v>2690</v>
      </c>
      <c r="B48" s="888"/>
      <c r="C48" s="2633">
        <f>R49</f>
        <v>10942</v>
      </c>
      <c r="D48" s="2634"/>
      <c r="E48" s="2635">
        <f>R48</f>
        <v>9870</v>
      </c>
      <c r="F48" s="2635"/>
      <c r="G48" s="2633">
        <f>T48</f>
        <v>11253</v>
      </c>
      <c r="H48" s="2634"/>
      <c r="I48" s="2635">
        <f>V48</f>
        <v>11773</v>
      </c>
      <c r="J48" s="2634"/>
      <c r="K48" s="1606"/>
      <c r="L48" s="2144"/>
      <c r="M48" s="2145"/>
      <c r="N48" s="2145"/>
      <c r="O48" s="2145"/>
      <c r="P48" s="3462" t="str">
        <f>A48</f>
        <v>比较价格（元/平方米）</v>
      </c>
      <c r="Q48" s="3462"/>
      <c r="R48" s="3548">
        <f>IF(F1="售价",ROUND(PRODUCT(R47,AA7:AA46),0),ROUND(PRODUCT(R47,AA7:AA46),1))</f>
        <v>9870</v>
      </c>
      <c r="S48" s="3548"/>
      <c r="T48" s="3548">
        <f>IF(F1="售价",ROUND(PRODUCT(T47,AB7:AB46),0),ROUND(PRODUCT(T47,AB7:AB46),1))</f>
        <v>11253</v>
      </c>
      <c r="U48" s="3548"/>
      <c r="V48" s="3548">
        <f>IF(F1="售价",ROUND(PRODUCT(V47,AC7:AC46),0),ROUND(PRODUCT(V47,AC7:AC46),1))</f>
        <v>11773</v>
      </c>
      <c r="W48" s="3548"/>
      <c r="X48" s="1558"/>
      <c r="Y48" s="1558"/>
      <c r="Z48" s="1558"/>
      <c r="AA48" s="1558"/>
      <c r="AB48" s="1558"/>
      <c r="AC48" s="1558"/>
    </row>
    <row r="49" spans="1:29" ht="15" thickBot="1">
      <c r="A49" s="621" t="s">
        <v>2930</v>
      </c>
      <c r="B49" s="622"/>
      <c r="C49" s="2636">
        <f>R49</f>
        <v>10942</v>
      </c>
      <c r="D49" s="2636"/>
      <c r="E49" s="2636"/>
      <c r="F49" s="2636"/>
      <c r="G49" s="2636"/>
      <c r="H49" s="2636"/>
      <c r="I49" s="2636"/>
      <c r="J49" s="2636"/>
      <c r="K49" s="1607"/>
      <c r="L49" s="2144"/>
      <c r="M49" s="2145"/>
      <c r="N49" s="2145"/>
      <c r="O49" s="2145"/>
      <c r="P49" s="3485" t="str">
        <f>A49</f>
        <v>估价对象XX用房的比较价格（楼面单价，元/平方米）</v>
      </c>
      <c r="Q49" s="3486"/>
      <c r="R49" s="3549">
        <f>ROUND(R48*R50+T48*T50+V48*V50,0)</f>
        <v>10942</v>
      </c>
      <c r="S49" s="3549"/>
      <c r="T49" s="3549"/>
      <c r="U49" s="3549"/>
      <c r="V49" s="3549"/>
      <c r="W49" s="3549"/>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6.6565349544073005E-2</v>
      </c>
      <c r="F52" s="627" t="str">
        <f>IF(OR(E52&gt;=0.3,E52&lt;=-0.3),"超过30%","")</f>
        <v/>
      </c>
      <c r="G52" s="626">
        <f>IF(G47&lt;G48,G48/G47-1,G47/G48-1)</f>
        <v>6.6382298053852207E-2</v>
      </c>
      <c r="H52" s="627" t="str">
        <f>IF(OR(G52&gt;=0.3,G52&lt;=-0.3),"超过30%","")</f>
        <v/>
      </c>
      <c r="I52" s="626">
        <f>IF(I47&lt;I48,I48/I47-1,I47/I48-1)</f>
        <v>1.9281406608341101E-2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0.14012158054711255</v>
      </c>
      <c r="F53" s="627" t="str">
        <f>IF(OR(E53&gt;=0.2,E53&lt;=-0.2),"超过20%","")</f>
        <v/>
      </c>
      <c r="G53" s="626">
        <f>IF(G48&lt;I48,I48/G48-1,G48/I48-1)</f>
        <v>4.620989958233368E-2</v>
      </c>
      <c r="H53" s="627" t="str">
        <f>IF(OR(G53&gt;=0.2,G53&lt;=-0.2),"超过20%","")</f>
        <v/>
      </c>
      <c r="I53" s="626">
        <f>IF(I48&lt;E48,E48/I48-1,I48/E48-1)</f>
        <v>0.1928064842958459</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0.13992590481618694</v>
      </c>
      <c r="F54" s="627" t="str">
        <f>IF(OR(E54&gt;=0.3,E54&lt;=-0.3),"超过30%","")</f>
        <v/>
      </c>
      <c r="G54" s="626">
        <f>IF(G47&lt;I47,I47/G47-1,G47/I47-1)</f>
        <v>0</v>
      </c>
      <c r="H54" s="627" t="str">
        <f>IF(OR(G54&gt;=0.3,G54&lt;=-0.3),"超过30%","")</f>
        <v/>
      </c>
      <c r="I54" s="626">
        <f>IF(I47&lt;E47,E47/I47-1,I47/E47-1)</f>
        <v>0.13992590481618694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2317</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98.5</v>
      </c>
      <c r="E81" s="679">
        <f>D81-$K19</f>
        <v>97</v>
      </c>
      <c r="F81" s="679">
        <f>E81-$K19</f>
        <v>95.5</v>
      </c>
      <c r="G81" s="679">
        <f>F81-$K19</f>
        <v>94</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2545</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3138</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f>C103+200000</f>
        <v>200000</v>
      </c>
      <c r="E103" s="730">
        <f t="shared" ref="E103:I103" si="24">D103+200000</f>
        <v>400000</v>
      </c>
      <c r="F103" s="730">
        <f t="shared" si="24"/>
        <v>600000</v>
      </c>
      <c r="G103" s="730">
        <f t="shared" si="24"/>
        <v>800000</v>
      </c>
      <c r="H103" s="730">
        <f t="shared" si="24"/>
        <v>1000000</v>
      </c>
      <c r="I103" s="730">
        <f t="shared" si="24"/>
        <v>1200000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5">C106-$K34</f>
        <v>99</v>
      </c>
      <c r="E106" s="679">
        <f t="shared" si="25"/>
        <v>98</v>
      </c>
      <c r="F106" s="679">
        <f t="shared" si="25"/>
        <v>97</v>
      </c>
      <c r="G106" s="679">
        <f t="shared" si="25"/>
        <v>96</v>
      </c>
      <c r="H106" s="679">
        <f t="shared" si="25"/>
        <v>95</v>
      </c>
      <c r="I106" s="679">
        <f t="shared" si="25"/>
        <v>94</v>
      </c>
      <c r="J106" s="679">
        <f t="shared" si="25"/>
        <v>93</v>
      </c>
      <c r="K106" s="679">
        <f t="shared" si="25"/>
        <v>92</v>
      </c>
      <c r="L106" s="679">
        <f t="shared" si="25"/>
        <v>91</v>
      </c>
      <c r="M106" s="679">
        <f t="shared" si="25"/>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6">C108-$K35</f>
        <v>97</v>
      </c>
      <c r="E108" s="679">
        <f t="shared" si="26"/>
        <v>94</v>
      </c>
      <c r="F108" s="679">
        <f t="shared" si="26"/>
        <v>91</v>
      </c>
      <c r="G108" s="679">
        <f t="shared" si="26"/>
        <v>88</v>
      </c>
      <c r="H108" s="679">
        <f t="shared" si="26"/>
        <v>85</v>
      </c>
      <c r="I108" s="679">
        <f t="shared" si="26"/>
        <v>82</v>
      </c>
      <c r="J108" s="679">
        <f t="shared" si="26"/>
        <v>79</v>
      </c>
      <c r="K108" s="679">
        <f t="shared" si="26"/>
        <v>76</v>
      </c>
      <c r="L108" s="679">
        <f t="shared" si="26"/>
        <v>73</v>
      </c>
      <c r="M108" s="679">
        <f t="shared" si="26"/>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7">C110-$K36</f>
        <v>97</v>
      </c>
      <c r="E110" s="679">
        <f t="shared" si="27"/>
        <v>94</v>
      </c>
      <c r="F110" s="679">
        <f t="shared" si="27"/>
        <v>91</v>
      </c>
      <c r="G110" s="679">
        <f t="shared" si="27"/>
        <v>88</v>
      </c>
      <c r="H110" s="679">
        <f t="shared" si="27"/>
        <v>85</v>
      </c>
      <c r="I110" s="679">
        <f t="shared" si="27"/>
        <v>82</v>
      </c>
      <c r="J110" s="679">
        <f t="shared" si="27"/>
        <v>79</v>
      </c>
      <c r="K110" s="679">
        <f t="shared" si="27"/>
        <v>76</v>
      </c>
      <c r="L110" s="679">
        <f t="shared" si="27"/>
        <v>73</v>
      </c>
      <c r="M110" s="679">
        <f t="shared" si="27"/>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8">C115-$K38</f>
        <v>97</v>
      </c>
      <c r="E115" s="679">
        <f t="shared" si="28"/>
        <v>94</v>
      </c>
      <c r="F115" s="679">
        <f t="shared" si="28"/>
        <v>91</v>
      </c>
      <c r="G115" s="679">
        <f t="shared" si="28"/>
        <v>88</v>
      </c>
      <c r="H115" s="679">
        <f t="shared" si="28"/>
        <v>85</v>
      </c>
      <c r="I115" s="679">
        <f t="shared" si="28"/>
        <v>82</v>
      </c>
      <c r="J115" s="679">
        <f t="shared" si="28"/>
        <v>79</v>
      </c>
      <c r="K115" s="679">
        <f t="shared" si="28"/>
        <v>76</v>
      </c>
      <c r="L115" s="679">
        <f t="shared" si="28"/>
        <v>73</v>
      </c>
      <c r="M115" s="679">
        <f t="shared" si="28"/>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2557</v>
      </c>
      <c r="D116" s="3182" t="s">
        <v>2558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30">C123-$K42</f>
        <v>97</v>
      </c>
      <c r="E123" s="679">
        <f t="shared" si="30"/>
        <v>94</v>
      </c>
      <c r="F123" s="679">
        <f t="shared" si="30"/>
        <v>91</v>
      </c>
      <c r="G123" s="679">
        <f t="shared" si="30"/>
        <v>88</v>
      </c>
      <c r="H123" s="679">
        <f t="shared" si="30"/>
        <v>85</v>
      </c>
      <c r="I123" s="679">
        <f t="shared" si="30"/>
        <v>82</v>
      </c>
      <c r="J123" s="679">
        <f t="shared" si="30"/>
        <v>79</v>
      </c>
      <c r="K123" s="679">
        <f t="shared" si="30"/>
        <v>76</v>
      </c>
      <c r="L123" s="679">
        <f t="shared" si="30"/>
        <v>73</v>
      </c>
      <c r="M123" s="679">
        <f t="shared" si="30"/>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2263</v>
      </c>
      <c r="H138" s="1928" t="s">
        <v>2264</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2270</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G22 E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C42 E42 G42 I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C38 E38 G38 I38">
      <formula1>住宅物业管理</formula1>
    </dataValidation>
    <dataValidation type="list" allowBlank="1" showInputMessage="1" showErrorMessage="1" sqref="E36 G36 I36 C36">
      <formula1>住宅公共部分装修</formula1>
    </dataValidation>
    <dataValidation type="list" allowBlank="1" showInputMessage="1" showErrorMessage="1" sqref="C35 E35 G35 I35">
      <formula1>住宅建筑品质</formula1>
    </dataValidation>
    <dataValidation type="list" allowBlank="1" showInputMessage="1" showErrorMessage="1" sqref="E34 G34 I34 C34">
      <formula1>住宅建筑结构</formula1>
    </dataValidation>
    <dataValidation type="list" allowBlank="1" showInputMessage="1" showErrorMessage="1" sqref="C32 E32 G32 I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E20 I20 G20">
      <formula1>公共配套设施</formula1>
    </dataValidation>
    <dataValidation type="list" allowBlank="1" showInputMessage="1" showErrorMessage="1" sqref="C18 E18 G18 I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L11" sqref="L11"/>
    </sheetView>
  </sheetViews>
  <sheetFormatPr defaultColWidth="9" defaultRowHeight="13.8"/>
  <cols>
    <col min="1" max="1" width="10.44140625" style="1337" customWidth="1"/>
    <col min="2" max="2" width="15.77734375" style="1337" customWidth="1"/>
    <col min="3" max="3" width="15.109375" style="1337" customWidth="1"/>
    <col min="4" max="4" width="12.21875" style="1337" customWidth="1"/>
    <col min="5" max="5" width="16.77734375" style="1337" customWidth="1"/>
    <col min="6" max="6" width="12.21875" style="1337" customWidth="1"/>
    <col min="7" max="7" width="16.88671875" style="1337" customWidth="1"/>
    <col min="8" max="8" width="12.21875" style="1337" customWidth="1"/>
    <col min="9" max="9" width="16.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2623" t="s">
        <v>718</v>
      </c>
      <c r="C1" s="2624" t="s">
        <v>719</v>
      </c>
      <c r="D1" s="2625" t="s">
        <v>3137</v>
      </c>
      <c r="E1" s="2626"/>
      <c r="F1" s="2807" t="s">
        <v>3039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2"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2" customFormat="1" ht="28.5" customHeight="1" thickBot="1">
      <c r="A3" s="509" t="s">
        <v>518</v>
      </c>
      <c r="B3" s="851">
        <f>C49</f>
        <v>6364</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4.4">
      <c r="A4" s="512" t="s">
        <v>520</v>
      </c>
      <c r="B4" s="513"/>
      <c r="C4" s="3468" t="s">
        <v>521</v>
      </c>
      <c r="D4" s="3469"/>
      <c r="E4" s="3499" t="s">
        <v>522</v>
      </c>
      <c r="F4" s="3500"/>
      <c r="G4" s="3468" t="s">
        <v>523</v>
      </c>
      <c r="H4" s="3469"/>
      <c r="I4" s="3468" t="s">
        <v>524</v>
      </c>
      <c r="J4" s="3469"/>
      <c r="K4" s="853"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51" t="s">
        <v>523</v>
      </c>
      <c r="AC4" s="3451" t="s">
        <v>524</v>
      </c>
    </row>
    <row r="5" spans="1:29">
      <c r="A5" s="515"/>
      <c r="B5" s="516"/>
      <c r="C5" s="3481" t="s">
        <v>3085</v>
      </c>
      <c r="D5" s="3480"/>
      <c r="E5" s="3545" t="s">
        <v>3087</v>
      </c>
      <c r="F5" s="3502"/>
      <c r="G5" s="3481" t="s">
        <v>3092</v>
      </c>
      <c r="H5" s="3480"/>
      <c r="I5" s="3481" t="s">
        <v>3091</v>
      </c>
      <c r="J5" s="3480"/>
      <c r="K5" s="85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546" t="s">
        <v>3086</v>
      </c>
      <c r="D6" s="3478"/>
      <c r="E6" s="3550" t="s">
        <v>3088</v>
      </c>
      <c r="F6" s="3504"/>
      <c r="G6" s="3546" t="s">
        <v>3093</v>
      </c>
      <c r="H6" s="3478"/>
      <c r="I6" s="3546" t="str">
        <f>G6</f>
        <v>永川区</v>
      </c>
      <c r="J6" s="3478"/>
      <c r="K6" s="85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v>43374</v>
      </c>
      <c r="F7" s="522">
        <f>SUMIF(58:58,YEAR(E7)&amp;"-"&amp;MONTH(E7),59:59)</f>
        <v>99</v>
      </c>
      <c r="G7" s="523">
        <f>C7</f>
        <v>43626</v>
      </c>
      <c r="H7" s="520">
        <f>SUMIF(58:58,YEAR(G7)&amp;"-"&amp;MONTH(G7),59:59)</f>
        <v>100</v>
      </c>
      <c r="I7" s="523">
        <f>C7</f>
        <v>43626</v>
      </c>
      <c r="J7" s="520">
        <f>SUMIF(58:58,YEAR(I7)&amp;"-"&amp;MONTH(I7),59:59)</f>
        <v>100</v>
      </c>
      <c r="K7" s="855"/>
      <c r="L7" s="2135"/>
      <c r="M7" s="2136"/>
      <c r="N7" s="2136"/>
      <c r="O7" s="2136"/>
      <c r="P7" s="3454" t="s">
        <v>529</v>
      </c>
      <c r="Q7" s="3463"/>
      <c r="R7" s="1567" t="s">
        <v>13</v>
      </c>
      <c r="S7" s="1568">
        <f t="shared" ref="S7:S15" si="0">F7</f>
        <v>99</v>
      </c>
      <c r="T7" s="1567" t="s">
        <v>13</v>
      </c>
      <c r="U7" s="1568">
        <f t="shared" ref="U7:U15" si="1">H7</f>
        <v>100</v>
      </c>
      <c r="V7" s="1567" t="s">
        <v>13</v>
      </c>
      <c r="W7" s="1568">
        <f t="shared" ref="W7:W15" si="2">J7</f>
        <v>100</v>
      </c>
      <c r="X7" s="1569"/>
      <c r="Y7" s="3454" t="s">
        <v>529</v>
      </c>
      <c r="Z7" s="3455"/>
      <c r="AA7" s="1570">
        <f>D7/F7</f>
        <v>1.0101010101010102</v>
      </c>
      <c r="AB7" s="1570">
        <f>D7/H7</f>
        <v>1</v>
      </c>
      <c r="AC7" s="1570">
        <f>D7/J7</f>
        <v>1</v>
      </c>
    </row>
    <row r="8" spans="1:29" s="1220" customFormat="1" ht="15" thickBot="1">
      <c r="A8" s="2913"/>
      <c r="B8" s="2920" t="s">
        <v>530</v>
      </c>
      <c r="C8" s="525" t="s">
        <v>575</v>
      </c>
      <c r="D8" s="520">
        <v>100</v>
      </c>
      <c r="E8" s="856" t="s">
        <v>3008</v>
      </c>
      <c r="F8" s="522">
        <f>SUMIF(61:61,E8,62:62)-SUMIF(61:61,C8,62:62)+100</f>
        <v>100</v>
      </c>
      <c r="G8" s="525" t="s">
        <v>3008</v>
      </c>
      <c r="H8" s="520">
        <f>SUMIF(61:61,G8,62:62)-SUMIF(61:61,C8,62:62)+100</f>
        <v>100</v>
      </c>
      <c r="I8" s="856" t="s">
        <v>3008</v>
      </c>
      <c r="J8" s="520">
        <f>SUMIF(61:61,I8,62:62)-SUMIF(61:61,C8,62:62)+100</f>
        <v>100</v>
      </c>
      <c r="K8" s="855"/>
      <c r="L8" s="2135"/>
      <c r="M8" s="2136"/>
      <c r="N8" s="2136"/>
      <c r="O8" s="2136"/>
      <c r="P8" s="3454" t="s">
        <v>532</v>
      </c>
      <c r="Q8" s="3455"/>
      <c r="R8" s="1567" t="s">
        <v>13</v>
      </c>
      <c r="S8" s="1568">
        <f t="shared" si="0"/>
        <v>100</v>
      </c>
      <c r="T8" s="1567" t="s">
        <v>13</v>
      </c>
      <c r="U8" s="1568">
        <f t="shared" si="1"/>
        <v>100</v>
      </c>
      <c r="V8" s="1567" t="s">
        <v>13</v>
      </c>
      <c r="W8" s="1568">
        <f t="shared" si="2"/>
        <v>100</v>
      </c>
      <c r="X8" s="1569"/>
      <c r="Y8" s="3454" t="s">
        <v>532</v>
      </c>
      <c r="Z8" s="3455"/>
      <c r="AA8" s="1570">
        <f t="shared" ref="AA8:AA46" si="3">D8/F8</f>
        <v>1</v>
      </c>
      <c r="AB8" s="1570">
        <f t="shared" ref="AB8:AB46" si="4">D8/H8</f>
        <v>1</v>
      </c>
      <c r="AC8" s="1570">
        <f t="shared" ref="AC8:AC46" si="5">D8/J8</f>
        <v>1</v>
      </c>
    </row>
    <row r="9" spans="1:29" s="1220" customFormat="1" ht="14.4">
      <c r="A9" s="2914"/>
      <c r="B9" s="2921" t="s">
        <v>2753</v>
      </c>
      <c r="C9" s="3185" t="s">
        <v>3043</v>
      </c>
      <c r="D9" s="254">
        <v>100</v>
      </c>
      <c r="E9" s="3186" t="s">
        <v>3043</v>
      </c>
      <c r="F9" s="859">
        <f>SUMIF(63:63,E9,64:64)-SUMIF(63:63,C9,64:64)+100</f>
        <v>100</v>
      </c>
      <c r="G9" s="3187" t="s">
        <v>3043</v>
      </c>
      <c r="H9" s="254">
        <f>SUMIF(63:63,G9,64:64)-SUMIF(63:63,C9,64:64)+100</f>
        <v>100</v>
      </c>
      <c r="I9" s="3187" t="s">
        <v>3043</v>
      </c>
      <c r="J9" s="254">
        <f>SUMIF(63:63,I9,64:64)-SUMIF(63:63,C9,64:64)+100</f>
        <v>100</v>
      </c>
      <c r="K9" s="855"/>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t="s">
        <v>3074</v>
      </c>
      <c r="D10" s="255">
        <v>100</v>
      </c>
      <c r="E10" s="862" t="s">
        <v>3074</v>
      </c>
      <c r="F10" s="863">
        <f>SUMIF(65:65,E10,66:66)-SUMIF(65:65,C10,66:66)+100</f>
        <v>100</v>
      </c>
      <c r="G10" s="861" t="s">
        <v>3074</v>
      </c>
      <c r="H10" s="255">
        <f>SUMIF(65:65,G10,66:66)-SUMIF(65:65,C10,66:66)+100</f>
        <v>100</v>
      </c>
      <c r="I10" s="861" t="s">
        <v>3074</v>
      </c>
      <c r="J10" s="255">
        <f>SUMIF(65:65,I10,66:66)-SUMIF(65:65,C10,66:66)+100</f>
        <v>100</v>
      </c>
      <c r="K10" s="864">
        <v>2</v>
      </c>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3198">
        <f>'数据-汇总表'!I6</f>
        <v>1.5</v>
      </c>
      <c r="D11" s="255">
        <v>100</v>
      </c>
      <c r="E11" s="534">
        <v>2</v>
      </c>
      <c r="F11" s="863">
        <f>LOOKUP(E11,68:68,69:69)-LOOKUP(C11,68:68,69:69)+100</f>
        <v>99.5</v>
      </c>
      <c r="G11" s="533">
        <v>3.11</v>
      </c>
      <c r="H11" s="255">
        <f>LOOKUP(G11,68:68,69:69)-LOOKUP(C11,68:68,69:69)+100</f>
        <v>99</v>
      </c>
      <c r="I11" s="533">
        <v>2</v>
      </c>
      <c r="J11" s="255">
        <f>LOOKUP(I11,68:68,69:69)-LOOKUP(C11,68:68,69:69)+100</f>
        <v>99.5</v>
      </c>
      <c r="K11" s="864">
        <v>0.5</v>
      </c>
      <c r="L11" s="2140"/>
      <c r="M11" s="2134"/>
      <c r="N11" s="2134"/>
      <c r="O11" s="2141"/>
      <c r="P11" s="3462"/>
      <c r="Q11" s="1151" t="str">
        <f t="shared" si="6"/>
        <v>容积率</v>
      </c>
      <c r="R11" s="1567" t="s">
        <v>11</v>
      </c>
      <c r="S11" s="1568">
        <f t="shared" si="0"/>
        <v>99.5</v>
      </c>
      <c r="T11" s="1567" t="s">
        <v>11</v>
      </c>
      <c r="U11" s="1568">
        <f t="shared" si="1"/>
        <v>99</v>
      </c>
      <c r="V11" s="1567" t="s">
        <v>11</v>
      </c>
      <c r="W11" s="1568">
        <f t="shared" si="2"/>
        <v>99.5</v>
      </c>
      <c r="X11" s="1569"/>
      <c r="Y11" s="3419"/>
      <c r="Z11" s="1150" t="str">
        <f t="shared" si="7"/>
        <v>容积率</v>
      </c>
      <c r="AA11" s="1570">
        <f t="shared" si="3"/>
        <v>1.0050251256281406</v>
      </c>
      <c r="AB11" s="1570">
        <f t="shared" si="4"/>
        <v>1.0101010101010102</v>
      </c>
      <c r="AC11" s="1570">
        <f t="shared" si="5"/>
        <v>1.0050251256281406</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62"/>
      <c r="Q12" s="1151">
        <f t="shared" si="6"/>
        <v>111</v>
      </c>
      <c r="R12" s="1567" t="s">
        <v>11</v>
      </c>
      <c r="S12" s="1568">
        <f t="shared" si="0"/>
        <v>100</v>
      </c>
      <c r="T12" s="1567" t="s">
        <v>11</v>
      </c>
      <c r="U12" s="1568">
        <f t="shared" si="1"/>
        <v>100</v>
      </c>
      <c r="V12" s="1567" t="s">
        <v>11</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62"/>
      <c r="Q13" s="1151">
        <f t="shared" si="6"/>
        <v>111</v>
      </c>
      <c r="R13" s="1567" t="s">
        <v>11</v>
      </c>
      <c r="S13" s="1568">
        <f t="shared" si="0"/>
        <v>100</v>
      </c>
      <c r="T13" s="1567" t="s">
        <v>11</v>
      </c>
      <c r="U13" s="1568">
        <f t="shared" si="1"/>
        <v>100</v>
      </c>
      <c r="V13" s="1567" t="s">
        <v>11</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62"/>
      <c r="Q14" s="1151">
        <f t="shared" si="6"/>
        <v>111</v>
      </c>
      <c r="R14" s="1567" t="s">
        <v>11</v>
      </c>
      <c r="S14" s="1568">
        <f t="shared" si="0"/>
        <v>100</v>
      </c>
      <c r="T14" s="1567" t="s">
        <v>11</v>
      </c>
      <c r="U14" s="1568">
        <f t="shared" si="1"/>
        <v>100</v>
      </c>
      <c r="V14" s="1567" t="s">
        <v>11</v>
      </c>
      <c r="W14" s="1568">
        <f t="shared" si="2"/>
        <v>100</v>
      </c>
      <c r="X14" s="1569"/>
      <c r="Y14" s="3419"/>
      <c r="Z14" s="1150">
        <f t="shared" si="7"/>
        <v>111</v>
      </c>
      <c r="AA14" s="1570">
        <f t="shared" si="3"/>
        <v>1</v>
      </c>
      <c r="AB14" s="1570">
        <f t="shared" si="4"/>
        <v>1</v>
      </c>
      <c r="AC14" s="1570">
        <f t="shared" si="5"/>
        <v>1</v>
      </c>
    </row>
    <row r="15" spans="1:29" ht="124.2">
      <c r="A15" s="2910" t="s">
        <v>2751</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42"/>
      <c r="M15" s="2134"/>
      <c r="N15" s="2134"/>
      <c r="O15" s="2141"/>
      <c r="P15" s="3464" t="s">
        <v>539</v>
      </c>
      <c r="Q15" s="1571" t="str">
        <f t="shared" si="6"/>
        <v>居住社区成熟度</v>
      </c>
      <c r="R15" s="1572" t="s">
        <v>11</v>
      </c>
      <c r="S15" s="1573">
        <f t="shared" si="0"/>
        <v>100</v>
      </c>
      <c r="T15" s="1572" t="s">
        <v>11</v>
      </c>
      <c r="U15" s="1573">
        <f t="shared" si="1"/>
        <v>100</v>
      </c>
      <c r="V15" s="1572" t="s">
        <v>11</v>
      </c>
      <c r="W15" s="1573">
        <f t="shared" si="2"/>
        <v>100</v>
      </c>
      <c r="X15" s="1566"/>
      <c r="Y15" s="3464" t="s">
        <v>539</v>
      </c>
      <c r="Z15" s="1574" t="str">
        <f t="shared" si="7"/>
        <v>居住社区成熟度</v>
      </c>
      <c r="AA15" s="1575">
        <f t="shared" si="3"/>
        <v>1</v>
      </c>
      <c r="AB15" s="1575">
        <f t="shared" si="4"/>
        <v>1</v>
      </c>
      <c r="AC15" s="1575">
        <f t="shared" si="5"/>
        <v>1</v>
      </c>
    </row>
    <row r="16" spans="1:29" ht="15">
      <c r="A16" s="532"/>
      <c r="B16" s="869"/>
      <c r="C16" s="576" t="s">
        <v>3033</v>
      </c>
      <c r="D16" s="555"/>
      <c r="E16" s="556" t="s">
        <v>3033</v>
      </c>
      <c r="F16" s="557"/>
      <c r="G16" s="558" t="s">
        <v>3033</v>
      </c>
      <c r="H16" s="559"/>
      <c r="I16" s="558" t="s">
        <v>3033</v>
      </c>
      <c r="J16" s="555"/>
      <c r="K16" s="870"/>
      <c r="L16" s="2142"/>
      <c r="M16" s="2134"/>
      <c r="N16" s="2134"/>
      <c r="O16" s="2141"/>
      <c r="P16" s="3465"/>
      <c r="Q16" s="1571"/>
      <c r="R16" s="1572"/>
      <c r="S16" s="1573"/>
      <c r="T16" s="1572"/>
      <c r="U16" s="1573"/>
      <c r="V16" s="1572"/>
      <c r="W16" s="1573"/>
      <c r="X16" s="1566"/>
      <c r="Y16" s="3465"/>
      <c r="Z16" s="1574"/>
      <c r="AA16" s="1575">
        <v>1</v>
      </c>
      <c r="AB16" s="1575">
        <v>1</v>
      </c>
      <c r="AC16" s="1575">
        <v>1</v>
      </c>
    </row>
    <row r="17" spans="1:29" ht="96.6">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65"/>
      <c r="Q17" s="1571" t="str">
        <f>B17</f>
        <v>交通便捷度</v>
      </c>
      <c r="R17" s="1572" t="s">
        <v>11</v>
      </c>
      <c r="S17" s="1573">
        <f>F17</f>
        <v>100</v>
      </c>
      <c r="T17" s="1572" t="s">
        <v>11</v>
      </c>
      <c r="U17" s="1573">
        <f>H17</f>
        <v>100</v>
      </c>
      <c r="V17" s="1572" t="s">
        <v>11</v>
      </c>
      <c r="W17" s="1573">
        <f>J17</f>
        <v>100</v>
      </c>
      <c r="X17" s="1566"/>
      <c r="Y17" s="3465"/>
      <c r="Z17" s="1574" t="str">
        <f>Q17</f>
        <v>交通便捷度</v>
      </c>
      <c r="AA17" s="1575">
        <f t="shared" si="3"/>
        <v>1</v>
      </c>
      <c r="AB17" s="1575">
        <f t="shared" si="4"/>
        <v>1</v>
      </c>
      <c r="AC17" s="1575">
        <f t="shared" si="5"/>
        <v>1</v>
      </c>
    </row>
    <row r="18" spans="1:29" ht="15">
      <c r="A18" s="532"/>
      <c r="B18" s="595"/>
      <c r="C18" s="558" t="s">
        <v>3061</v>
      </c>
      <c r="D18" s="559"/>
      <c r="E18" s="558" t="s">
        <v>3061</v>
      </c>
      <c r="F18" s="563"/>
      <c r="G18" s="558" t="s">
        <v>3061</v>
      </c>
      <c r="H18" s="555"/>
      <c r="I18" s="558" t="s">
        <v>3061</v>
      </c>
      <c r="J18" s="555"/>
      <c r="K18" s="870"/>
      <c r="L18" s="2142"/>
      <c r="M18" s="2134"/>
      <c r="N18" s="2134"/>
      <c r="O18" s="2141"/>
      <c r="P18" s="3465"/>
      <c r="Q18" s="1571"/>
      <c r="R18" s="1572"/>
      <c r="S18" s="1573"/>
      <c r="T18" s="1572"/>
      <c r="U18" s="1573"/>
      <c r="V18" s="1572"/>
      <c r="W18" s="1573"/>
      <c r="X18" s="1566"/>
      <c r="Y18" s="3465"/>
      <c r="Z18" s="1574"/>
      <c r="AA18" s="1575">
        <v>1</v>
      </c>
      <c r="AB18" s="1575">
        <v>1</v>
      </c>
      <c r="AC18" s="1575">
        <v>1</v>
      </c>
    </row>
    <row r="19" spans="1:29" ht="41.4">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5</v>
      </c>
      <c r="L19" s="2142"/>
      <c r="M19" s="2134"/>
      <c r="N19" s="2134"/>
      <c r="O19" s="2141"/>
      <c r="P19" s="3465"/>
      <c r="Q19" s="1571" t="str">
        <f>B19</f>
        <v>公共配套设施</v>
      </c>
      <c r="R19" s="1572" t="s">
        <v>11</v>
      </c>
      <c r="S19" s="1573">
        <f>F19</f>
        <v>100</v>
      </c>
      <c r="T19" s="1572" t="s">
        <v>11</v>
      </c>
      <c r="U19" s="1573">
        <f>H19</f>
        <v>100</v>
      </c>
      <c r="V19" s="1572" t="s">
        <v>11</v>
      </c>
      <c r="W19" s="1573">
        <f>J19</f>
        <v>100</v>
      </c>
      <c r="X19" s="1566"/>
      <c r="Y19" s="3465"/>
      <c r="Z19" s="1574" t="str">
        <f>Q19</f>
        <v>公共配套设施</v>
      </c>
      <c r="AA19" s="1575">
        <f t="shared" si="3"/>
        <v>1</v>
      </c>
      <c r="AB19" s="1575">
        <f t="shared" si="4"/>
        <v>1</v>
      </c>
      <c r="AC19" s="1575">
        <f t="shared" si="5"/>
        <v>1</v>
      </c>
    </row>
    <row r="20" spans="1:29" ht="15">
      <c r="A20" s="532"/>
      <c r="B20" s="595"/>
      <c r="C20" s="558" t="s">
        <v>3061</v>
      </c>
      <c r="D20" s="555"/>
      <c r="E20" s="558" t="s">
        <v>3061</v>
      </c>
      <c r="F20" s="557"/>
      <c r="G20" s="558" t="s">
        <v>3061</v>
      </c>
      <c r="H20" s="555"/>
      <c r="I20" s="558" t="s">
        <v>3061</v>
      </c>
      <c r="J20" s="555"/>
      <c r="K20" s="870"/>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65"/>
      <c r="Q21" s="2579" t="str">
        <f>B21</f>
        <v>基础设施水平</v>
      </c>
      <c r="R21" s="1572" t="s">
        <v>11</v>
      </c>
      <c r="S21" s="1573">
        <f>F21</f>
        <v>100</v>
      </c>
      <c r="T21" s="1572" t="s">
        <v>11</v>
      </c>
      <c r="U21" s="1573">
        <f>H21</f>
        <v>100</v>
      </c>
      <c r="V21" s="1572" t="s">
        <v>11</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922"/>
      <c r="C22" s="558" t="s">
        <v>3057</v>
      </c>
      <c r="D22" s="555"/>
      <c r="E22" s="558" t="s">
        <v>3057</v>
      </c>
      <c r="F22" s="557"/>
      <c r="G22" s="558" t="s">
        <v>3057</v>
      </c>
      <c r="H22" s="555"/>
      <c r="I22" s="558" t="s">
        <v>3057</v>
      </c>
      <c r="J22" s="555"/>
      <c r="K22" s="2599"/>
      <c r="L22" s="2142"/>
      <c r="M22" s="2134"/>
      <c r="N22" s="2134"/>
      <c r="O22" s="2141"/>
      <c r="P22" s="3465"/>
      <c r="Q22" s="2579"/>
      <c r="R22" s="1572"/>
      <c r="S22" s="1573"/>
      <c r="T22" s="1572"/>
      <c r="U22" s="1573"/>
      <c r="V22" s="1572"/>
      <c r="W22" s="1573"/>
      <c r="X22" s="2581"/>
      <c r="Y22" s="3465"/>
      <c r="Z22" s="2580"/>
      <c r="AA22" s="1575">
        <v>1</v>
      </c>
      <c r="AB22" s="1575">
        <v>1</v>
      </c>
      <c r="AC22" s="1575">
        <v>1</v>
      </c>
    </row>
    <row r="23" spans="1:29" ht="55.2">
      <c r="A23" s="532"/>
      <c r="B23" s="871" t="s">
        <v>296</v>
      </c>
      <c r="C23" s="872"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42"/>
      <c r="M23" s="2134"/>
      <c r="N23" s="2134"/>
      <c r="O23" s="2141"/>
      <c r="P23" s="3465"/>
      <c r="Q23" s="1571" t="str">
        <f>B23</f>
        <v>自然及人文环境</v>
      </c>
      <c r="R23" s="1572" t="s">
        <v>11</v>
      </c>
      <c r="S23" s="1573">
        <f>F23</f>
        <v>100</v>
      </c>
      <c r="T23" s="1572" t="s">
        <v>11</v>
      </c>
      <c r="U23" s="1573">
        <f>H23</f>
        <v>100</v>
      </c>
      <c r="V23" s="1572" t="s">
        <v>11</v>
      </c>
      <c r="W23" s="1573">
        <f>J23</f>
        <v>100</v>
      </c>
      <c r="X23" s="1566"/>
      <c r="Y23" s="3465"/>
      <c r="Z23" s="1574" t="str">
        <f>Q23</f>
        <v>自然及人文环境</v>
      </c>
      <c r="AA23" s="1575">
        <f t="shared" si="3"/>
        <v>1</v>
      </c>
      <c r="AB23" s="1575">
        <f t="shared" si="4"/>
        <v>1</v>
      </c>
      <c r="AC23" s="1575">
        <f t="shared" si="5"/>
        <v>1</v>
      </c>
    </row>
    <row r="24" spans="1:29" ht="15">
      <c r="A24" s="532"/>
      <c r="B24" s="595"/>
      <c r="C24" s="558" t="s">
        <v>3033</v>
      </c>
      <c r="D24" s="555"/>
      <c r="E24" s="558" t="s">
        <v>3033</v>
      </c>
      <c r="F24" s="557"/>
      <c r="G24" s="558" t="s">
        <v>3033</v>
      </c>
      <c r="H24" s="555"/>
      <c r="I24" s="558" t="s">
        <v>3033</v>
      </c>
      <c r="J24" s="555"/>
      <c r="K24" s="870"/>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65"/>
      <c r="Q25" s="1571" t="str">
        <f t="shared" ref="Q25:Q46" si="11">B25</f>
        <v>楼层-1</v>
      </c>
      <c r="R25" s="1572" t="s">
        <v>11</v>
      </c>
      <c r="S25" s="1573">
        <f>F25</f>
        <v>100</v>
      </c>
      <c r="T25" s="1572" t="s">
        <v>11</v>
      </c>
      <c r="U25" s="1573">
        <f>H25</f>
        <v>100</v>
      </c>
      <c r="V25" s="1572" t="s">
        <v>11</v>
      </c>
      <c r="W25" s="1573">
        <f>J25</f>
        <v>100</v>
      </c>
      <c r="X25" s="1566"/>
      <c r="Y25" s="3465"/>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65"/>
      <c r="Q26" s="1571" t="str">
        <f t="shared" si="11"/>
        <v>朝向</v>
      </c>
      <c r="R26" s="1572" t="s">
        <v>11</v>
      </c>
      <c r="S26" s="1573">
        <f>F26</f>
        <v>100</v>
      </c>
      <c r="T26" s="1572" t="s">
        <v>11</v>
      </c>
      <c r="U26" s="1573">
        <f>H26</f>
        <v>100</v>
      </c>
      <c r="V26" s="1572" t="s">
        <v>11</v>
      </c>
      <c r="W26" s="1573">
        <f>J26</f>
        <v>100</v>
      </c>
      <c r="X26" s="1566"/>
      <c r="Y26" s="3465"/>
      <c r="Z26" s="1574" t="str">
        <f>Q26</f>
        <v>朝向</v>
      </c>
      <c r="AA26" s="1575">
        <f t="shared" si="3"/>
        <v>1</v>
      </c>
      <c r="AB26" s="1575">
        <f t="shared" si="4"/>
        <v>1</v>
      </c>
      <c r="AC26" s="1575">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65"/>
      <c r="Q27" s="1151" t="str">
        <f t="shared" si="11"/>
        <v>道路级别</v>
      </c>
      <c r="R27" s="1567" t="s">
        <v>11</v>
      </c>
      <c r="S27" s="1568">
        <f>F27</f>
        <v>100</v>
      </c>
      <c r="T27" s="1567" t="s">
        <v>11</v>
      </c>
      <c r="U27" s="1568">
        <f>H27</f>
        <v>100</v>
      </c>
      <c r="V27" s="1567" t="s">
        <v>11</v>
      </c>
      <c r="W27" s="1568">
        <f>J27</f>
        <v>100</v>
      </c>
      <c r="X27" s="1569"/>
      <c r="Y27" s="3465"/>
      <c r="Z27" s="1150"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6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5"/>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65"/>
      <c r="Q29" s="1571">
        <f t="shared" si="11"/>
        <v>111</v>
      </c>
      <c r="R29" s="1572" t="s">
        <v>11</v>
      </c>
      <c r="S29" s="1573">
        <f t="shared" si="12"/>
        <v>100</v>
      </c>
      <c r="T29" s="1572" t="s">
        <v>11</v>
      </c>
      <c r="U29" s="1573">
        <f t="shared" si="13"/>
        <v>100</v>
      </c>
      <c r="V29" s="1572" t="s">
        <v>11</v>
      </c>
      <c r="W29" s="1573">
        <f t="shared" si="14"/>
        <v>100</v>
      </c>
      <c r="X29" s="1566"/>
      <c r="Y29" s="346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65"/>
      <c r="Q30" s="1571">
        <f t="shared" si="11"/>
        <v>111</v>
      </c>
      <c r="R30" s="1572" t="s">
        <v>11</v>
      </c>
      <c r="S30" s="1573">
        <f t="shared" si="12"/>
        <v>100</v>
      </c>
      <c r="T30" s="1572" t="s">
        <v>11</v>
      </c>
      <c r="U30" s="1573">
        <f t="shared" si="13"/>
        <v>100</v>
      </c>
      <c r="V30" s="1572" t="s">
        <v>11</v>
      </c>
      <c r="W30" s="1573">
        <f t="shared" si="14"/>
        <v>100</v>
      </c>
      <c r="X30" s="1566"/>
      <c r="Y30" s="3465"/>
      <c r="Z30" s="1574">
        <f t="shared" si="15"/>
        <v>111</v>
      </c>
      <c r="AA30" s="1575">
        <f t="shared" si="3"/>
        <v>1</v>
      </c>
      <c r="AB30" s="1575">
        <f t="shared" si="4"/>
        <v>1</v>
      </c>
      <c r="AC30" s="157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65"/>
      <c r="Q31" s="1571">
        <f t="shared" si="11"/>
        <v>111</v>
      </c>
      <c r="R31" s="1572" t="s">
        <v>11</v>
      </c>
      <c r="S31" s="1573">
        <f t="shared" si="12"/>
        <v>100</v>
      </c>
      <c r="T31" s="1572" t="s">
        <v>11</v>
      </c>
      <c r="U31" s="1573">
        <f t="shared" si="13"/>
        <v>100</v>
      </c>
      <c r="V31" s="1572" t="s">
        <v>11</v>
      </c>
      <c r="W31" s="1573">
        <f t="shared" si="14"/>
        <v>100</v>
      </c>
      <c r="X31" s="1566"/>
      <c r="Y31" s="3465"/>
      <c r="Z31" s="1574">
        <f t="shared" si="15"/>
        <v>111</v>
      </c>
      <c r="AA31" s="1575">
        <f t="shared" si="3"/>
        <v>1</v>
      </c>
      <c r="AB31" s="1575">
        <f t="shared" si="4"/>
        <v>1</v>
      </c>
      <c r="AC31" s="1575">
        <f t="shared" si="5"/>
        <v>1</v>
      </c>
    </row>
    <row r="32" spans="1:29" ht="15">
      <c r="A32" s="2907" t="s">
        <v>2752</v>
      </c>
      <c r="B32" s="172" t="s">
        <v>724</v>
      </c>
      <c r="C32" s="878" t="s">
        <v>3044</v>
      </c>
      <c r="D32" s="597">
        <v>100</v>
      </c>
      <c r="E32" s="879" t="s">
        <v>3044</v>
      </c>
      <c r="F32" s="575">
        <f>SUMIF(100:100,E32,101:101)-SUMIF(100:100,C32,101:101)+100</f>
        <v>100</v>
      </c>
      <c r="G32" s="878" t="s">
        <v>3044</v>
      </c>
      <c r="H32" s="597">
        <f>SUMIF(100:100,G32,101:101)-SUMIF(100:100,C32,101:101)+100</f>
        <v>100</v>
      </c>
      <c r="I32" s="879" t="s">
        <v>3044</v>
      </c>
      <c r="J32" s="540">
        <f>SUMIF(100:100,I32,101:101)-SUMIF(100:100,C32,101:101)+100</f>
        <v>100</v>
      </c>
      <c r="K32" s="864">
        <v>5</v>
      </c>
      <c r="L32" s="2142"/>
      <c r="M32" s="2134"/>
      <c r="N32" s="2134"/>
      <c r="O32" s="2141"/>
      <c r="P32" s="3466" t="s">
        <v>549</v>
      </c>
      <c r="Q32" s="1571" t="str">
        <f t="shared" si="11"/>
        <v>建筑类型</v>
      </c>
      <c r="R32" s="1572" t="s">
        <v>11</v>
      </c>
      <c r="S32" s="1573">
        <f t="shared" si="12"/>
        <v>100</v>
      </c>
      <c r="T32" s="1572" t="s">
        <v>11</v>
      </c>
      <c r="U32" s="1573">
        <f t="shared" si="13"/>
        <v>100</v>
      </c>
      <c r="V32" s="1572" t="s">
        <v>11</v>
      </c>
      <c r="W32" s="1573">
        <f t="shared" si="14"/>
        <v>100</v>
      </c>
      <c r="X32" s="1566"/>
      <c r="Y32" s="3467" t="s">
        <v>549</v>
      </c>
      <c r="Z32" s="1574" t="str">
        <f t="shared" si="15"/>
        <v>建筑类型</v>
      </c>
      <c r="AA32" s="1575">
        <f t="shared" si="3"/>
        <v>1</v>
      </c>
      <c r="AB32" s="1575">
        <f t="shared" si="4"/>
        <v>1</v>
      </c>
      <c r="AC32" s="1575">
        <f t="shared" si="5"/>
        <v>1</v>
      </c>
    </row>
    <row r="33" spans="1:29" s="1339" customFormat="1" ht="15">
      <c r="A33" s="603"/>
      <c r="B33" s="527" t="s">
        <v>725</v>
      </c>
      <c r="C33" s="880">
        <f>'数据-汇总表'!E3</f>
        <v>102043.5</v>
      </c>
      <c r="D33" s="255">
        <v>100</v>
      </c>
      <c r="E33" s="534">
        <v>102835</v>
      </c>
      <c r="F33" s="863">
        <f>LOOKUP(E33,103:103,104:104)-LOOKUP(C33,103:103,104:104)+100</f>
        <v>100</v>
      </c>
      <c r="G33" s="533">
        <v>600000</v>
      </c>
      <c r="H33" s="255">
        <f>LOOKUP(G33,103:103,104:104)-LOOKUP(C33,103:103,104:104)+100</f>
        <v>104</v>
      </c>
      <c r="I33" s="534">
        <v>498390</v>
      </c>
      <c r="J33" s="255">
        <f>LOOKUP(I33,103:103,104:104)-LOOKUP(C33,103:103,104:104)+100</f>
        <v>104</v>
      </c>
      <c r="K33" s="865"/>
      <c r="L33" s="2140"/>
      <c r="M33" s="2171"/>
      <c r="N33" s="2171"/>
      <c r="O33" s="2143"/>
      <c r="P33" s="3467"/>
      <c r="Q33" s="1604" t="str">
        <f t="shared" si="11"/>
        <v>项目建筑规模</v>
      </c>
      <c r="R33" s="1576" t="s">
        <v>11</v>
      </c>
      <c r="S33" s="1577">
        <f t="shared" si="12"/>
        <v>100</v>
      </c>
      <c r="T33" s="1576" t="s">
        <v>11</v>
      </c>
      <c r="U33" s="1577">
        <f t="shared" si="13"/>
        <v>104</v>
      </c>
      <c r="V33" s="1576" t="s">
        <v>11</v>
      </c>
      <c r="W33" s="1577">
        <f t="shared" si="14"/>
        <v>104</v>
      </c>
      <c r="X33" s="1578"/>
      <c r="Y33" s="3467"/>
      <c r="Z33" s="1579" t="str">
        <f t="shared" si="15"/>
        <v>项目建筑规模</v>
      </c>
      <c r="AA33" s="1575">
        <f t="shared" si="3"/>
        <v>1</v>
      </c>
      <c r="AB33" s="1575">
        <f t="shared" si="4"/>
        <v>0.96153846153846156</v>
      </c>
      <c r="AC33" s="1575">
        <f t="shared" si="5"/>
        <v>0.96153846153846156</v>
      </c>
    </row>
    <row r="34" spans="1:29" ht="15">
      <c r="A34" s="594"/>
      <c r="B34" s="527" t="s">
        <v>726</v>
      </c>
      <c r="C34" s="881" t="s">
        <v>3029</v>
      </c>
      <c r="D34" s="540">
        <v>100</v>
      </c>
      <c r="E34" s="881" t="s">
        <v>3029</v>
      </c>
      <c r="F34" s="575">
        <f>SUMIF(105:105,E34,106:106)-SUMIF(105:105,C34,106:106)+100</f>
        <v>100</v>
      </c>
      <c r="G34" s="881" t="s">
        <v>3029</v>
      </c>
      <c r="H34" s="540">
        <f>SUMIF(105:105,G34,106:106)-SUMIF(105:105,C34,106:106)+100</f>
        <v>100</v>
      </c>
      <c r="I34" s="881" t="s">
        <v>3029</v>
      </c>
      <c r="J34" s="540">
        <f>SUMIF(105:105,I34,106:106)-SUMIF(105:105,C34,106:106)+100</f>
        <v>100</v>
      </c>
      <c r="K34" s="864">
        <v>1</v>
      </c>
      <c r="L34" s="2142"/>
      <c r="M34" s="2134"/>
      <c r="N34" s="2134"/>
      <c r="O34" s="2141"/>
      <c r="P34" s="3467"/>
      <c r="Q34" s="1571" t="str">
        <f t="shared" si="11"/>
        <v>建筑结构</v>
      </c>
      <c r="R34" s="1572" t="s">
        <v>11</v>
      </c>
      <c r="S34" s="1573">
        <f t="shared" si="12"/>
        <v>100</v>
      </c>
      <c r="T34" s="1572" t="s">
        <v>11</v>
      </c>
      <c r="U34" s="1573">
        <f t="shared" si="13"/>
        <v>100</v>
      </c>
      <c r="V34" s="1572" t="s">
        <v>11</v>
      </c>
      <c r="W34" s="1573">
        <f t="shared" si="14"/>
        <v>100</v>
      </c>
      <c r="X34" s="1566"/>
      <c r="Y34" s="3467"/>
      <c r="Z34" s="1574" t="str">
        <f t="shared" si="15"/>
        <v>建筑结构</v>
      </c>
      <c r="AA34" s="1575">
        <f t="shared" si="3"/>
        <v>1</v>
      </c>
      <c r="AB34" s="1575">
        <f t="shared" si="4"/>
        <v>1</v>
      </c>
      <c r="AC34" s="1575">
        <f t="shared" si="5"/>
        <v>1</v>
      </c>
    </row>
    <row r="35" spans="1:29" ht="15">
      <c r="A35" s="594"/>
      <c r="B35" s="527" t="s">
        <v>727</v>
      </c>
      <c r="C35" s="599" t="s">
        <v>3089</v>
      </c>
      <c r="D35" s="540">
        <v>100</v>
      </c>
      <c r="E35" s="599" t="s">
        <v>3089</v>
      </c>
      <c r="F35" s="575">
        <f>SUMIF(107:107,E35,108:108)-SUMIF(107:107,C35,108:108)+100</f>
        <v>100</v>
      </c>
      <c r="G35" s="599" t="s">
        <v>3089</v>
      </c>
      <c r="H35" s="540">
        <f>SUMIF(107:107,G35,108:108)-SUMIF(107:107,C35,108:108)+100</f>
        <v>100</v>
      </c>
      <c r="I35" s="599" t="s">
        <v>3089</v>
      </c>
      <c r="J35" s="540">
        <f>SUMIF(107:107,I35,108:108)-SUMIF(107:107,C35,108:108)+100</f>
        <v>100</v>
      </c>
      <c r="K35" s="864">
        <v>3</v>
      </c>
      <c r="L35" s="2142"/>
      <c r="M35" s="2134"/>
      <c r="N35" s="2134"/>
      <c r="O35" s="2141"/>
      <c r="P35" s="3467"/>
      <c r="Q35" s="1571" t="str">
        <f t="shared" si="11"/>
        <v>建筑品质</v>
      </c>
      <c r="R35" s="1572" t="s">
        <v>11</v>
      </c>
      <c r="S35" s="1573">
        <f t="shared" si="12"/>
        <v>100</v>
      </c>
      <c r="T35" s="1572" t="s">
        <v>11</v>
      </c>
      <c r="U35" s="1573">
        <f t="shared" si="13"/>
        <v>100</v>
      </c>
      <c r="V35" s="1572" t="s">
        <v>11</v>
      </c>
      <c r="W35" s="1573">
        <f t="shared" si="14"/>
        <v>100</v>
      </c>
      <c r="X35" s="1566"/>
      <c r="Y35" s="3467"/>
      <c r="Z35" s="1574" t="str">
        <f t="shared" si="15"/>
        <v>建筑品质</v>
      </c>
      <c r="AA35" s="1575">
        <f t="shared" si="3"/>
        <v>1</v>
      </c>
      <c r="AB35" s="1575">
        <f t="shared" si="4"/>
        <v>1</v>
      </c>
      <c r="AC35" s="1575">
        <f t="shared" si="5"/>
        <v>1</v>
      </c>
    </row>
    <row r="36" spans="1:29" ht="15">
      <c r="A36" s="594"/>
      <c r="B36" s="527" t="s">
        <v>728</v>
      </c>
      <c r="C36" s="599" t="s">
        <v>3049</v>
      </c>
      <c r="D36" s="540">
        <v>100</v>
      </c>
      <c r="E36" s="599" t="s">
        <v>3049</v>
      </c>
      <c r="F36" s="575">
        <f>SUMIF(109:109,E36,110:110)-SUMIF(109:109,C36,110:110)+100</f>
        <v>100</v>
      </c>
      <c r="G36" s="599" t="s">
        <v>3049</v>
      </c>
      <c r="H36" s="540">
        <f>SUMIF(109:109,G36,110:110)-SUMIF(109:109,C36,110:110)+100</f>
        <v>100</v>
      </c>
      <c r="I36" s="599" t="s">
        <v>3049</v>
      </c>
      <c r="J36" s="540">
        <f>SUMIF(109:109,I36,110:110)-SUMIF(109:109,C36,110:110)+100</f>
        <v>100</v>
      </c>
      <c r="K36" s="864">
        <v>3</v>
      </c>
      <c r="L36" s="2142"/>
      <c r="M36" s="2134"/>
      <c r="N36" s="2134"/>
      <c r="O36" s="2141"/>
      <c r="P36" s="3467"/>
      <c r="Q36" s="1571" t="str">
        <f t="shared" si="11"/>
        <v>公共部分装修</v>
      </c>
      <c r="R36" s="1572" t="s">
        <v>11</v>
      </c>
      <c r="S36" s="1573">
        <f t="shared" si="12"/>
        <v>100</v>
      </c>
      <c r="T36" s="1572" t="s">
        <v>11</v>
      </c>
      <c r="U36" s="1573">
        <f t="shared" si="13"/>
        <v>100</v>
      </c>
      <c r="V36" s="1572" t="s">
        <v>11</v>
      </c>
      <c r="W36" s="1573">
        <f t="shared" si="14"/>
        <v>100</v>
      </c>
      <c r="X36" s="1566"/>
      <c r="Y36" s="3467"/>
      <c r="Z36" s="1574" t="str">
        <f t="shared" si="15"/>
        <v>公共部分装修</v>
      </c>
      <c r="AA36" s="1575">
        <f t="shared" si="3"/>
        <v>1</v>
      </c>
      <c r="AB36" s="1575">
        <f t="shared" si="4"/>
        <v>1</v>
      </c>
      <c r="AC36" s="1575">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67"/>
      <c r="Q37" s="1151" t="str">
        <f t="shared" si="11"/>
        <v>成新度</v>
      </c>
      <c r="R37" s="1567" t="s">
        <v>11</v>
      </c>
      <c r="S37" s="1568">
        <f t="shared" si="12"/>
        <v>100</v>
      </c>
      <c r="T37" s="1567" t="s">
        <v>11</v>
      </c>
      <c r="U37" s="1568">
        <f t="shared" si="13"/>
        <v>100</v>
      </c>
      <c r="V37" s="1567" t="s">
        <v>11</v>
      </c>
      <c r="W37" s="1568">
        <f t="shared" si="14"/>
        <v>100</v>
      </c>
      <c r="X37" s="1569"/>
      <c r="Y37" s="3467"/>
      <c r="Z37" s="1150" t="str">
        <f t="shared" si="15"/>
        <v>成新度</v>
      </c>
      <c r="AA37" s="1570">
        <f t="shared" si="3"/>
        <v>1</v>
      </c>
      <c r="AB37" s="1570">
        <f t="shared" si="4"/>
        <v>1</v>
      </c>
      <c r="AC37" s="1570">
        <f t="shared" si="5"/>
        <v>1</v>
      </c>
    </row>
    <row r="38" spans="1:29" ht="15">
      <c r="A38" s="594"/>
      <c r="B38" s="527" t="s">
        <v>730</v>
      </c>
      <c r="C38" s="599" t="s">
        <v>3090</v>
      </c>
      <c r="D38" s="540">
        <v>100</v>
      </c>
      <c r="E38" s="599" t="s">
        <v>3090</v>
      </c>
      <c r="F38" s="575">
        <f>SUMIF(114:114,E38,115:115)-SUMIF(114:114,C38,115:115)+100</f>
        <v>100</v>
      </c>
      <c r="G38" s="599" t="s">
        <v>3090</v>
      </c>
      <c r="H38" s="540">
        <f>SUMIF(114:114,G38,115:115)-SUMIF(114:114,C38,115:115)+100</f>
        <v>100</v>
      </c>
      <c r="I38" s="599" t="s">
        <v>3090</v>
      </c>
      <c r="J38" s="540">
        <f>SUMIF(114:114,I38,115:115)-SUMIF(114:114,C38,115:115)+100</f>
        <v>100</v>
      </c>
      <c r="K38" s="864">
        <v>3</v>
      </c>
      <c r="L38" s="2142"/>
      <c r="M38" s="2134"/>
      <c r="N38" s="2134"/>
      <c r="O38" s="2141"/>
      <c r="P38" s="3467" t="s">
        <v>549</v>
      </c>
      <c r="Q38" s="1571" t="str">
        <f t="shared" si="11"/>
        <v>物业管理</v>
      </c>
      <c r="R38" s="1572" t="s">
        <v>11</v>
      </c>
      <c r="S38" s="1573">
        <f t="shared" si="12"/>
        <v>100</v>
      </c>
      <c r="T38" s="1572" t="s">
        <v>11</v>
      </c>
      <c r="U38" s="1573">
        <f t="shared" si="13"/>
        <v>100</v>
      </c>
      <c r="V38" s="1572" t="s">
        <v>11</v>
      </c>
      <c r="W38" s="1573">
        <f t="shared" si="14"/>
        <v>100</v>
      </c>
      <c r="X38" s="1566"/>
      <c r="Y38" s="3467" t="s">
        <v>549</v>
      </c>
      <c r="Z38" s="1574" t="str">
        <f t="shared" si="15"/>
        <v>物业管理</v>
      </c>
      <c r="AA38" s="1575">
        <f t="shared" si="3"/>
        <v>1</v>
      </c>
      <c r="AB38" s="1575">
        <f t="shared" si="4"/>
        <v>1</v>
      </c>
      <c r="AC38" s="1575">
        <f t="shared" si="5"/>
        <v>1</v>
      </c>
    </row>
    <row r="39" spans="1:29" ht="15">
      <c r="A39" s="594"/>
      <c r="B39" s="1895" t="s">
        <v>2562</v>
      </c>
      <c r="C39" s="599" t="s">
        <v>3057</v>
      </c>
      <c r="D39" s="540">
        <v>100</v>
      </c>
      <c r="E39" s="599" t="s">
        <v>3057</v>
      </c>
      <c r="F39" s="575">
        <f>SUMIF(116:116,E39,117:117)-SUMIF(116:116,C39,117:117)+100</f>
        <v>100</v>
      </c>
      <c r="G39" s="599" t="s">
        <v>3057</v>
      </c>
      <c r="H39" s="540">
        <f>SUMIF(116:116,G39,117:117)-SUMIF(116:116,C39,117:117)+100</f>
        <v>100</v>
      </c>
      <c r="I39" s="599" t="s">
        <v>3057</v>
      </c>
      <c r="J39" s="540">
        <f>SUMIF(116:116,I39,117:117)-SUMIF(116:116,C39,117:117)+100</f>
        <v>100</v>
      </c>
      <c r="K39" s="864">
        <v>1</v>
      </c>
      <c r="L39" s="2142"/>
      <c r="M39" s="2134"/>
      <c r="N39" s="2134"/>
      <c r="O39" s="2141"/>
      <c r="P39" s="3467"/>
      <c r="Q39" s="1571" t="str">
        <f t="shared" si="11"/>
        <v>市政基础设施</v>
      </c>
      <c r="R39" s="1572" t="s">
        <v>11</v>
      </c>
      <c r="S39" s="1573">
        <f t="shared" si="12"/>
        <v>100</v>
      </c>
      <c r="T39" s="1572" t="s">
        <v>11</v>
      </c>
      <c r="U39" s="1573">
        <f t="shared" si="13"/>
        <v>100</v>
      </c>
      <c r="V39" s="1572" t="s">
        <v>11</v>
      </c>
      <c r="W39" s="1573">
        <f t="shared" si="14"/>
        <v>100</v>
      </c>
      <c r="X39" s="1566"/>
      <c r="Y39" s="3467"/>
      <c r="Z39" s="1574" t="str">
        <f t="shared" si="15"/>
        <v>市政基础设施</v>
      </c>
      <c r="AA39" s="1575">
        <f t="shared" si="3"/>
        <v>1</v>
      </c>
      <c r="AB39" s="1575">
        <f t="shared" si="4"/>
        <v>1</v>
      </c>
      <c r="AC39" s="1575">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2"/>
      <c r="M40" s="2134"/>
      <c r="N40" s="2134"/>
      <c r="O40" s="2141"/>
      <c r="P40" s="3467"/>
      <c r="Q40" s="1571" t="str">
        <f t="shared" si="11"/>
        <v>房型</v>
      </c>
      <c r="R40" s="1572" t="s">
        <v>11</v>
      </c>
      <c r="S40" s="1573">
        <f t="shared" si="12"/>
        <v>100</v>
      </c>
      <c r="T40" s="1572" t="s">
        <v>11</v>
      </c>
      <c r="U40" s="1573">
        <f t="shared" si="13"/>
        <v>100</v>
      </c>
      <c r="V40" s="1572" t="s">
        <v>11</v>
      </c>
      <c r="W40" s="1573">
        <f t="shared" si="14"/>
        <v>100</v>
      </c>
      <c r="X40" s="1566"/>
      <c r="Y40" s="3467"/>
      <c r="Z40" s="1574" t="str">
        <f t="shared" si="15"/>
        <v>房型</v>
      </c>
      <c r="AA40" s="1575">
        <f t="shared" si="3"/>
        <v>1</v>
      </c>
      <c r="AB40" s="1575">
        <f t="shared" si="4"/>
        <v>1</v>
      </c>
      <c r="AC40" s="1575">
        <f t="shared" si="5"/>
        <v>1</v>
      </c>
    </row>
    <row r="41" spans="1:29" s="1339" customFormat="1" ht="28.8">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0"/>
      <c r="M41" s="2171"/>
      <c r="N41" s="2171"/>
      <c r="O41" s="2143"/>
      <c r="P41" s="3467"/>
      <c r="Q41" s="1604" t="str">
        <f t="shared" si="11"/>
        <v>单套/主力户型建筑面积</v>
      </c>
      <c r="R41" s="1576" t="s">
        <v>11</v>
      </c>
      <c r="S41" s="1577">
        <f t="shared" si="12"/>
        <v>100</v>
      </c>
      <c r="T41" s="1576" t="s">
        <v>11</v>
      </c>
      <c r="U41" s="1577">
        <f t="shared" si="13"/>
        <v>100</v>
      </c>
      <c r="V41" s="1576" t="s">
        <v>11</v>
      </c>
      <c r="W41" s="1577">
        <f t="shared" si="14"/>
        <v>100</v>
      </c>
      <c r="X41" s="1578"/>
      <c r="Y41" s="3467"/>
      <c r="Z41" s="1579" t="str">
        <f t="shared" si="15"/>
        <v>单套/主力户型建筑面积</v>
      </c>
      <c r="AA41" s="1575">
        <f t="shared" si="3"/>
        <v>1</v>
      </c>
      <c r="AB41" s="1575">
        <f t="shared" si="4"/>
        <v>1</v>
      </c>
      <c r="AC41" s="1575">
        <f t="shared" si="5"/>
        <v>1</v>
      </c>
    </row>
    <row r="42" spans="1:29" ht="15">
      <c r="A42" s="594"/>
      <c r="B42" s="527" t="s">
        <v>733</v>
      </c>
      <c r="C42" s="599" t="s">
        <v>3049</v>
      </c>
      <c r="D42" s="540">
        <v>100</v>
      </c>
      <c r="E42" s="599" t="s">
        <v>3053</v>
      </c>
      <c r="F42" s="575">
        <f>SUMIF(122:122,E42,123:123)-SUMIF(122:122,C42,123:123)+100</f>
        <v>91</v>
      </c>
      <c r="G42" s="599" t="s">
        <v>3053</v>
      </c>
      <c r="H42" s="540">
        <f>SUMIF(122:122,G42,123:123)-SUMIF(122:122,C42,123:123)+100</f>
        <v>91</v>
      </c>
      <c r="I42" s="599" t="s">
        <v>3053</v>
      </c>
      <c r="J42" s="540">
        <f>SUMIF(122:122,I42,123:123)-SUMIF(122:122,C42,123:123)+100</f>
        <v>91</v>
      </c>
      <c r="K42" s="864">
        <v>3</v>
      </c>
      <c r="L42" s="2142"/>
      <c r="M42" s="2134"/>
      <c r="N42" s="2134"/>
      <c r="O42" s="2141"/>
      <c r="P42" s="3467"/>
      <c r="Q42" s="1571" t="str">
        <f t="shared" si="11"/>
        <v>内部装修</v>
      </c>
      <c r="R42" s="1572" t="s">
        <v>11</v>
      </c>
      <c r="S42" s="1573">
        <f t="shared" si="12"/>
        <v>91</v>
      </c>
      <c r="T42" s="1572" t="s">
        <v>11</v>
      </c>
      <c r="U42" s="1573">
        <f t="shared" si="13"/>
        <v>91</v>
      </c>
      <c r="V42" s="1572" t="s">
        <v>11</v>
      </c>
      <c r="W42" s="1573">
        <f t="shared" si="14"/>
        <v>91</v>
      </c>
      <c r="X42" s="1566"/>
      <c r="Y42" s="3467"/>
      <c r="Z42" s="1574" t="str">
        <f t="shared" si="15"/>
        <v>内部装修</v>
      </c>
      <c r="AA42" s="1575">
        <f t="shared" si="3"/>
        <v>1.098901098901099</v>
      </c>
      <c r="AB42" s="1575">
        <f t="shared" si="4"/>
        <v>1.098901098901099</v>
      </c>
      <c r="AC42" s="1575">
        <f t="shared" si="5"/>
        <v>1.098901098901099</v>
      </c>
    </row>
    <row r="43" spans="1:29" ht="28.8">
      <c r="A43" s="594"/>
      <c r="B43" s="527" t="s">
        <v>734</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1</v>
      </c>
      <c r="L43" s="2142"/>
      <c r="M43" s="2134"/>
      <c r="N43" s="2134"/>
      <c r="O43" s="2141"/>
      <c r="P43" s="3467"/>
      <c r="Q43" s="1571" t="str">
        <f t="shared" si="11"/>
        <v>内部装修维护情况</v>
      </c>
      <c r="R43" s="1572" t="s">
        <v>11</v>
      </c>
      <c r="S43" s="1573">
        <f t="shared" si="12"/>
        <v>100</v>
      </c>
      <c r="T43" s="1572" t="s">
        <v>11</v>
      </c>
      <c r="U43" s="1573">
        <f t="shared" si="13"/>
        <v>100</v>
      </c>
      <c r="V43" s="1572" t="s">
        <v>11</v>
      </c>
      <c r="W43" s="1573">
        <f t="shared" si="14"/>
        <v>100</v>
      </c>
      <c r="X43" s="1566"/>
      <c r="Y43" s="3467"/>
      <c r="Z43" s="1574" t="str">
        <f t="shared" si="15"/>
        <v>内部装修维护情况</v>
      </c>
      <c r="AA43" s="1575">
        <f t="shared" si="3"/>
        <v>1</v>
      </c>
      <c r="AB43" s="1575">
        <f t="shared" si="4"/>
        <v>1</v>
      </c>
      <c r="AC43" s="1575">
        <f t="shared" si="5"/>
        <v>1</v>
      </c>
    </row>
    <row r="44" spans="1:29" s="1220" customFormat="1" ht="15">
      <c r="A44" s="600"/>
      <c r="B44" s="3194" t="s">
        <v>3063</v>
      </c>
      <c r="C44" s="3195"/>
      <c r="D44" s="255">
        <v>100</v>
      </c>
      <c r="E44" s="3195"/>
      <c r="F44" s="863">
        <f>SUMIF(126:126,E44,127:127)-SUMIF(126:126,C44,127:127)+100</f>
        <v>100</v>
      </c>
      <c r="G44" s="3195"/>
      <c r="H44" s="255">
        <f>SUMIF(126:126,G44,127:127)-SUMIF(126:126,C44,127:127)+100</f>
        <v>100</v>
      </c>
      <c r="I44" s="3195"/>
      <c r="J44" s="255">
        <f>SUMIF(126:126,I44,127:127)-SUMIF(126:126,C44,127:127)+100</f>
        <v>100</v>
      </c>
      <c r="K44" s="865"/>
      <c r="L44" s="2135"/>
      <c r="M44" s="2136"/>
      <c r="N44" s="2136"/>
      <c r="O44" s="2137"/>
      <c r="P44" s="3467"/>
      <c r="Q44" s="1151" t="str">
        <f t="shared" si="11"/>
        <v>特殊修正</v>
      </c>
      <c r="R44" s="1567" t="s">
        <v>11</v>
      </c>
      <c r="S44" s="1568">
        <f t="shared" si="12"/>
        <v>100</v>
      </c>
      <c r="T44" s="1567" t="s">
        <v>11</v>
      </c>
      <c r="U44" s="1568">
        <f t="shared" si="13"/>
        <v>100</v>
      </c>
      <c r="V44" s="1567" t="s">
        <v>11</v>
      </c>
      <c r="W44" s="1568">
        <f t="shared" si="14"/>
        <v>100</v>
      </c>
      <c r="X44" s="1569"/>
      <c r="Y44" s="3467"/>
      <c r="Z44" s="1150" t="str">
        <f t="shared" si="15"/>
        <v>特殊修正</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67"/>
      <c r="Q45" s="1571">
        <f t="shared" si="11"/>
        <v>111</v>
      </c>
      <c r="R45" s="1572" t="s">
        <v>11</v>
      </c>
      <c r="S45" s="1573">
        <f t="shared" si="12"/>
        <v>100</v>
      </c>
      <c r="T45" s="1572" t="s">
        <v>11</v>
      </c>
      <c r="U45" s="1573">
        <f t="shared" si="13"/>
        <v>100</v>
      </c>
      <c r="V45" s="1572" t="s">
        <v>11</v>
      </c>
      <c r="W45" s="1573">
        <f t="shared" si="14"/>
        <v>100</v>
      </c>
      <c r="X45" s="1566"/>
      <c r="Y45" s="3467"/>
      <c r="Z45" s="1574">
        <f t="shared" si="15"/>
        <v>111</v>
      </c>
      <c r="AA45" s="1575">
        <f t="shared" si="3"/>
        <v>1</v>
      </c>
      <c r="AB45" s="1575">
        <f t="shared" si="4"/>
        <v>1</v>
      </c>
      <c r="AC45" s="157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47"/>
      <c r="Q46" s="1571">
        <f t="shared" si="11"/>
        <v>111</v>
      </c>
      <c r="R46" s="1572" t="s">
        <v>10</v>
      </c>
      <c r="S46" s="1573">
        <f t="shared" si="12"/>
        <v>100</v>
      </c>
      <c r="T46" s="1572" t="s">
        <v>10</v>
      </c>
      <c r="U46" s="1573">
        <f t="shared" si="13"/>
        <v>100</v>
      </c>
      <c r="V46" s="1572" t="s">
        <v>10</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9</v>
      </c>
      <c r="D47" s="2628"/>
      <c r="E47" s="2629">
        <v>5800</v>
      </c>
      <c r="F47" s="2630"/>
      <c r="G47" s="2631">
        <v>5980</v>
      </c>
      <c r="H47" s="2632"/>
      <c r="I47" s="2629">
        <v>5800</v>
      </c>
      <c r="J47" s="2632"/>
      <c r="K47" s="1605"/>
      <c r="L47" s="2144"/>
      <c r="M47" s="2145"/>
      <c r="N47" s="2134"/>
      <c r="O47" s="2145"/>
      <c r="P47" s="3462" t="str">
        <f>A47</f>
        <v>成交单价（元/平方米）</v>
      </c>
      <c r="Q47" s="3462"/>
      <c r="R47" s="3548">
        <f>E47</f>
        <v>5800</v>
      </c>
      <c r="S47" s="3548"/>
      <c r="T47" s="3548">
        <f>G47</f>
        <v>5980</v>
      </c>
      <c r="U47" s="3548"/>
      <c r="V47" s="3548">
        <f>I47</f>
        <v>5800</v>
      </c>
      <c r="W47" s="3548"/>
      <c r="X47" s="1558"/>
      <c r="Y47" s="1580"/>
      <c r="Z47" s="1558"/>
      <c r="AA47" s="1558"/>
      <c r="AB47" s="1558"/>
      <c r="AC47" s="1558"/>
    </row>
    <row r="48" spans="1:29" ht="15" thickBot="1">
      <c r="A48" s="615" t="s">
        <v>2757</v>
      </c>
      <c r="B48" s="888"/>
      <c r="C48" s="2633">
        <f>R49</f>
        <v>6364</v>
      </c>
      <c r="D48" s="2634"/>
      <c r="E48" s="2635">
        <f>R48</f>
        <v>6470</v>
      </c>
      <c r="F48" s="2635"/>
      <c r="G48" s="2633">
        <f>T48</f>
        <v>6383</v>
      </c>
      <c r="H48" s="2634"/>
      <c r="I48" s="2635">
        <f>V48</f>
        <v>6159</v>
      </c>
      <c r="J48" s="2634"/>
      <c r="K48" s="1606"/>
      <c r="L48" s="2144"/>
      <c r="M48" s="2145"/>
      <c r="N48" s="2145"/>
      <c r="O48" s="2145"/>
      <c r="P48" s="3462" t="str">
        <f>A48</f>
        <v>比较价格（元/平方米）</v>
      </c>
      <c r="Q48" s="3462"/>
      <c r="R48" s="3548">
        <f>IF(F1="售价",ROUND(PRODUCT(R47,AA7:AA46),0),ROUND(PRODUCT(R47,AA7:AA46),1))</f>
        <v>6470</v>
      </c>
      <c r="S48" s="3548"/>
      <c r="T48" s="3548">
        <f>IF(F1="售价",ROUND(PRODUCT(T47,AB7:AB46),0),ROUND(PRODUCT(T47,AB7:AB46),1))</f>
        <v>6383</v>
      </c>
      <c r="U48" s="3548"/>
      <c r="V48" s="3548">
        <f>IF(F1="售价",ROUND(PRODUCT(V47,AC7:AC46),0),ROUND(PRODUCT(V47,AC7:AC46),1))</f>
        <v>6159</v>
      </c>
      <c r="W48" s="3548"/>
      <c r="X48" s="1558"/>
      <c r="Y48" s="1558"/>
      <c r="Z48" s="1558"/>
      <c r="AA48" s="1558"/>
      <c r="AB48" s="1558"/>
      <c r="AC48" s="1558"/>
    </row>
    <row r="49" spans="1:29" ht="15" thickBot="1">
      <c r="A49" s="621" t="s">
        <v>2930</v>
      </c>
      <c r="B49" s="622"/>
      <c r="C49" s="2636">
        <f>R49</f>
        <v>6364</v>
      </c>
      <c r="D49" s="2636"/>
      <c r="E49" s="2636"/>
      <c r="F49" s="2636"/>
      <c r="G49" s="2636"/>
      <c r="H49" s="2636"/>
      <c r="I49" s="2636"/>
      <c r="J49" s="2636"/>
      <c r="K49" s="1607"/>
      <c r="L49" s="2144"/>
      <c r="M49" s="2145"/>
      <c r="N49" s="2145"/>
      <c r="O49" s="2145"/>
      <c r="P49" s="3485" t="str">
        <f>A49</f>
        <v>估价对象XX用房的比较价格（楼面单价，元/平方米）</v>
      </c>
      <c r="Q49" s="3486"/>
      <c r="R49" s="3549">
        <f>ROUND(R48*R50+T48*T50+V48*V50,0)</f>
        <v>6364</v>
      </c>
      <c r="S49" s="3549"/>
      <c r="T49" s="3549"/>
      <c r="U49" s="3549"/>
      <c r="V49" s="3549"/>
      <c r="W49" s="3549"/>
      <c r="X49" s="1558"/>
      <c r="Y49" s="1558"/>
      <c r="Z49" s="1558"/>
      <c r="AA49" s="1558"/>
      <c r="AB49" s="1558"/>
      <c r="AC49" s="1558"/>
    </row>
    <row r="50" spans="1:29" ht="14.4">
      <c r="A50" s="2145"/>
      <c r="B50" s="2145"/>
      <c r="C50" s="2145"/>
      <c r="D50" s="2145"/>
      <c r="E50" s="2145"/>
      <c r="F50" s="2145"/>
      <c r="G50" s="2148"/>
      <c r="H50" s="2145"/>
      <c r="I50" s="2145"/>
      <c r="J50" s="2145"/>
      <c r="K50" s="2149"/>
      <c r="L50" s="2150"/>
      <c r="M50" s="2145"/>
      <c r="N50" s="2145"/>
      <c r="O50" s="2145"/>
      <c r="P50" s="2145"/>
      <c r="Q50" s="3196" t="s">
        <v>3068</v>
      </c>
      <c r="R50" s="2148">
        <v>0.3</v>
      </c>
      <c r="S50" s="2145"/>
      <c r="T50" s="2148">
        <v>0.5</v>
      </c>
      <c r="U50" s="2145"/>
      <c r="V50" s="2148">
        <v>0.2</v>
      </c>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0.11551724137931041</v>
      </c>
      <c r="F52" s="627" t="str">
        <f>IF(OR(E52&gt;=0.3,E52&lt;=-0.3),"超过30%","")</f>
        <v/>
      </c>
      <c r="G52" s="626">
        <f>IF(G47&lt;G48,G48/G47-1,G47/G48-1)</f>
        <v>6.7391304347826031E-2</v>
      </c>
      <c r="H52" s="627" t="str">
        <f>IF(OR(G52&gt;=0.3,G52&lt;=-0.3),"超过30%","")</f>
        <v/>
      </c>
      <c r="I52" s="626">
        <f>IF(I47&lt;I48,I48/I47-1,I47/I48-1)</f>
        <v>6.1896551724137883E-2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1.3629954566818148E-2</v>
      </c>
      <c r="F53" s="627" t="str">
        <f>IF(OR(E53&gt;=0.2,E53&lt;=-0.2),"超过20%","")</f>
        <v/>
      </c>
      <c r="G53" s="626">
        <f>IF(G48&lt;I48,I48/G48-1,G48/I48-1)</f>
        <v>3.6369540509822995E-2</v>
      </c>
      <c r="H53" s="627" t="str">
        <f>IF(OR(G53&gt;=0.2,G53&lt;=-0.2),"超过20%","")</f>
        <v/>
      </c>
      <c r="I53" s="626">
        <f>IF(I48&lt;E48,E48/I48-1,I48/E48-1)</f>
        <v>5.0495210261406021E-2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f>IF(E47&lt;G47,G47/E47-1,E47/G47-1)</f>
        <v>3.1034482758620641E-2</v>
      </c>
      <c r="F54" s="627" t="str">
        <f>IF(OR(E54&gt;=0.3,E54&lt;=-0.3),"超过30%","")</f>
        <v/>
      </c>
      <c r="G54" s="626">
        <f>IF(G47&lt;I47,I47/G47-1,G47/I47-1)</f>
        <v>3.1034482758620641E-2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4"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v>100</v>
      </c>
      <c r="E59" s="650">
        <v>100</v>
      </c>
      <c r="F59" s="650">
        <v>99.5</v>
      </c>
      <c r="G59" s="650">
        <v>99.5</v>
      </c>
      <c r="H59" s="650">
        <v>99.5</v>
      </c>
      <c r="I59" s="650">
        <v>99</v>
      </c>
      <c r="J59" s="650">
        <v>99</v>
      </c>
      <c r="K59" s="650">
        <v>99</v>
      </c>
      <c r="L59" s="650"/>
      <c r="M59" s="650"/>
      <c r="N59" s="650"/>
      <c r="O59" s="650"/>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ht="14.4">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v>100</v>
      </c>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9">C69-$K11</f>
        <v>99.5</v>
      </c>
      <c r="E69" s="679">
        <f t="shared" si="19"/>
        <v>99</v>
      </c>
      <c r="F69" s="679">
        <f t="shared" si="19"/>
        <v>98.5</v>
      </c>
      <c r="G69" s="679">
        <f t="shared" si="19"/>
        <v>98</v>
      </c>
      <c r="H69" s="679">
        <f t="shared" si="19"/>
        <v>97.5</v>
      </c>
      <c r="I69" s="679">
        <f t="shared" si="19"/>
        <v>97</v>
      </c>
      <c r="J69" s="679">
        <f t="shared" si="19"/>
        <v>96.5</v>
      </c>
      <c r="K69" s="679">
        <f t="shared" si="19"/>
        <v>96</v>
      </c>
      <c r="L69" s="679">
        <f t="shared" si="19"/>
        <v>95.5</v>
      </c>
      <c r="M69" s="680">
        <f t="shared" si="19"/>
        <v>95</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4.4"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746</v>
      </c>
      <c r="C100" s="3181" t="s">
        <v>3045</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8.2"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v>100</v>
      </c>
      <c r="D104" s="671">
        <v>101</v>
      </c>
      <c r="E104" s="671">
        <v>102</v>
      </c>
      <c r="F104" s="671">
        <v>103</v>
      </c>
      <c r="G104" s="671">
        <v>104</v>
      </c>
      <c r="H104" s="671">
        <v>105</v>
      </c>
      <c r="I104" s="671">
        <v>106</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2" t="s">
        <v>3046</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3" t="s">
        <v>3047</v>
      </c>
      <c r="D107" s="3183" t="s">
        <v>3048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2" t="s">
        <v>3050</v>
      </c>
      <c r="D109" s="3182" t="s">
        <v>3051</v>
      </c>
      <c r="E109" s="3182" t="s">
        <v>3052</v>
      </c>
      <c r="F109" s="3183"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4.4"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2" t="s">
        <v>3055</v>
      </c>
      <c r="D114" s="3182" t="s">
        <v>3048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2554</v>
      </c>
      <c r="C116" s="3182" t="s">
        <v>3056</v>
      </c>
      <c r="D116" s="3182" t="s">
        <v>3058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9.4"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2" t="s">
        <v>3050</v>
      </c>
      <c r="D122" s="3182" t="s">
        <v>3051</v>
      </c>
      <c r="E122" s="3182" t="s">
        <v>3052</v>
      </c>
      <c r="F122" s="3183"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t="str">
        <f>B44</f>
        <v>特殊修正</v>
      </c>
      <c r="C126" s="3182" t="s">
        <v>3064</v>
      </c>
      <c r="D126" s="3182" t="s">
        <v>3065</v>
      </c>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v>100</v>
      </c>
      <c r="D127" s="671">
        <v>75</v>
      </c>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ht="15.6">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ht="15.6">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6">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6">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6">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6">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6.2"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ht="14.4">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ht="14.4">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C35 E35 G35 I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5" zoomScaleNormal="85" workbookViewId="0">
      <selection activeCell="F23" sqref="F23"/>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1677</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466</v>
      </c>
      <c r="B2" s="775" t="e">
        <f ca="1">C40+J29+L46</f>
        <v>#N/A</v>
      </c>
      <c r="C2" s="2057"/>
      <c r="D2" s="2055"/>
      <c r="E2" s="2056"/>
      <c r="F2" s="2056"/>
      <c r="G2" s="1589"/>
      <c r="H2" s="2057"/>
      <c r="I2" s="2057"/>
      <c r="J2" s="2057"/>
      <c r="K2" s="2058"/>
      <c r="L2" s="2057"/>
      <c r="M2" s="2057"/>
    </row>
    <row r="3" spans="1:33" ht="18" customHeight="1" thickBot="1">
      <c r="A3" s="833" t="s">
        <v>518</v>
      </c>
      <c r="B3" s="834">
        <f ca="1">IF(ISERROR(B2*10000/F43),0,ROUND(B2*10000/F43,0))</f>
        <v>0</v>
      </c>
      <c r="C3" s="2057"/>
      <c r="D3" s="2055"/>
      <c r="E3" s="2056"/>
      <c r="F3" s="2056"/>
      <c r="G3" s="1589"/>
      <c r="H3" s="776" t="s">
        <v>694</v>
      </c>
      <c r="I3" s="1363"/>
      <c r="J3" s="1363"/>
      <c r="K3" s="1590"/>
      <c r="L3" s="1363"/>
      <c r="M3" s="1363"/>
    </row>
    <row r="4" spans="1:33" ht="18" customHeight="1">
      <c r="A4" s="777" t="s">
        <v>629</v>
      </c>
      <c r="B4" s="778" t="s">
        <v>630</v>
      </c>
      <c r="C4" s="778" t="s">
        <v>631</v>
      </c>
      <c r="D4" s="778" t="s">
        <v>632</v>
      </c>
      <c r="E4" s="779" t="s">
        <v>633</v>
      </c>
      <c r="F4" s="780"/>
      <c r="G4" s="1591"/>
      <c r="H4" s="777" t="s">
        <v>629</v>
      </c>
      <c r="I4" s="778" t="s">
        <v>630</v>
      </c>
      <c r="J4" s="778" t="s">
        <v>631</v>
      </c>
      <c r="K4" s="778" t="s">
        <v>632</v>
      </c>
      <c r="L4" s="779" t="s">
        <v>633</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636</v>
      </c>
      <c r="F6" s="785" t="e">
        <f ca="1">INDIRECT("'数据-取费表'!u"&amp;$G$1)</f>
        <v>#N/A</v>
      </c>
      <c r="G6" s="1591"/>
      <c r="H6" s="2504" t="s">
        <v>1823</v>
      </c>
      <c r="I6" s="3529" t="s">
        <v>2461</v>
      </c>
      <c r="J6" s="783" t="e">
        <f ca="1">ROUND(M6*M8*M7*(1-M9)/10000,0)</f>
        <v>#N/A</v>
      </c>
      <c r="K6" s="341" t="s">
        <v>635</v>
      </c>
      <c r="L6" s="784" t="s">
        <v>636</v>
      </c>
      <c r="M6" s="785" t="e">
        <f ca="1">INDIRECT("'数据-取费表'!z"&amp;$G$1)</f>
        <v>#N/A</v>
      </c>
    </row>
    <row r="7" spans="1:33" ht="18" customHeight="1">
      <c r="A7" s="2500"/>
      <c r="B7" s="3530"/>
      <c r="C7" s="788"/>
      <c r="D7" s="789"/>
      <c r="E7" s="784" t="s">
        <v>637</v>
      </c>
      <c r="F7" s="785" t="e">
        <f ca="1">IF(INDIRECT("'数据-取费表'!ah"&amp;$G$1)="",INDIRECT("'数据-取费表'!k"&amp;$G$1),INDIRECT("'数据-取费表'!ah"&amp;$G$1))</f>
        <v>#N/A</v>
      </c>
      <c r="G7" s="1591"/>
      <c r="H7" s="2489"/>
      <c r="I7" s="3530"/>
      <c r="J7" s="788"/>
      <c r="K7" s="789"/>
      <c r="L7" s="784" t="s">
        <v>637</v>
      </c>
      <c r="M7" s="785" t="e">
        <f ca="1">F7</f>
        <v>#N/A</v>
      </c>
    </row>
    <row r="8" spans="1:33" ht="18" customHeight="1">
      <c r="A8" s="2493"/>
      <c r="B8" s="3531"/>
      <c r="C8" s="788"/>
      <c r="D8" s="789"/>
      <c r="E8" s="784" t="s">
        <v>638</v>
      </c>
      <c r="F8" s="785" t="e">
        <f ca="1">INDIRECT("'数据-取费表'!ai"&amp;$G$1)</f>
        <v>#N/A</v>
      </c>
      <c r="G8" s="1591"/>
      <c r="H8" s="2489"/>
      <c r="I8" s="3531"/>
      <c r="J8" s="788"/>
      <c r="K8" s="789"/>
      <c r="L8" s="784" t="s">
        <v>638</v>
      </c>
      <c r="M8" s="785" t="e">
        <f ca="1">INDIRECT("'数据-取费表'!ai"&amp;$G$1)</f>
        <v>#N/A</v>
      </c>
    </row>
    <row r="9" spans="1:33" ht="18" customHeight="1">
      <c r="A9" s="786"/>
      <c r="B9" s="3532"/>
      <c r="C9" s="788"/>
      <c r="D9" s="789"/>
      <c r="E9" s="784" t="s">
        <v>639</v>
      </c>
      <c r="F9" s="794" t="e">
        <f ca="1">INDIRECT("'数据-取费表'!w"&amp;$G$1)</f>
        <v>#N/A</v>
      </c>
      <c r="G9" s="1591"/>
      <c r="H9" s="2505"/>
      <c r="I9" s="3531"/>
      <c r="J9" s="788"/>
      <c r="K9" s="789"/>
      <c r="L9" s="795" t="s">
        <v>639</v>
      </c>
      <c r="M9" s="796" t="e">
        <f ca="1">INDIRECT("'数据-取费表'!ab"&amp;$G$1)</f>
        <v>#N/A</v>
      </c>
    </row>
    <row r="10" spans="1:33" ht="18" customHeight="1">
      <c r="A10" s="1830" t="s">
        <v>1824</v>
      </c>
      <c r="B10" s="2494" t="s">
        <v>2457</v>
      </c>
      <c r="C10" s="799" t="e">
        <f ca="1">ROUND(IF(F10="押一",C6/12*F11,IF(F10="押二",C6/12*2*F11,IF(F10="押三",C6/12*3*F11,C11*F11))),0)</f>
        <v>#N/A</v>
      </c>
      <c r="D10" s="2501" t="s">
        <v>2970</v>
      </c>
      <c r="E10" s="2498" t="s">
        <v>2462</v>
      </c>
      <c r="F10" s="2621" t="s">
        <v>3027</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643</v>
      </c>
      <c r="C13" s="792" t="e">
        <f ca="1">ROUND(C29*F13,0)</f>
        <v>#N/A</v>
      </c>
      <c r="D13" s="1834" t="s">
        <v>2297</v>
      </c>
      <c r="E13" s="1834" t="s">
        <v>642</v>
      </c>
      <c r="F13" s="2536" t="e">
        <f ca="1">INDIRECT("'数据-取费表'!y"&amp;$G$1)</f>
        <v>#N/A</v>
      </c>
      <c r="G13" s="1591"/>
      <c r="H13" s="1829">
        <v>2</v>
      </c>
      <c r="I13" s="1827" t="s">
        <v>643</v>
      </c>
      <c r="J13" s="1819" t="e">
        <f ca="1">ROUND(J14*J15,0)</f>
        <v>#N/A</v>
      </c>
      <c r="K13" s="1821" t="s">
        <v>641</v>
      </c>
      <c r="L13" s="2552"/>
      <c r="M13" s="2553"/>
    </row>
    <row r="14" spans="1:33" ht="18" customHeight="1">
      <c r="A14" s="1647" t="s">
        <v>1830</v>
      </c>
      <c r="B14" s="784" t="s">
        <v>644</v>
      </c>
      <c r="C14" s="804" t="e">
        <f ca="1">INDIRECT("'数据-取费表'!m"&amp;$G$1)+INDIRECT("'数据-取费表'!t"&amp;$G$1)</f>
        <v>#N/A</v>
      </c>
      <c r="D14" s="3203" t="s">
        <v>645</v>
      </c>
      <c r="E14" s="3202"/>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647</v>
      </c>
      <c r="E15" s="806" t="s">
        <v>648</v>
      </c>
      <c r="F15" s="807">
        <f>'数据-取费表'!B33</f>
        <v>0.05</v>
      </c>
      <c r="G15" s="1592"/>
      <c r="H15" s="2551" t="s">
        <v>1888</v>
      </c>
      <c r="I15" s="2546" t="s">
        <v>642</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647</v>
      </c>
      <c r="E16" s="784" t="s">
        <v>648</v>
      </c>
      <c r="F16" s="809" t="e">
        <f ca="1">IF(INDIRECT("'数据-取费表'!c"&amp;$G$1)="住宅",'数据-取费表'!B34,0)</f>
        <v>#N/A</v>
      </c>
      <c r="G16" s="1591"/>
      <c r="H16" s="1829" t="s">
        <v>7</v>
      </c>
      <c r="I16" s="1827" t="s">
        <v>650</v>
      </c>
      <c r="J16" s="792" t="e">
        <f ca="1">ROUND(J17+J22+J23+J24,0)</f>
        <v>#N/A</v>
      </c>
      <c r="K16" s="1821" t="s">
        <v>651</v>
      </c>
      <c r="L16" s="3206"/>
      <c r="M16" s="2491"/>
    </row>
    <row r="17" spans="1:33" s="2064" customFormat="1" ht="18" customHeight="1">
      <c r="A17" s="1647" t="s">
        <v>1886</v>
      </c>
      <c r="B17" s="784" t="s">
        <v>652</v>
      </c>
      <c r="C17" s="53" t="e">
        <f ca="1">ROUND(F17*(F43+INDIRECT("'数据-取费表'!S"&amp;$G$1))/10000,0)</f>
        <v>#N/A</v>
      </c>
      <c r="D17" s="784" t="s">
        <v>653</v>
      </c>
      <c r="E17" s="784" t="s">
        <v>654</v>
      </c>
      <c r="F17" s="56">
        <f>'数据-取费表'!B35</f>
        <v>200</v>
      </c>
      <c r="G17" s="1592"/>
      <c r="H17" s="1648" t="s">
        <v>1823</v>
      </c>
      <c r="I17" s="784" t="s">
        <v>655</v>
      </c>
      <c r="J17" s="53" t="e">
        <f ca="1">ROUND(IF(项目基本情况!B11="自然人",J5*M17,J18+J19+J20),0)</f>
        <v>#N/A</v>
      </c>
      <c r="K17" s="3203" t="s">
        <v>656</v>
      </c>
      <c r="L17" s="3204" t="s">
        <v>657</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647</v>
      </c>
      <c r="E18" s="784" t="s">
        <v>648</v>
      </c>
      <c r="F18" s="809">
        <f>'数据-取费表'!B36</f>
        <v>1.4999999999999999E-2</v>
      </c>
      <c r="G18" s="1592"/>
      <c r="H18" s="1647" t="s">
        <v>1830</v>
      </c>
      <c r="I18" s="784" t="s">
        <v>659</v>
      </c>
      <c r="J18" s="53" t="e">
        <f ca="1">ROUND(J5*M18/1.05,1)</f>
        <v>#N/A</v>
      </c>
      <c r="K18" s="3204" t="s">
        <v>660</v>
      </c>
      <c r="L18" s="784" t="s">
        <v>648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662</v>
      </c>
      <c r="E19" s="3211"/>
      <c r="F19" s="56"/>
      <c r="G19" s="1591"/>
      <c r="H19" s="1647" t="s">
        <v>1831</v>
      </c>
      <c r="I19" s="784" t="s">
        <v>663</v>
      </c>
      <c r="J19" s="53" t="e">
        <f ca="1">IF(K19="按租金收入计税",ROUND(J5*M19,1),ROUND(C29*F33*0.7,1))</f>
        <v>#N/A</v>
      </c>
      <c r="K19" s="811" t="s">
        <v>664</v>
      </c>
      <c r="L19" s="784" t="s">
        <v>648</v>
      </c>
      <c r="M19" s="809">
        <f>IF(K19="按租金收入计税",'数据-取费表'!B51,'数据-取费表'!B50)</f>
        <v>1.2E-2</v>
      </c>
    </row>
    <row r="20" spans="1:33" s="2064" customFormat="1" ht="18" customHeight="1">
      <c r="A20" s="1648" t="s">
        <v>1888</v>
      </c>
      <c r="B20" s="784" t="s">
        <v>665</v>
      </c>
      <c r="C20" s="53" t="e">
        <f ca="1">ROUND(C19*F20,0)</f>
        <v>#N/A</v>
      </c>
      <c r="D20" s="812" t="s">
        <v>666</v>
      </c>
      <c r="E20" s="784" t="s">
        <v>648</v>
      </c>
      <c r="F20" s="809">
        <f>'数据-取费表'!B37</f>
        <v>0.02</v>
      </c>
      <c r="G20" s="1592"/>
      <c r="H20" s="1650" t="s">
        <v>1832</v>
      </c>
      <c r="I20" s="341" t="s">
        <v>667</v>
      </c>
      <c r="J20" s="54" t="e">
        <f ca="1">ROUND(M20*M21/10000,0)</f>
        <v>#N/A</v>
      </c>
      <c r="K20" s="814" t="s">
        <v>668</v>
      </c>
      <c r="L20" s="784" t="s">
        <v>669</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670</v>
      </c>
      <c r="C21" s="53" t="s">
        <v>1</v>
      </c>
      <c r="D21" s="812" t="s">
        <v>2298</v>
      </c>
      <c r="E21" s="784" t="s">
        <v>672</v>
      </c>
      <c r="F21" s="809">
        <f>'数据-取费表'!B38</f>
        <v>0.02</v>
      </c>
      <c r="G21" s="1592"/>
      <c r="H21" s="2506"/>
      <c r="I21" s="793"/>
      <c r="J21" s="69"/>
      <c r="K21" s="816"/>
      <c r="L21" s="784" t="s">
        <v>673</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674</v>
      </c>
      <c r="C22" s="53"/>
      <c r="D22" s="2572" t="str">
        <f>IF(F23&lt;=1,"单利计息。","复利计息。")&amp;"建造成本、管理费用、销售费用产生的利息。"</f>
        <v>复利计息。建造成本、管理费用、销售费用产生的利息。</v>
      </c>
      <c r="E22" s="3211"/>
      <c r="F22" s="56"/>
      <c r="G22" s="1591"/>
      <c r="H22" s="1648" t="s">
        <v>1888</v>
      </c>
      <c r="I22" s="784" t="s">
        <v>675</v>
      </c>
      <c r="J22" s="53" t="e">
        <f ca="1">ROUND(J14*M22,0)</f>
        <v>#N/A</v>
      </c>
      <c r="K22" s="3204" t="s">
        <v>676</v>
      </c>
      <c r="L22" s="784" t="s">
        <v>648</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677</v>
      </c>
      <c r="F23" s="640">
        <f>'数据-取费表'!B20</f>
        <v>3</v>
      </c>
      <c r="G23" s="1592"/>
      <c r="H23" s="1648" t="s">
        <v>1889</v>
      </c>
      <c r="I23" s="784" t="s">
        <v>678</v>
      </c>
      <c r="J23" s="53" t="e">
        <f ca="1">ROUND(J13*M23,0)</f>
        <v>#N/A</v>
      </c>
      <c r="K23" s="3204" t="s">
        <v>679</v>
      </c>
      <c r="L23" s="784" t="s">
        <v>648</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680</v>
      </c>
      <c r="C24" s="53">
        <f ca="1">ROUND(IF('数据-取费表'!B22&lt;=1,F21*F24*F23/2,F21*(POWER((1+F24),F23/2)-1)),4)</f>
        <v>1.4E-3</v>
      </c>
      <c r="D24" s="2571" t="str">
        <f>IF(F23&lt;=1,"销售费用×利率×(建设周期÷2)","销售费用×((1+利率)^(建设周期÷2)-1)")</f>
        <v>销售费用×((1+利率)^(建设周期÷2)-1)</v>
      </c>
      <c r="E24" s="784" t="s">
        <v>681</v>
      </c>
      <c r="F24" s="819">
        <f ca="1">'数据-取费表'!B40</f>
        <v>4.7500000000000001E-2</v>
      </c>
      <c r="G24" s="1592"/>
      <c r="H24" s="2551" t="s">
        <v>1890</v>
      </c>
      <c r="I24" s="2546" t="s">
        <v>665</v>
      </c>
      <c r="J24" s="2544" t="e">
        <f ca="1">ROUND(J5*M24,0)</f>
        <v>#N/A</v>
      </c>
      <c r="K24" s="2545" t="s">
        <v>682</v>
      </c>
      <c r="L24" s="2546" t="s">
        <v>648</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684</v>
      </c>
      <c r="E25" s="3211"/>
      <c r="F25" s="56"/>
      <c r="G25" s="1591"/>
      <c r="H25" s="1829" t="s">
        <v>1775</v>
      </c>
      <c r="I25" s="3010" t="s">
        <v>2819</v>
      </c>
      <c r="J25" s="792" t="e">
        <f ca="1">J5-J16</f>
        <v>#N/A</v>
      </c>
      <c r="K25" s="2548" t="s">
        <v>699</v>
      </c>
      <c r="L25" s="2549"/>
      <c r="M25" s="2550"/>
    </row>
    <row r="26" spans="1:33" ht="18" customHeight="1">
      <c r="A26" s="1647" t="s">
        <v>1830</v>
      </c>
      <c r="B26" s="784" t="s">
        <v>2438</v>
      </c>
      <c r="C26" s="53" t="e">
        <f ca="1">ROUND((C19+C20)*F26,0)</f>
        <v>#N/A</v>
      </c>
      <c r="D26" s="812" t="s">
        <v>700</v>
      </c>
      <c r="E26" s="795" t="s">
        <v>701</v>
      </c>
      <c r="F26" s="794" t="e">
        <f ca="1">INDIRECT("'数据-取费表'!q"&amp;$G$1)</f>
        <v>#N/A</v>
      </c>
      <c r="G26" s="1591"/>
      <c r="H26" s="2502" t="s">
        <v>1779</v>
      </c>
      <c r="I26" s="2232" t="s">
        <v>2824</v>
      </c>
      <c r="J26" s="783" t="e">
        <f ca="1">IF(J5&lt;&gt;0,ROUND(J25*(1-((1+M28)/(1+M26))^M27)/(M26-M28),0),0)</f>
        <v>#N/A</v>
      </c>
      <c r="K26" s="814" t="s">
        <v>703</v>
      </c>
      <c r="L26" s="784" t="s">
        <v>2419</v>
      </c>
      <c r="M26" s="794" t="e">
        <f ca="1">INDIRECT("'数据-取费表'!I"&amp;$G$1)</f>
        <v>#N/A</v>
      </c>
    </row>
    <row r="27" spans="1:33" ht="18" customHeight="1">
      <c r="A27" s="1647" t="s">
        <v>1831</v>
      </c>
      <c r="B27" s="784" t="s">
        <v>685</v>
      </c>
      <c r="C27" s="53" t="e">
        <f ca="1">ROUND(F21*F26,4)</f>
        <v>#N/A</v>
      </c>
      <c r="D27" s="812" t="s">
        <v>705</v>
      </c>
      <c r="E27" s="806"/>
      <c r="F27" s="807"/>
      <c r="G27" s="1591"/>
      <c r="H27" s="2503"/>
      <c r="I27" s="787"/>
      <c r="J27" s="788"/>
      <c r="K27" s="821" t="s">
        <v>706</v>
      </c>
      <c r="L27" s="784" t="s">
        <v>707</v>
      </c>
      <c r="M27" s="822" t="e">
        <f ca="1">INDIRECT("'数据-取费表'!ag"&amp;$G$1)</f>
        <v>#N/A</v>
      </c>
    </row>
    <row r="28" spans="1:33" s="2064" customFormat="1" ht="18" customHeight="1">
      <c r="A28" s="1649" t="s">
        <v>1840</v>
      </c>
      <c r="B28" s="784" t="s">
        <v>686</v>
      </c>
      <c r="C28" s="53">
        <f>ROUND(F28/(1+'数据-取费表'!C42),4)</f>
        <v>5.33E-2</v>
      </c>
      <c r="D28" s="812" t="s">
        <v>2299</v>
      </c>
      <c r="E28" s="784" t="s">
        <v>648</v>
      </c>
      <c r="F28" s="809">
        <f>'数据-取费表'!B41</f>
        <v>5.6000000000000001E-2</v>
      </c>
      <c r="G28" s="1592"/>
      <c r="H28" s="1829"/>
      <c r="I28" s="791"/>
      <c r="J28" s="792"/>
      <c r="K28" s="816"/>
      <c r="L28" s="784" t="s">
        <v>709</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687</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7</v>
      </c>
      <c r="B30" s="1827" t="s">
        <v>650</v>
      </c>
      <c r="C30" s="792" t="e">
        <f ca="1">ROUND(C31+C36+C37+C38,0)</f>
        <v>#N/A</v>
      </c>
      <c r="D30" s="1821" t="s">
        <v>651</v>
      </c>
      <c r="E30" s="3206"/>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203" t="s">
        <v>656</v>
      </c>
      <c r="E31" s="3204" t="s">
        <v>689</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659</v>
      </c>
      <c r="C32" s="53" t="e">
        <f ca="1">ROUND(C5*F32/1.05,1)</f>
        <v>#N/A</v>
      </c>
      <c r="D32" s="3204" t="s">
        <v>660</v>
      </c>
      <c r="E32" s="784" t="s">
        <v>648</v>
      </c>
      <c r="F32" s="809">
        <f>'数据-取费表'!B41</f>
        <v>5.6000000000000001E-2</v>
      </c>
      <c r="G32" s="2062"/>
      <c r="H32" s="2071"/>
      <c r="I32" s="2072"/>
      <c r="J32" s="2073"/>
      <c r="K32" s="2074"/>
      <c r="L32" s="2075"/>
      <c r="M32" s="2076"/>
    </row>
    <row r="33" spans="1:18" ht="18" customHeight="1">
      <c r="A33" s="1647" t="s">
        <v>1831</v>
      </c>
      <c r="B33" s="784" t="s">
        <v>663</v>
      </c>
      <c r="C33" s="53" t="e">
        <f ca="1">IF(D33="按租金收入计税",ROUND(C5*F33,1),IF(D33="按房产原值计税",ROUND(C29*F33*0.7,1),INDIRECT("'数据-取费表'!Aj"&amp;$G$1)))</f>
        <v>#N/A</v>
      </c>
      <c r="D33" s="811" t="s">
        <v>3028</v>
      </c>
      <c r="E33" s="784" t="s">
        <v>648</v>
      </c>
      <c r="F33" s="809">
        <f>IF(D33="按租金收入计税",'数据-取费表'!B51,'数据-取费表'!B50)</f>
        <v>0.12</v>
      </c>
      <c r="G33" s="2062"/>
      <c r="H33" s="2077"/>
      <c r="I33" s="2077"/>
      <c r="J33" s="2077"/>
      <c r="K33" s="2078"/>
      <c r="L33" s="2077"/>
      <c r="M33" s="2077"/>
    </row>
    <row r="34" spans="1:18" ht="18" customHeight="1">
      <c r="A34" s="1650" t="s">
        <v>1832</v>
      </c>
      <c r="B34" s="341" t="s">
        <v>667</v>
      </c>
      <c r="C34" s="54" t="e">
        <f ca="1">ROUND(F34*F35/10000,1)</f>
        <v>#N/A</v>
      </c>
      <c r="D34" s="814" t="s">
        <v>668</v>
      </c>
      <c r="E34" s="784" t="s">
        <v>669</v>
      </c>
      <c r="F34" s="640">
        <f>'数据-取费表'!B52</f>
        <v>20</v>
      </c>
      <c r="G34" s="2062"/>
      <c r="H34" s="2065"/>
      <c r="I34" s="835" t="s">
        <v>1812</v>
      </c>
      <c r="J34" s="836"/>
      <c r="K34" s="2080"/>
      <c r="L34" s="2079"/>
      <c r="M34" s="2079"/>
    </row>
    <row r="35" spans="1:18" ht="18" customHeight="1">
      <c r="A35" s="815"/>
      <c r="B35" s="793"/>
      <c r="C35" s="69"/>
      <c r="D35" s="816"/>
      <c r="E35" s="784" t="s">
        <v>673</v>
      </c>
      <c r="F35" s="785" t="e">
        <f ca="1">INDIRECT("'数据-取费表'!r"&amp;$G$1)</f>
        <v>#N/A</v>
      </c>
      <c r="G35" s="2062"/>
      <c r="H35" s="2065"/>
      <c r="I35" s="837" t="s">
        <v>1813</v>
      </c>
      <c r="J35" s="838" t="e">
        <f ca="1">ROUND(C13*J36,0)</f>
        <v>#N/A</v>
      </c>
      <c r="K35" s="2078"/>
      <c r="L35" s="2077"/>
      <c r="M35" s="2077"/>
    </row>
    <row r="36" spans="1:18" ht="18" customHeight="1">
      <c r="A36" s="1648" t="s">
        <v>1888</v>
      </c>
      <c r="B36" s="784" t="s">
        <v>675</v>
      </c>
      <c r="C36" s="53" t="e">
        <f ca="1">ROUND(C29*F36,1)</f>
        <v>#N/A</v>
      </c>
      <c r="D36" s="3204" t="s">
        <v>690</v>
      </c>
      <c r="E36" s="784" t="s">
        <v>648</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204" t="s">
        <v>679</v>
      </c>
      <c r="E37" s="784" t="s">
        <v>648</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682</v>
      </c>
      <c r="E38" s="2546" t="s">
        <v>648</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699</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703</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707</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709</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637</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638</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204"/>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7</v>
      </c>
      <c r="B57" s="798" t="s">
        <v>650</v>
      </c>
      <c r="C57" s="799" t="e">
        <f ca="1">ROUND(C58+C63+C64+C65,0)</f>
        <v>#N/A</v>
      </c>
      <c r="D57" s="26" t="s">
        <v>651</v>
      </c>
      <c r="E57" s="3211"/>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203" t="s">
        <v>656</v>
      </c>
      <c r="E58" s="3204"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204" t="s">
        <v>660</v>
      </c>
      <c r="E59" s="784" t="s">
        <v>648</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663</v>
      </c>
      <c r="C60" s="53" t="e">
        <f ca="1">IF(D60="按租金收入计税",ROUND(C47*F60,1),IF(D60="按房产原值计税",ROUND(C56*F60*0.7,1),INDIRECT("'数据-取费表'!Aj"&amp;$G$1)))</f>
        <v>#N/A</v>
      </c>
      <c r="D60" s="3204" t="str">
        <f>D33</f>
        <v>按租金收入计税</v>
      </c>
      <c r="E60" s="784" t="s">
        <v>648</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204" t="s">
        <v>690</v>
      </c>
      <c r="E63" s="784" t="s">
        <v>648</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204" t="s">
        <v>679</v>
      </c>
      <c r="E64" s="784" t="s">
        <v>648</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204" t="s">
        <v>682</v>
      </c>
      <c r="E65" s="784" t="s">
        <v>648</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203" t="s">
        <v>699</v>
      </c>
      <c r="E66" s="3201"/>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707</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5" zoomScaleNormal="85" workbookViewId="0">
      <selection activeCell="C40" sqref="C40"/>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3024</v>
      </c>
      <c r="D1" s="3122" t="s">
        <v>3069</v>
      </c>
      <c r="E1" s="2387" t="s">
        <v>2374</v>
      </c>
      <c r="F1" s="2388">
        <f ca="1">J53</f>
        <v>32.07</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f ca="1">C40+J29+L46</f>
        <v>23910</v>
      </c>
      <c r="C2" s="2057"/>
      <c r="D2" s="2055"/>
      <c r="E2" s="2056"/>
      <c r="F2" s="2056"/>
      <c r="G2" s="1589"/>
      <c r="H2" s="2057"/>
      <c r="I2" s="2057"/>
      <c r="J2" s="2057"/>
      <c r="K2" s="2058"/>
      <c r="L2" s="2057"/>
      <c r="M2" s="2057"/>
    </row>
    <row r="3" spans="1:33" ht="18" customHeight="1" thickBot="1">
      <c r="A3" s="833" t="s">
        <v>1726</v>
      </c>
      <c r="B3" s="834">
        <f ca="1">IF(ISERROR(B2*10000/F43),0,ROUND(B2*10000/F43,0))</f>
        <v>11716</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1731</v>
      </c>
      <c r="I4" s="778" t="s">
        <v>1732</v>
      </c>
      <c r="J4" s="778" t="s">
        <v>1733</v>
      </c>
      <c r="K4" s="778" t="s">
        <v>1734</v>
      </c>
      <c r="L4" s="779" t="s">
        <v>1735</v>
      </c>
      <c r="M4" s="780"/>
    </row>
    <row r="5" spans="1:33" ht="18" customHeight="1">
      <c r="A5" s="781">
        <v>1</v>
      </c>
      <c r="B5" s="782" t="s">
        <v>2456</v>
      </c>
      <c r="C5" s="55">
        <f ca="1">C6+C10+C12</f>
        <v>1678</v>
      </c>
      <c r="D5" s="2496" t="s">
        <v>2459</v>
      </c>
      <c r="E5" s="2490"/>
      <c r="F5" s="2491"/>
      <c r="G5" s="1591"/>
      <c r="H5" s="781">
        <v>1</v>
      </c>
      <c r="I5" s="782" t="s">
        <v>2456</v>
      </c>
      <c r="J5" s="55">
        <f ca="1">J6+J10+J12</f>
        <v>0</v>
      </c>
      <c r="K5" s="2496" t="s">
        <v>2459</v>
      </c>
      <c r="L5" s="2490"/>
      <c r="M5" s="2491"/>
    </row>
    <row r="6" spans="1:33" ht="18" customHeight="1">
      <c r="A6" s="1830" t="s">
        <v>1823</v>
      </c>
      <c r="B6" s="3529" t="s">
        <v>2461</v>
      </c>
      <c r="C6" s="783">
        <f ca="1">ROUND(F6*F8*F7*(1-F9)/10000,0)</f>
        <v>1676</v>
      </c>
      <c r="D6" s="2497" t="s">
        <v>2460</v>
      </c>
      <c r="E6" s="784" t="s">
        <v>1737</v>
      </c>
      <c r="F6" s="785">
        <f ca="1">INDIRECT("'数据-取费表'!u"&amp;$G$1)</f>
        <v>2.5</v>
      </c>
      <c r="G6" s="1591"/>
      <c r="H6" s="2504" t="s">
        <v>2466</v>
      </c>
      <c r="I6" s="3529" t="s">
        <v>2461</v>
      </c>
      <c r="J6" s="783">
        <f ca="1">ROUND(M6*M8*M7*(1-M9)/10000,0)</f>
        <v>0</v>
      </c>
      <c r="K6" s="341" t="s">
        <v>1736</v>
      </c>
      <c r="L6" s="784" t="s">
        <v>1737</v>
      </c>
      <c r="M6" s="785">
        <f ca="1">INDIRECT("'数据-取费表'!z"&amp;$G$1)</f>
        <v>0</v>
      </c>
    </row>
    <row r="7" spans="1:33" ht="18" customHeight="1">
      <c r="A7" s="2500"/>
      <c r="B7" s="3530"/>
      <c r="C7" s="788"/>
      <c r="D7" s="789"/>
      <c r="E7" s="784" t="s">
        <v>1738</v>
      </c>
      <c r="F7" s="785">
        <f ca="1">IF(INDIRECT("'数据-取费表'!ah"&amp;$G$1)="",INDIRECT("'数据-取费表'!k"&amp;$G$1),INDIRECT("'数据-取费表'!ah"&amp;$G$1))</f>
        <v>20408.7</v>
      </c>
      <c r="G7" s="1591"/>
      <c r="H7" s="2489"/>
      <c r="I7" s="3530"/>
      <c r="J7" s="788"/>
      <c r="K7" s="789"/>
      <c r="L7" s="784" t="s">
        <v>1738</v>
      </c>
      <c r="M7" s="785">
        <f ca="1">F7</f>
        <v>20408.7</v>
      </c>
    </row>
    <row r="8" spans="1:33" ht="18" customHeight="1">
      <c r="A8" s="2493"/>
      <c r="B8" s="3531"/>
      <c r="C8" s="788"/>
      <c r="D8" s="789"/>
      <c r="E8" s="784" t="s">
        <v>1739</v>
      </c>
      <c r="F8" s="785">
        <f ca="1">INDIRECT("'数据-取费表'!ai"&amp;$G$1)</f>
        <v>365</v>
      </c>
      <c r="G8" s="1591"/>
      <c r="H8" s="2489"/>
      <c r="I8" s="3531"/>
      <c r="J8" s="788"/>
      <c r="K8" s="789"/>
      <c r="L8" s="784" t="s">
        <v>1739</v>
      </c>
      <c r="M8" s="785">
        <f ca="1">INDIRECT("'数据-取费表'!ai"&amp;$G$1)</f>
        <v>365</v>
      </c>
    </row>
    <row r="9" spans="1:33" ht="18" customHeight="1">
      <c r="A9" s="786"/>
      <c r="B9" s="3532"/>
      <c r="C9" s="788"/>
      <c r="D9" s="789"/>
      <c r="E9" s="784" t="s">
        <v>1740</v>
      </c>
      <c r="F9" s="794">
        <f ca="1">INDIRECT("'数据-取费表'!w"&amp;$G$1)</f>
        <v>0.1</v>
      </c>
      <c r="G9" s="1591"/>
      <c r="H9" s="2505"/>
      <c r="I9" s="3531"/>
      <c r="J9" s="788"/>
      <c r="K9" s="789"/>
      <c r="L9" s="795" t="s">
        <v>1740</v>
      </c>
      <c r="M9" s="796">
        <f ca="1">INDIRECT("'数据-取费表'!ab"&amp;$G$1)</f>
        <v>0</v>
      </c>
    </row>
    <row r="10" spans="1:33" ht="18" customHeight="1">
      <c r="A10" s="1830" t="s">
        <v>2464</v>
      </c>
      <c r="B10" s="2494" t="s">
        <v>2457</v>
      </c>
      <c r="C10" s="799">
        <f ca="1">ROUND(IF(F10="押一",C6/12*F11,IF(F10="押二",C6/12*2*F11,IF(F10="押三",C6/12*3*F11,C11*F11))),0)</f>
        <v>2</v>
      </c>
      <c r="D10" s="2501" t="s">
        <v>2970</v>
      </c>
      <c r="E10" s="2498" t="s">
        <v>2462</v>
      </c>
      <c r="F10" s="2621" t="s">
        <v>3027</v>
      </c>
      <c r="G10" s="1591"/>
      <c r="H10" s="2561" t="s">
        <v>2467</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2463</v>
      </c>
      <c r="F11" s="796">
        <f ca="1">'数据-取费表'!B39</f>
        <v>1.4999999999999999E-2</v>
      </c>
      <c r="G11" s="1591"/>
      <c r="H11" s="2562"/>
      <c r="I11" s="2495" t="s">
        <v>2571</v>
      </c>
      <c r="J11" s="2499"/>
      <c r="K11" s="2563"/>
      <c r="L11" s="2498" t="s">
        <v>2463</v>
      </c>
      <c r="M11" s="2492">
        <f ca="1">'数据-取费表'!B39</f>
        <v>1.4999999999999999E-2</v>
      </c>
    </row>
    <row r="12" spans="1:33" ht="18" customHeight="1" thickBot="1">
      <c r="A12" s="2537" t="s">
        <v>2465</v>
      </c>
      <c r="B12" s="2538" t="s">
        <v>2458</v>
      </c>
      <c r="C12" s="2539"/>
      <c r="D12" s="2540"/>
      <c r="E12" s="2541"/>
      <c r="F12" s="2542"/>
      <c r="G12" s="1591"/>
      <c r="H12" s="2551" t="s">
        <v>2468</v>
      </c>
      <c r="I12" s="2564" t="s">
        <v>2458</v>
      </c>
      <c r="J12" s="2565"/>
      <c r="K12" s="2540"/>
      <c r="L12" s="2541"/>
      <c r="M12" s="2554"/>
    </row>
    <row r="13" spans="1:33" ht="18" customHeight="1" thickTop="1">
      <c r="A13" s="1829">
        <v>2</v>
      </c>
      <c r="B13" s="1827" t="s">
        <v>1741</v>
      </c>
      <c r="C13" s="792">
        <f ca="1">ROUND(C29*F13,0)</f>
        <v>9147</v>
      </c>
      <c r="D13" s="1834" t="s">
        <v>2297</v>
      </c>
      <c r="E13" s="1834" t="s">
        <v>1743</v>
      </c>
      <c r="F13" s="2536">
        <f ca="1">INDIRECT("'数据-取费表'!y"&amp;$G$1)</f>
        <v>1</v>
      </c>
      <c r="G13" s="1591"/>
      <c r="H13" s="1829">
        <v>2</v>
      </c>
      <c r="I13" s="1827" t="s">
        <v>1741</v>
      </c>
      <c r="J13" s="1819">
        <f ca="1">ROUND(J14*J15,0)</f>
        <v>0</v>
      </c>
      <c r="K13" s="1821" t="s">
        <v>1742</v>
      </c>
      <c r="L13" s="2552"/>
      <c r="M13" s="2553"/>
    </row>
    <row r="14" spans="1:33" ht="18" customHeight="1">
      <c r="A14" s="1647" t="s">
        <v>1883</v>
      </c>
      <c r="B14" s="784" t="s">
        <v>644</v>
      </c>
      <c r="C14" s="804">
        <f ca="1">INDIRECT("'数据-取费表'!m"&amp;$G$1)+INDIRECT("'数据-取费表'!t"&amp;$G$1)</f>
        <v>5714</v>
      </c>
      <c r="D14" s="1979" t="s">
        <v>1744</v>
      </c>
      <c r="E14" s="1980"/>
      <c r="F14" s="805"/>
      <c r="G14" s="1591"/>
      <c r="H14" s="1648" t="s">
        <v>1829</v>
      </c>
      <c r="I14" s="2231" t="s">
        <v>2823</v>
      </c>
      <c r="J14" s="53">
        <f ca="1">C29</f>
        <v>9147</v>
      </c>
      <c r="K14" s="26"/>
      <c r="L14" s="801"/>
      <c r="M14" s="802"/>
    </row>
    <row r="15" spans="1:33" s="2064" customFormat="1" ht="18" customHeight="1" thickBot="1">
      <c r="A15" s="1647" t="s">
        <v>1884</v>
      </c>
      <c r="B15" s="784" t="s">
        <v>646</v>
      </c>
      <c r="C15" s="53">
        <f ca="1">ROUND(C14*F15,0)</f>
        <v>286</v>
      </c>
      <c r="D15" s="806" t="s">
        <v>1745</v>
      </c>
      <c r="E15" s="806" t="s">
        <v>1746</v>
      </c>
      <c r="F15" s="807">
        <f>'数据-取费表'!B33</f>
        <v>0.05</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4" t="s">
        <v>649</v>
      </c>
      <c r="C16" s="53">
        <f ca="1">ROUND(INDIRECT("'数据-取费表'!m"&amp;$G$1)*F16,0)</f>
        <v>0</v>
      </c>
      <c r="D16" s="784" t="s">
        <v>1745</v>
      </c>
      <c r="E16" s="784" t="s">
        <v>1746</v>
      </c>
      <c r="F16" s="809">
        <f ca="1">IF(INDIRECT("'数据-取费表'!c"&amp;$G$1)="住宅",'数据-取费表'!B34,0)</f>
        <v>0</v>
      </c>
      <c r="G16" s="1591"/>
      <c r="H16" s="1829" t="s">
        <v>1747</v>
      </c>
      <c r="I16" s="1827" t="s">
        <v>1748</v>
      </c>
      <c r="J16" s="792">
        <f ca="1">ROUND(J17+J22+J23+J24,0)</f>
        <v>932</v>
      </c>
      <c r="K16" s="1821" t="s">
        <v>1749</v>
      </c>
      <c r="L16" s="2486"/>
      <c r="M16" s="2491"/>
    </row>
    <row r="17" spans="1:33" s="2064" customFormat="1" ht="18" customHeight="1">
      <c r="A17" s="1647" t="s">
        <v>1886</v>
      </c>
      <c r="B17" s="784" t="s">
        <v>652</v>
      </c>
      <c r="C17" s="53">
        <f ca="1">ROUND(F17*(F43+INDIRECT("'数据-取费表'!S"&amp;$G$1))/10000,0)</f>
        <v>408</v>
      </c>
      <c r="D17" s="784" t="s">
        <v>1750</v>
      </c>
      <c r="E17" s="784" t="s">
        <v>1751</v>
      </c>
      <c r="F17" s="56">
        <f>'数据-取费表'!B35</f>
        <v>200</v>
      </c>
      <c r="G17" s="1592"/>
      <c r="H17" s="1648" t="s">
        <v>1829</v>
      </c>
      <c r="I17" s="784" t="s">
        <v>655</v>
      </c>
      <c r="J17" s="53">
        <f ca="1">ROUND(IF(项目基本情况!B11="自然人",J5*M17,J18+J19+J20),0)</f>
        <v>795</v>
      </c>
      <c r="K17" s="2485" t="s">
        <v>1752</v>
      </c>
      <c r="L17" s="2484"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f ca="1">ROUND(C14*F18,0)</f>
        <v>86</v>
      </c>
      <c r="D18" s="784" t="s">
        <v>1745</v>
      </c>
      <c r="E18" s="784" t="s">
        <v>1746</v>
      </c>
      <c r="F18" s="809">
        <f>'数据-取费表'!B36</f>
        <v>1.4999999999999999E-2</v>
      </c>
      <c r="G18" s="1592"/>
      <c r="H18" s="1647" t="s">
        <v>1883</v>
      </c>
      <c r="I18" s="784" t="s">
        <v>1754</v>
      </c>
      <c r="J18" s="53">
        <f ca="1">ROUND(J5*M18/1.05,1)</f>
        <v>0</v>
      </c>
      <c r="K18" s="2484"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4" t="s">
        <v>661</v>
      </c>
      <c r="C19" s="53">
        <f ca="1">SUM(C14:C18)</f>
        <v>6494</v>
      </c>
      <c r="D19" s="261" t="s">
        <v>1756</v>
      </c>
      <c r="E19" s="1982"/>
      <c r="F19" s="56"/>
      <c r="G19" s="1591"/>
      <c r="H19" s="1647" t="s">
        <v>1884</v>
      </c>
      <c r="I19" s="784" t="s">
        <v>1757</v>
      </c>
      <c r="J19" s="53">
        <f ca="1">IF(K19="按租金收入计税",ROUND(J5*M19,1),ROUND(C29*F33*0.7,1))</f>
        <v>768.3</v>
      </c>
      <c r="K19" s="811" t="s">
        <v>664</v>
      </c>
      <c r="L19" s="784" t="s">
        <v>1746</v>
      </c>
      <c r="M19" s="809">
        <f>IF(K19="按租金收入计税",'数据-取费表'!B51,'数据-取费表'!B50)</f>
        <v>1.2E-2</v>
      </c>
    </row>
    <row r="20" spans="1:33" s="2064" customFormat="1" ht="18" customHeight="1">
      <c r="A20" s="1648" t="s">
        <v>1888</v>
      </c>
      <c r="B20" s="784" t="s">
        <v>665</v>
      </c>
      <c r="C20" s="53">
        <f ca="1">ROUND(C19*F20,0)</f>
        <v>130</v>
      </c>
      <c r="D20" s="812" t="s">
        <v>1758</v>
      </c>
      <c r="E20" s="784" t="s">
        <v>1746</v>
      </c>
      <c r="F20" s="809">
        <f>'数据-取费表'!B37</f>
        <v>0.02</v>
      </c>
      <c r="G20" s="1592"/>
      <c r="H20" s="1650" t="s">
        <v>1879</v>
      </c>
      <c r="I20" s="341" t="s">
        <v>1759</v>
      </c>
      <c r="J20" s="54">
        <f ca="1">ROUND(M20*M21/10000,0)</f>
        <v>27</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f ca="1">INDIRECT("'数据-取费表'!r"&amp;$G$1)</f>
        <v>13605.8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1982"/>
      <c r="F22" s="56"/>
      <c r="G22" s="1591"/>
      <c r="H22" s="1648" t="s">
        <v>1888</v>
      </c>
      <c r="I22" s="784" t="s">
        <v>1767</v>
      </c>
      <c r="J22" s="53">
        <f ca="1">ROUND(J14*M22,0)</f>
        <v>137</v>
      </c>
      <c r="K22" s="2484" t="s">
        <v>1768</v>
      </c>
      <c r="L22" s="784" t="s">
        <v>1746</v>
      </c>
      <c r="M22" s="817">
        <f ca="1">INDIRECT("'数据-取费表'!Ak"&amp;$G$1)</f>
        <v>1.4999999999999999E-2</v>
      </c>
    </row>
    <row r="23" spans="1:33" s="2064" customFormat="1" ht="18" customHeight="1">
      <c r="A23" s="1647" t="s">
        <v>1830</v>
      </c>
      <c r="B23" s="784" t="s">
        <v>2533</v>
      </c>
      <c r="C23" s="53">
        <f ca="1">ROUND(IF('数据-取费表'!B22&lt;=1,(C19+C20)*F24*F23/2,(C19+C20)*(POWER((1+F24),F23/2)-1)),0)</f>
        <v>478</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f ca="1">ROUND(J13*M23,0)</f>
        <v>0</v>
      </c>
      <c r="K23" s="2484" t="s">
        <v>1770</v>
      </c>
      <c r="L23" s="784" t="s">
        <v>1746</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f ca="1">ROUND(J5*M24,0)</f>
        <v>0</v>
      </c>
      <c r="K24" s="2545" t="s">
        <v>1773</v>
      </c>
      <c r="L24" s="2546" t="s">
        <v>1746</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1982"/>
      <c r="F25" s="56"/>
      <c r="G25" s="1591"/>
      <c r="H25" s="1829" t="s">
        <v>1775</v>
      </c>
      <c r="I25" s="3010" t="s">
        <v>2819</v>
      </c>
      <c r="J25" s="792">
        <f ca="1">J5-J16</f>
        <v>-932</v>
      </c>
      <c r="K25" s="2548" t="s">
        <v>1776</v>
      </c>
      <c r="L25" s="2549"/>
      <c r="M25" s="2550"/>
    </row>
    <row r="26" spans="1:33" ht="18" customHeight="1">
      <c r="A26" s="1647" t="s">
        <v>1830</v>
      </c>
      <c r="B26" s="784" t="s">
        <v>2438</v>
      </c>
      <c r="C26" s="53">
        <f ca="1">ROUND((C19+C20)*F26,0)</f>
        <v>1325</v>
      </c>
      <c r="D26" s="812" t="s">
        <v>1777</v>
      </c>
      <c r="E26" s="795" t="s">
        <v>1778</v>
      </c>
      <c r="F26" s="794">
        <f ca="1">INDIRECT("'数据-取费表'!q"&amp;$G$1)</f>
        <v>0.2</v>
      </c>
      <c r="G26" s="1591"/>
      <c r="H26" s="2502" t="s">
        <v>1779</v>
      </c>
      <c r="I26" s="2232" t="s">
        <v>2824</v>
      </c>
      <c r="J26" s="783">
        <f ca="1">IF(J5&lt;&gt;0,ROUND(J25*(1-((1+M28)/(1+M26))^M27)/(M26-M28),0),0)</f>
        <v>0</v>
      </c>
      <c r="K26" s="814" t="s">
        <v>1780</v>
      </c>
      <c r="L26" s="784" t="s">
        <v>2419</v>
      </c>
      <c r="M26" s="794">
        <f ca="1">INDIRECT("'数据-取费表'!I"&amp;$G$1)</f>
        <v>0.06</v>
      </c>
    </row>
    <row r="27" spans="1:33" ht="18" customHeight="1">
      <c r="A27" s="1647" t="s">
        <v>1831</v>
      </c>
      <c r="B27" s="784" t="s">
        <v>685</v>
      </c>
      <c r="C27" s="53">
        <f ca="1">ROUND(F21*F26,4)</f>
        <v>4.0000000000000001E-3</v>
      </c>
      <c r="D27" s="812" t="s">
        <v>1781</v>
      </c>
      <c r="E27" s="806"/>
      <c r="F27" s="807"/>
      <c r="G27" s="1591"/>
      <c r="H27" s="2503"/>
      <c r="I27" s="787"/>
      <c r="J27" s="788"/>
      <c r="K27" s="821" t="s">
        <v>1782</v>
      </c>
      <c r="L27" s="784" t="s">
        <v>1783</v>
      </c>
      <c r="M27" s="822">
        <f ca="1">INDIRECT("'数据-取费表'!ag"&amp;$G$1)</f>
        <v>0</v>
      </c>
    </row>
    <row r="28" spans="1:33" s="2064" customFormat="1" ht="18" customHeight="1">
      <c r="A28" s="1649" t="s">
        <v>1840</v>
      </c>
      <c r="B28" s="784" t="s">
        <v>686</v>
      </c>
      <c r="C28" s="53">
        <f>ROUND(F28/(1+'数据-取费表'!C42),4)</f>
        <v>5.33E-2</v>
      </c>
      <c r="D28" s="812" t="s">
        <v>2299</v>
      </c>
      <c r="E28" s="784" t="s">
        <v>1784</v>
      </c>
      <c r="F28" s="809">
        <f>'数据-取费表'!B41</f>
        <v>5.6000000000000001E-2</v>
      </c>
      <c r="G28" s="1592"/>
      <c r="H28" s="1829"/>
      <c r="I28" s="791"/>
      <c r="J28" s="792"/>
      <c r="K28" s="816"/>
      <c r="L28" s="784" t="s">
        <v>1785</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f ca="1">ROUND((C19+C20+C23+C26)/(1-F21-C24-C27-C28),0)</f>
        <v>9147</v>
      </c>
      <c r="D29" s="2545"/>
      <c r="E29" s="2546"/>
      <c r="F29" s="2547"/>
      <c r="G29" s="1592"/>
      <c r="H29" s="823" t="s">
        <v>1786</v>
      </c>
      <c r="I29" s="824" t="s">
        <v>1787</v>
      </c>
      <c r="J29" s="825">
        <f ca="1">ROUND(J26/(1+F40)^F41,0)</f>
        <v>0</v>
      </c>
      <c r="K29" s="826" t="s">
        <v>1788</v>
      </c>
      <c r="L29" s="827"/>
      <c r="M29" s="828">
        <f ca="1">INDIRECT("'数据-取费表'!k"&amp;$G$1)</f>
        <v>20408.7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2">
        <f ca="1">ROUND(C31+C36+C37+C38,0)</f>
        <v>486</v>
      </c>
      <c r="D30" s="1821" t="s">
        <v>1790</v>
      </c>
      <c r="E30" s="2486"/>
      <c r="F30" s="2491"/>
      <c r="G30" s="2062"/>
      <c r="H30" s="2065"/>
      <c r="I30" s="2066"/>
      <c r="J30" s="2067"/>
      <c r="K30" s="2068"/>
      <c r="L30" s="2069"/>
      <c r="M30" s="2070"/>
    </row>
    <row r="31" spans="1:33" ht="18" customHeight="1">
      <c r="A31" s="1648" t="s">
        <v>1829</v>
      </c>
      <c r="B31" s="784" t="s">
        <v>655</v>
      </c>
      <c r="C31" s="53">
        <f ca="1">ROUND(IF(项目基本情况!B11="自然人",C5*F31,C32+C33+C34),1)</f>
        <v>318.10000000000002</v>
      </c>
      <c r="D31" s="1979" t="s">
        <v>1791</v>
      </c>
      <c r="E31" s="1977"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1793</v>
      </c>
      <c r="C32" s="53">
        <f ca="1">ROUND(C5*F32/1.05,1)</f>
        <v>89.5</v>
      </c>
      <c r="D32" s="1977" t="s">
        <v>1794</v>
      </c>
      <c r="E32" s="784" t="s">
        <v>1795</v>
      </c>
      <c r="F32" s="809">
        <f>'数据-取费表'!B41</f>
        <v>5.6000000000000001E-2</v>
      </c>
      <c r="G32" s="2062"/>
      <c r="H32" s="2071"/>
      <c r="I32" s="2072"/>
      <c r="J32" s="2073"/>
      <c r="K32" s="2074"/>
      <c r="L32" s="2075"/>
      <c r="M32" s="2076"/>
    </row>
    <row r="33" spans="1:18" ht="18" customHeight="1">
      <c r="A33" s="1647" t="s">
        <v>1831</v>
      </c>
      <c r="B33" s="784" t="s">
        <v>1796</v>
      </c>
      <c r="C33" s="53">
        <f ca="1">IF(D33="按租金收入计税",ROUND(C5*F33,1),IF(D33="按房产原值计税",ROUND(C29*F33*0.7,1),INDIRECT("'数据-取费表'!Aj"&amp;$G$1)))</f>
        <v>201.4</v>
      </c>
      <c r="D33" s="811" t="s">
        <v>3028</v>
      </c>
      <c r="E33" s="784" t="s">
        <v>1795</v>
      </c>
      <c r="F33" s="809">
        <f>IF(D33="按租金收入计税",'数据-取费表'!B51,'数据-取费表'!B50)</f>
        <v>0.12</v>
      </c>
      <c r="G33" s="2062"/>
      <c r="H33" s="2077"/>
      <c r="I33" s="2077"/>
      <c r="J33" s="2077"/>
      <c r="K33" s="2078"/>
      <c r="L33" s="2077"/>
      <c r="M33" s="2077"/>
    </row>
    <row r="34" spans="1:18" ht="18" customHeight="1">
      <c r="A34" s="1650" t="s">
        <v>1832</v>
      </c>
      <c r="B34" s="341" t="s">
        <v>1797</v>
      </c>
      <c r="C34" s="54">
        <f ca="1">ROUND(F34*F35/10000,1)</f>
        <v>27.2</v>
      </c>
      <c r="D34" s="814" t="s">
        <v>1798</v>
      </c>
      <c r="E34" s="784" t="s">
        <v>1799</v>
      </c>
      <c r="F34" s="640">
        <f>'数据-取费表'!B52</f>
        <v>20</v>
      </c>
      <c r="G34" s="2062"/>
      <c r="H34" s="2065"/>
      <c r="I34" s="835" t="s">
        <v>1812</v>
      </c>
      <c r="J34" s="836"/>
      <c r="K34" s="2080"/>
      <c r="L34" s="2079"/>
      <c r="M34" s="2079"/>
    </row>
    <row r="35" spans="1:18" ht="18" customHeight="1">
      <c r="A35" s="815"/>
      <c r="B35" s="793"/>
      <c r="C35" s="69"/>
      <c r="D35" s="816"/>
      <c r="E35" s="784" t="s">
        <v>1800</v>
      </c>
      <c r="F35" s="785">
        <f ca="1">INDIRECT("'数据-取费表'!r"&amp;$G$1)</f>
        <v>13605.8</v>
      </c>
      <c r="G35" s="2062"/>
      <c r="H35" s="2065"/>
      <c r="I35" s="837" t="s">
        <v>1813</v>
      </c>
      <c r="J35" s="838">
        <f ca="1">ROUND(C13*J36,0)</f>
        <v>777</v>
      </c>
      <c r="K35" s="2078"/>
      <c r="L35" s="2077"/>
      <c r="M35" s="2077"/>
    </row>
    <row r="36" spans="1:18" ht="18" customHeight="1">
      <c r="A36" s="1648" t="s">
        <v>1888</v>
      </c>
      <c r="B36" s="784" t="s">
        <v>1801</v>
      </c>
      <c r="C36" s="53">
        <f ca="1">ROUND(C29*F36,1)</f>
        <v>137.19999999999999</v>
      </c>
      <c r="D36" s="1977" t="s">
        <v>1802</v>
      </c>
      <c r="E36" s="784" t="s">
        <v>1795</v>
      </c>
      <c r="F36" s="817">
        <f ca="1">INDIRECT("'数据-取费表'!Ak"&amp;$G$1)</f>
        <v>1.4999999999999999E-2</v>
      </c>
      <c r="G36" s="2062"/>
      <c r="H36" s="2077"/>
      <c r="I36" s="839" t="s">
        <v>1814</v>
      </c>
      <c r="J36" s="840">
        <f ca="1">INDIRECT("'数据-取费表'!j"&amp;$G$1)</f>
        <v>8.5000000000000006E-2</v>
      </c>
      <c r="K36" s="2082"/>
      <c r="L36" s="2077"/>
      <c r="M36" s="2077"/>
    </row>
    <row r="37" spans="1:18" ht="18" customHeight="1">
      <c r="A37" s="1648" t="s">
        <v>1889</v>
      </c>
      <c r="B37" s="784" t="s">
        <v>678</v>
      </c>
      <c r="C37" s="53">
        <f ca="1">ROUND(C13*F37,1)</f>
        <v>13.7</v>
      </c>
      <c r="D37" s="1977" t="s">
        <v>1803</v>
      </c>
      <c r="E37" s="784" t="s">
        <v>1795</v>
      </c>
      <c r="F37" s="818">
        <f ca="1">INDIRECT("'数据-取费表'!Al"&amp;$G$1)</f>
        <v>1.5E-3</v>
      </c>
      <c r="G37" s="2062"/>
      <c r="H37" s="2077"/>
      <c r="I37" s="841" t="s">
        <v>1815</v>
      </c>
      <c r="J37" s="842"/>
      <c r="K37" s="2082"/>
      <c r="L37" s="2077"/>
      <c r="M37" s="2077"/>
    </row>
    <row r="38" spans="1:18" ht="18" customHeight="1" thickBot="1">
      <c r="A38" s="2551" t="s">
        <v>1890</v>
      </c>
      <c r="B38" s="2546" t="s">
        <v>665</v>
      </c>
      <c r="C38" s="2544">
        <f ca="1">ROUND(C5*F38,1)</f>
        <v>16.8</v>
      </c>
      <c r="D38" s="2545" t="s">
        <v>1804</v>
      </c>
      <c r="E38" s="2546" t="s">
        <v>1795</v>
      </c>
      <c r="F38" s="2542">
        <f ca="1">INDIRECT("'数据-取费表'!Am"&amp;$G$1)</f>
        <v>0.01</v>
      </c>
      <c r="G38" s="2062"/>
      <c r="H38" s="2077"/>
      <c r="I38" s="843" t="s">
        <v>1816</v>
      </c>
      <c r="J38" s="844"/>
      <c r="K38" s="2083"/>
      <c r="L38" s="2077"/>
      <c r="M38" s="2077"/>
    </row>
    <row r="39" spans="1:18" ht="24.6" customHeight="1" thickTop="1">
      <c r="A39" s="1829" t="s">
        <v>1893</v>
      </c>
      <c r="B39" s="3010" t="s">
        <v>2819</v>
      </c>
      <c r="C39" s="792">
        <f ca="1">C5-C30</f>
        <v>1192</v>
      </c>
      <c r="D39" s="2548" t="s">
        <v>1805</v>
      </c>
      <c r="E39" s="2549"/>
      <c r="F39" s="2550"/>
      <c r="G39" s="2062"/>
      <c r="H39" s="2077"/>
      <c r="I39" s="837" t="s">
        <v>1817</v>
      </c>
      <c r="J39" s="845">
        <f ca="1">ROUND(J35/C39,3)</f>
        <v>0.65200000000000002</v>
      </c>
      <c r="K39" s="2083"/>
      <c r="L39" s="2077"/>
      <c r="M39" s="2077"/>
    </row>
    <row r="40" spans="1:18" ht="18" customHeight="1">
      <c r="A40" s="781" t="s">
        <v>1894</v>
      </c>
      <c r="B40" s="2232" t="s">
        <v>2301</v>
      </c>
      <c r="C40" s="783">
        <f ca="1">ROUND(C39*(1-((1+F42)/(1+F40))^F41)/(F40-F42),0)</f>
        <v>23910</v>
      </c>
      <c r="D40" s="814" t="s">
        <v>1806</v>
      </c>
      <c r="E40" s="784" t="s">
        <v>2419</v>
      </c>
      <c r="F40" s="794">
        <f ca="1">INDIRECT("'数据-取费表'!I"&amp;$G$1)</f>
        <v>0.06</v>
      </c>
      <c r="G40" s="2062"/>
      <c r="H40" s="2062"/>
      <c r="I40" s="837" t="s">
        <v>1818</v>
      </c>
      <c r="J40" s="845">
        <f ca="1">1-J39</f>
        <v>0.34799999999999998</v>
      </c>
      <c r="K40" s="2083"/>
      <c r="L40" s="2062"/>
      <c r="M40" s="2062"/>
    </row>
    <row r="41" spans="1:18" ht="18" customHeight="1">
      <c r="A41" s="786"/>
      <c r="B41" s="787"/>
      <c r="C41" s="788"/>
      <c r="D41" s="821" t="s">
        <v>1807</v>
      </c>
      <c r="E41" s="784" t="s">
        <v>2960</v>
      </c>
      <c r="F41" s="822">
        <f ca="1">IF(INDIRECT("'数据-取费表'!af"&amp;$G$1)=0,INDIRECT("'数据-取费表'!ae"&amp;$G$1),INDIRECT("'数据-取费表'!af"&amp;$G$1))</f>
        <v>32.07</v>
      </c>
      <c r="G41" s="2062"/>
      <c r="H41" s="1988"/>
      <c r="I41" s="843" t="s">
        <v>1819</v>
      </c>
      <c r="J41" s="846"/>
      <c r="K41" s="2082"/>
      <c r="L41" s="1988"/>
      <c r="M41" s="1988"/>
    </row>
    <row r="42" spans="1:18" ht="18" customHeight="1">
      <c r="A42" s="790"/>
      <c r="B42" s="791"/>
      <c r="C42" s="792"/>
      <c r="D42" s="816"/>
      <c r="E42" s="784" t="s">
        <v>1808</v>
      </c>
      <c r="F42" s="794">
        <f ca="1">INDIRECT("'数据-取费表'!v"&amp;$G$1)</f>
        <v>0.03</v>
      </c>
      <c r="G42" s="2062"/>
      <c r="H42" s="1988"/>
      <c r="I42" s="847" t="s">
        <v>1820</v>
      </c>
      <c r="J42" s="845">
        <f ca="1">ROUND(C13/C40,3)</f>
        <v>0.38300000000000001</v>
      </c>
      <c r="K42" s="2082"/>
      <c r="L42" s="1988"/>
      <c r="M42" s="1988"/>
    </row>
    <row r="43" spans="1:18" ht="18" customHeight="1" thickBot="1">
      <c r="A43" s="823" t="s">
        <v>1786</v>
      </c>
      <c r="B43" s="824" t="s">
        <v>1809</v>
      </c>
      <c r="C43" s="825">
        <f ca="1">ROUND(C40*10000/F43,0)</f>
        <v>11716</v>
      </c>
      <c r="D43" s="826" t="s">
        <v>1810</v>
      </c>
      <c r="E43" s="827" t="s">
        <v>1811</v>
      </c>
      <c r="F43" s="828">
        <f ca="1">INDIRECT("'数据-取费表'!k"&amp;$G$1)</f>
        <v>20408.7</v>
      </c>
      <c r="G43" s="2062"/>
      <c r="H43" s="1988"/>
      <c r="I43" s="847" t="s">
        <v>1821</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f ca="1">C67-C40</f>
        <v>-26419</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f ca="1">C48+C52+C54</f>
        <v>0</v>
      </c>
      <c r="D47" s="2085"/>
      <c r="E47" s="2085"/>
      <c r="F47" s="2085"/>
      <c r="I47" s="3147" t="s">
        <v>2344</v>
      </c>
      <c r="J47" s="2381" t="s">
        <v>3029</v>
      </c>
      <c r="K47" s="3154" t="s">
        <v>2349</v>
      </c>
      <c r="L47" s="3158">
        <f ca="1">INDIRECT("'数据-取费表'!d"&amp;$G$1)</f>
        <v>40</v>
      </c>
      <c r="M47" s="1603" t="str">
        <f>IF(ISNUMBER(FIND("住宅",C1)),"住宅","非住宅")</f>
        <v>非住宅</v>
      </c>
      <c r="O47" s="2395" t="s">
        <v>2375</v>
      </c>
      <c r="P47" s="2396" t="s">
        <v>2376</v>
      </c>
      <c r="Q47" s="2397" t="s">
        <v>2377</v>
      </c>
      <c r="R47" s="2396" t="s">
        <v>2378</v>
      </c>
    </row>
    <row r="48" spans="1:18" s="2059" customFormat="1" ht="18" customHeight="1" thickBot="1">
      <c r="A48" s="2642" t="s">
        <v>2535</v>
      </c>
      <c r="B48" s="2643" t="s">
        <v>2536</v>
      </c>
      <c r="C48" s="2374">
        <f ca="1">ROUND(F48*F50*F49*(1-F51)/10000,0)</f>
        <v>0</v>
      </c>
      <c r="D48" s="2375" t="s">
        <v>635</v>
      </c>
      <c r="E48" s="2376" t="s">
        <v>2296</v>
      </c>
      <c r="F48" s="2377"/>
      <c r="G48" s="2090"/>
      <c r="I48" s="3123" t="s">
        <v>2345</v>
      </c>
      <c r="J48" s="2382" t="s">
        <v>2350</v>
      </c>
      <c r="K48" s="3155" t="s">
        <v>2351</v>
      </c>
      <c r="L48" s="1908">
        <f ca="1">INDIRECT("'数据-取费表'!f"&amp;$G$1)</f>
        <v>35.07</v>
      </c>
      <c r="O48" s="2398" t="s">
        <v>2379</v>
      </c>
      <c r="P48" s="2399" t="s">
        <v>2405</v>
      </c>
      <c r="Q48" s="2400">
        <f ca="1">C40+J29</f>
        <v>23910</v>
      </c>
      <c r="R48" s="2399" t="s">
        <v>2380</v>
      </c>
    </row>
    <row r="49" spans="1:18" s="2059" customFormat="1" ht="18" customHeight="1" thickBot="1">
      <c r="A49" s="786"/>
      <c r="B49" s="787"/>
      <c r="C49" s="788"/>
      <c r="D49" s="789"/>
      <c r="E49" s="784" t="s">
        <v>1738</v>
      </c>
      <c r="F49" s="785">
        <f ca="1">F7</f>
        <v>20408.7</v>
      </c>
      <c r="G49" s="2090"/>
      <c r="H49" s="2093"/>
      <c r="I49" s="3123" t="s">
        <v>2346</v>
      </c>
      <c r="J49" s="2383">
        <v>2021</v>
      </c>
      <c r="K49" s="3156" t="s">
        <v>2352</v>
      </c>
      <c r="L49" s="2384"/>
      <c r="O49" s="2398" t="s">
        <v>2381</v>
      </c>
      <c r="P49" s="2399" t="s">
        <v>2406</v>
      </c>
      <c r="Q49" s="2400" t="str">
        <f ca="1">J60</f>
        <v>0</v>
      </c>
      <c r="R49" s="2399" t="s">
        <v>2382</v>
      </c>
    </row>
    <row r="50" spans="1:18" s="2059" customFormat="1" ht="18" customHeight="1" thickBot="1">
      <c r="A50" s="786"/>
      <c r="B50" s="787"/>
      <c r="C50" s="788"/>
      <c r="D50" s="789"/>
      <c r="E50" s="784" t="s">
        <v>1739</v>
      </c>
      <c r="F50" s="785">
        <f ca="1">F8</f>
        <v>365</v>
      </c>
      <c r="G50" s="2095"/>
      <c r="H50" s="2093"/>
      <c r="I50" s="3123" t="s">
        <v>2347</v>
      </c>
      <c r="J50" s="3151">
        <f>SUMPRODUCT((I63:I65=J47)*(J62:L62=J48)*(J63:L65))</f>
        <v>60</v>
      </c>
      <c r="K50" s="3156" t="s">
        <v>2353</v>
      </c>
      <c r="L50" s="2384"/>
      <c r="O50" s="2401" t="s">
        <v>2383</v>
      </c>
      <c r="P50" s="2399" t="s">
        <v>2407</v>
      </c>
      <c r="Q50" s="2400">
        <f ca="1">C29</f>
        <v>9147</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f ca="1">ROUND(-PV(INDIRECT("'数据-取费表'!h"&amp;$G$1),L48,(C39-C13*J36),0),0)</f>
        <v>6384</v>
      </c>
      <c r="O51" s="2401" t="s">
        <v>2384</v>
      </c>
      <c r="P51" s="2399" t="s">
        <v>2385</v>
      </c>
      <c r="Q51" s="2402" t="e">
        <f ca="1">J58</f>
        <v>#VALUE!</v>
      </c>
      <c r="R51" s="2403"/>
    </row>
    <row r="52" spans="1:18" s="2059" customFormat="1" ht="18" customHeight="1" thickBot="1">
      <c r="A52" s="781" t="s">
        <v>2534</v>
      </c>
      <c r="B52" s="2494" t="s">
        <v>2457</v>
      </c>
      <c r="C52" s="799">
        <f ca="1">ROUND(IF(F52="押一",C48/12*F11,IF(F52="押二",C48/12*2*F11,IF(F52="押三",C48/12*3*F11,C53*F11))),0)</f>
        <v>0</v>
      </c>
      <c r="D52" s="2501" t="s">
        <v>2971</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f ca="1">IF(M47="住宅",IF(D1="——",MAX(J51,L48),MAX(J51,L48-'数据-取费表'!B20)),IF(D1="——",MIN(J51,L48),MIN(J51,L48-'数据-取费表'!B20)))</f>
        <v>32.07</v>
      </c>
      <c r="K53" s="3551" t="s">
        <v>2962</v>
      </c>
      <c r="L53" s="3552"/>
      <c r="O53" s="2401" t="s">
        <v>2388</v>
      </c>
      <c r="P53" s="2399" t="s">
        <v>2389</v>
      </c>
      <c r="Q53" s="2400">
        <f ca="1">J53</f>
        <v>32.07</v>
      </c>
      <c r="R53" s="2399" t="s">
        <v>2390</v>
      </c>
    </row>
    <row r="54" spans="1:18" s="2059" customFormat="1" ht="18" customHeight="1" thickBot="1">
      <c r="A54" s="2537" t="s">
        <v>2465</v>
      </c>
      <c r="B54" s="2538" t="s">
        <v>2458</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2391</v>
      </c>
      <c r="P54" s="2399" t="s">
        <v>2408</v>
      </c>
      <c r="Q54" s="2400">
        <f ca="1">Q48+Q49</f>
        <v>23910</v>
      </c>
      <c r="R54" s="2403" t="s">
        <v>2392</v>
      </c>
    </row>
    <row r="55" spans="1:18" s="2059" customFormat="1" ht="18" customHeight="1" thickTop="1" thickBot="1">
      <c r="A55" s="797">
        <v>2</v>
      </c>
      <c r="B55" s="798" t="s">
        <v>643</v>
      </c>
      <c r="C55" s="799">
        <f ca="1">C13</f>
        <v>9147</v>
      </c>
      <c r="D55" s="795"/>
      <c r="E55" s="795"/>
      <c r="F55" s="800"/>
      <c r="I55" s="3162" t="s">
        <v>2355</v>
      </c>
      <c r="J55" s="3098" t="e">
        <f ca="1">ROUND(IF(J47="钢混",J57/J50,1-(1-2%)*(J50-J57)/J50),3)</f>
        <v>#VALUE!</v>
      </c>
      <c r="K55" s="3163" t="s">
        <v>2356</v>
      </c>
      <c r="L55" s="2386"/>
      <c r="O55" s="2404" t="s">
        <v>2411</v>
      </c>
      <c r="P55" s="1591"/>
      <c r="Q55" s="1603"/>
      <c r="R55" s="1591"/>
    </row>
    <row r="56" spans="1:18" s="2059" customFormat="1" ht="42.75" customHeight="1" thickBot="1">
      <c r="A56" s="1649"/>
      <c r="B56" s="2231" t="s">
        <v>2302</v>
      </c>
      <c r="C56" s="53">
        <f ca="1">C29</f>
        <v>9147</v>
      </c>
      <c r="D56" s="2639"/>
      <c r="E56" s="784"/>
      <c r="F56" s="809"/>
      <c r="I56" s="3164" t="s">
        <v>2357</v>
      </c>
      <c r="J56" s="3174" t="s">
        <v>1678</v>
      </c>
      <c r="K56" s="3123" t="s">
        <v>2362</v>
      </c>
      <c r="L56" s="1908" t="str">
        <f ca="1">IF(L48&lt;J51,"——",L48-J51)</f>
        <v>——</v>
      </c>
      <c r="O56" s="2395" t="s">
        <v>2375</v>
      </c>
      <c r="P56" s="2396" t="s">
        <v>2376</v>
      </c>
      <c r="Q56" s="2397" t="s">
        <v>2377</v>
      </c>
      <c r="R56" s="2396" t="s">
        <v>2378</v>
      </c>
    </row>
    <row r="57" spans="1:18" s="2059" customFormat="1" ht="28.5" customHeight="1" thickBot="1">
      <c r="A57" s="797" t="s">
        <v>1747</v>
      </c>
      <c r="B57" s="798" t="s">
        <v>650</v>
      </c>
      <c r="C57" s="799">
        <f ca="1">ROUND(C58+C63+C64+C65,0)</f>
        <v>178</v>
      </c>
      <c r="D57" s="26" t="s">
        <v>1749</v>
      </c>
      <c r="E57" s="2640"/>
      <c r="F57" s="56"/>
      <c r="I57" s="3165" t="s">
        <v>2358</v>
      </c>
      <c r="J57" s="3166" t="str">
        <f ca="1">IF(OR(M47="住宅",J51&lt;L48,J56="是"),"——",J51-L48)</f>
        <v>——</v>
      </c>
      <c r="K57" s="3123" t="s">
        <v>2363</v>
      </c>
      <c r="L57" s="1908" t="str">
        <f ca="1">IF(L48&lt;J51,"——",IF(L55="比较法",L49,IF(L55="基准地价",L50,L51)))</f>
        <v>——</v>
      </c>
      <c r="O57" s="2398" t="s">
        <v>2379</v>
      </c>
      <c r="P57" s="2399" t="s">
        <v>2409</v>
      </c>
      <c r="Q57" s="2400">
        <f ca="1">C40+J29</f>
        <v>23910</v>
      </c>
      <c r="R57" s="2399" t="s">
        <v>2380</v>
      </c>
    </row>
    <row r="58" spans="1:18" s="2059" customFormat="1" ht="28.5" customHeight="1" thickBot="1">
      <c r="A58" s="1648" t="s">
        <v>1823</v>
      </c>
      <c r="B58" s="784" t="s">
        <v>655</v>
      </c>
      <c r="C58" s="53">
        <f ca="1">ROUND(IF(项目基本情况!B11="自然人",C47*F58,C59+C60+C61),1)</f>
        <v>27.2</v>
      </c>
      <c r="D58" s="2638" t="s">
        <v>656</v>
      </c>
      <c r="E58" s="2639" t="s">
        <v>689</v>
      </c>
      <c r="F58" s="810" t="str">
        <f ca="1">IF(项目基本情况!B11="企业","",IF(INDIRECT("'数据-取费表'!c"&amp;$G$1)="住宅",5%,IF(F48*F49*F50/12/(1+'数据-取费表'!C42)&gt;20000,12%,7%)))</f>
        <v/>
      </c>
      <c r="I58" s="3165" t="s">
        <v>2359</v>
      </c>
      <c r="J58" s="3099" t="e">
        <f ca="1">IF(J55&lt;0.4,0.4,J55)</f>
        <v>#VALUE!</v>
      </c>
      <c r="K58" s="3123" t="s">
        <v>2364</v>
      </c>
      <c r="L58" s="1908" t="e">
        <f ca="1">ROUND(POWER(1+L52,L47-L48)*(POWER(1+L52,L48)-1)/(POWER(1+L52,L47)-1),4)</f>
        <v>#DIV/0!</v>
      </c>
      <c r="O58" s="2398" t="s">
        <v>2381</v>
      </c>
      <c r="P58" s="2399" t="s">
        <v>2412</v>
      </c>
      <c r="Q58" s="2400">
        <f ca="1">L60</f>
        <v>0</v>
      </c>
      <c r="R58" s="2403" t="s">
        <v>2414</v>
      </c>
    </row>
    <row r="59" spans="1:18" s="2059" customFormat="1" ht="28.5" customHeight="1" thickBot="1">
      <c r="A59" s="1647" t="s">
        <v>1830</v>
      </c>
      <c r="B59" s="784" t="s">
        <v>659</v>
      </c>
      <c r="C59" s="53">
        <f ca="1">ROUND(C47*F59/1.05,1)</f>
        <v>0</v>
      </c>
      <c r="D59" s="2639" t="s">
        <v>1755</v>
      </c>
      <c r="E59" s="784" t="s">
        <v>1746</v>
      </c>
      <c r="F59" s="809">
        <f t="shared" ref="F59:F65" si="0">F32</f>
        <v>5.6000000000000001E-2</v>
      </c>
      <c r="I59" s="3165" t="s">
        <v>2360</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2383</v>
      </c>
      <c r="P59" s="2399" t="s">
        <v>2413</v>
      </c>
      <c r="Q59" s="2400">
        <f>IF(L55="比较法",L49,IF(L55="基准地价",L50,0))</f>
        <v>0</v>
      </c>
      <c r="R59" s="2399" t="s">
        <v>2380</v>
      </c>
    </row>
    <row r="60" spans="1:18" s="2059" customFormat="1" ht="18" customHeight="1" thickBot="1">
      <c r="A60" s="1647" t="s">
        <v>1831</v>
      </c>
      <c r="B60" s="784" t="s">
        <v>1757</v>
      </c>
      <c r="C60" s="53">
        <f ca="1">IF(D60="按租金收入计税",ROUND(C47*F60,1),IF(D60="按房产原值计税",ROUND(C56*F60*0.7,1),INDIRECT("'数据-取费表'!Aj"&amp;$G$1)))</f>
        <v>0</v>
      </c>
      <c r="D60" s="2639" t="str">
        <f>D33</f>
        <v>按租金收入计税</v>
      </c>
      <c r="E60" s="784" t="s">
        <v>1746</v>
      </c>
      <c r="F60" s="809">
        <f t="shared" si="0"/>
        <v>0.12</v>
      </c>
      <c r="I60" s="3167" t="s">
        <v>2361</v>
      </c>
      <c r="J60" s="3168" t="str">
        <f ca="1">IF(OR(M47="住宅",J51&lt;L48,J56="是"),"0",ROUND(J59/(1+J52)^J53,0))</f>
        <v>0</v>
      </c>
      <c r="K60" s="3169" t="s">
        <v>2366</v>
      </c>
      <c r="L60" s="3168">
        <f ca="1">IF(OR(M47="住宅",L48&lt;J51),0,ROUND(L57*(L58/L59-1),0))</f>
        <v>0</v>
      </c>
      <c r="O60" s="2401" t="s">
        <v>2384</v>
      </c>
      <c r="P60" s="2399" t="s">
        <v>2393</v>
      </c>
      <c r="Q60" s="2402">
        <f>L52</f>
        <v>0</v>
      </c>
      <c r="R60" s="2403"/>
    </row>
    <row r="61" spans="1:18" s="2059" customFormat="1" ht="18" customHeight="1" thickBot="1">
      <c r="A61" s="1650" t="s">
        <v>1832</v>
      </c>
      <c r="B61" s="341" t="s">
        <v>667</v>
      </c>
      <c r="C61" s="54">
        <f ca="1">ROUND(F61*F62/10000,1)</f>
        <v>27.2</v>
      </c>
      <c r="D61" s="814" t="s">
        <v>668</v>
      </c>
      <c r="E61" s="784" t="s">
        <v>669</v>
      </c>
      <c r="F61" s="640">
        <f t="shared" si="0"/>
        <v>20</v>
      </c>
      <c r="K61" s="2086"/>
      <c r="O61" s="2401" t="s">
        <v>2386</v>
      </c>
      <c r="P61" s="2399" t="s">
        <v>2394</v>
      </c>
      <c r="Q61" s="2400" t="e">
        <f ca="1">L58</f>
        <v>#DIV/0!</v>
      </c>
      <c r="R61" s="2403" t="s">
        <v>2395</v>
      </c>
    </row>
    <row r="62" spans="1:18" s="2059" customFormat="1" ht="16.2" thickBot="1">
      <c r="A62" s="815"/>
      <c r="B62" s="793"/>
      <c r="C62" s="69"/>
      <c r="D62" s="816"/>
      <c r="E62" s="784" t="s">
        <v>673</v>
      </c>
      <c r="F62" s="785">
        <f t="shared" ca="1" si="0"/>
        <v>13605.8</v>
      </c>
      <c r="I62" s="3170" t="s">
        <v>2367</v>
      </c>
      <c r="J62" s="3171" t="s">
        <v>2368</v>
      </c>
      <c r="K62" s="3171" t="s">
        <v>2369</v>
      </c>
      <c r="L62" s="3171" t="s">
        <v>2350</v>
      </c>
      <c r="M62" s="3172" t="s">
        <v>2939</v>
      </c>
      <c r="O62" s="2401" t="s">
        <v>2388</v>
      </c>
      <c r="P62" s="2399" t="str">
        <f>K59</f>
        <v>建设期及建筑物耐用年限下的土地年期修正系数Kn</v>
      </c>
      <c r="Q62" s="2400" t="e">
        <f ca="1">L59</f>
        <v>#DIV/0!</v>
      </c>
      <c r="R62" s="2403" t="s">
        <v>2397</v>
      </c>
    </row>
    <row r="63" spans="1:18" s="2059" customFormat="1" ht="16.2" thickBot="1">
      <c r="A63" s="1648" t="s">
        <v>1888</v>
      </c>
      <c r="B63" s="784" t="s">
        <v>675</v>
      </c>
      <c r="C63" s="53">
        <f ca="1">ROUND(C56*F63,1)</f>
        <v>137.19999999999999</v>
      </c>
      <c r="D63" s="2639" t="s">
        <v>1802</v>
      </c>
      <c r="E63" s="784" t="s">
        <v>1746</v>
      </c>
      <c r="F63" s="817">
        <f t="shared" ca="1" si="0"/>
        <v>1.4999999999999999E-2</v>
      </c>
      <c r="I63" s="3170" t="s">
        <v>2370</v>
      </c>
      <c r="J63" s="3171">
        <v>70</v>
      </c>
      <c r="K63" s="3171">
        <v>50</v>
      </c>
      <c r="L63" s="3171">
        <v>80</v>
      </c>
      <c r="M63" s="3173">
        <v>0.02</v>
      </c>
      <c r="O63" s="2398" t="s">
        <v>2391</v>
      </c>
      <c r="P63" s="2399" t="s">
        <v>2408</v>
      </c>
      <c r="Q63" s="2400">
        <f ca="1">Q57+Q58</f>
        <v>23910</v>
      </c>
      <c r="R63" s="2403" t="s">
        <v>2392</v>
      </c>
    </row>
    <row r="64" spans="1:18" s="2059" customFormat="1" ht="16.2" thickBot="1">
      <c r="A64" s="1648" t="s">
        <v>1889</v>
      </c>
      <c r="B64" s="784" t="s">
        <v>678</v>
      </c>
      <c r="C64" s="53">
        <f ca="1">ROUND(C55*F64,1)</f>
        <v>13.7</v>
      </c>
      <c r="D64" s="2639" t="s">
        <v>679</v>
      </c>
      <c r="E64" s="784" t="s">
        <v>1746</v>
      </c>
      <c r="F64" s="818">
        <f t="shared" ca="1" si="0"/>
        <v>1.5E-3</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f ca="1">ROUND(C47*F65,1)</f>
        <v>0</v>
      </c>
      <c r="D65" s="2639" t="s">
        <v>682</v>
      </c>
      <c r="E65" s="784" t="s">
        <v>1746</v>
      </c>
      <c r="F65" s="794">
        <f t="shared" ca="1" si="0"/>
        <v>0.01</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f ca="1">C47-C57</f>
        <v>-178</v>
      </c>
      <c r="D66" s="2638" t="s">
        <v>699</v>
      </c>
      <c r="E66" s="2637"/>
      <c r="F66" s="820"/>
      <c r="K66" s="2086"/>
      <c r="O66" s="2398" t="s">
        <v>2379</v>
      </c>
      <c r="P66" s="2399" t="s">
        <v>2409</v>
      </c>
      <c r="Q66" s="2400">
        <f ca="1">C40+J29</f>
        <v>23910</v>
      </c>
      <c r="R66" s="2399" t="s">
        <v>2380</v>
      </c>
    </row>
    <row r="67" spans="1:18" s="2059" customFormat="1" ht="19.2" thickBot="1">
      <c r="A67" s="781" t="s">
        <v>1779</v>
      </c>
      <c r="B67" s="2232" t="s">
        <v>2301</v>
      </c>
      <c r="C67" s="783">
        <f ca="1">ROUND(C66*(1-((1+F69)/(1+F67))^F68)/(F67-F69),0)</f>
        <v>-2509</v>
      </c>
      <c r="D67" s="814" t="s">
        <v>703</v>
      </c>
      <c r="E67" s="784" t="s">
        <v>704</v>
      </c>
      <c r="F67" s="794">
        <f ca="1">F40</f>
        <v>0.06</v>
      </c>
      <c r="K67" s="2086"/>
      <c r="O67" s="2398" t="s">
        <v>2381</v>
      </c>
      <c r="P67" s="2399" t="s">
        <v>2412</v>
      </c>
      <c r="Q67" s="2400">
        <f ca="1">L60</f>
        <v>0</v>
      </c>
      <c r="R67" s="2403" t="s">
        <v>2414</v>
      </c>
    </row>
    <row r="68" spans="1:18" ht="20.399999999999999" thickBot="1">
      <c r="A68" s="786"/>
      <c r="B68" s="787"/>
      <c r="C68" s="788"/>
      <c r="D68" s="821" t="s">
        <v>1807</v>
      </c>
      <c r="E68" s="784" t="s">
        <v>1783</v>
      </c>
      <c r="F68" s="822">
        <f ca="1">F41</f>
        <v>32.07</v>
      </c>
      <c r="O68" s="2401" t="s">
        <v>2383</v>
      </c>
      <c r="P68" s="2399" t="s">
        <v>2413</v>
      </c>
      <c r="Q68" s="2405">
        <f ca="1">L51</f>
        <v>6384</v>
      </c>
      <c r="R68" s="2406" t="s">
        <v>2416</v>
      </c>
    </row>
    <row r="69" spans="1:18" ht="19.2" thickBot="1">
      <c r="A69" s="790"/>
      <c r="B69" s="791"/>
      <c r="C69" s="792"/>
      <c r="D69" s="816"/>
      <c r="E69" s="784" t="s">
        <v>709</v>
      </c>
      <c r="F69" s="2371"/>
      <c r="O69" s="2401" t="s">
        <v>2384</v>
      </c>
      <c r="P69" s="2407" t="s">
        <v>2398</v>
      </c>
      <c r="Q69" s="2400">
        <f ca="1">ROUND(Q70-Q71*Q72,0)</f>
        <v>415</v>
      </c>
      <c r="R69" s="2403"/>
    </row>
    <row r="70" spans="1:18" ht="16.2" thickBot="1">
      <c r="A70" s="823" t="s">
        <v>1786</v>
      </c>
      <c r="B70" s="824" t="s">
        <v>1809</v>
      </c>
      <c r="C70" s="825">
        <f ca="1">ROUND(C67*10000/F70,0)</f>
        <v>-1229</v>
      </c>
      <c r="D70" s="826" t="s">
        <v>1810</v>
      </c>
      <c r="E70" s="827" t="s">
        <v>1811</v>
      </c>
      <c r="F70" s="828">
        <f ca="1">F43</f>
        <v>20408.7</v>
      </c>
      <c r="O70" s="2401" t="s">
        <v>2399</v>
      </c>
      <c r="P70" s="2407" t="s">
        <v>2400</v>
      </c>
      <c r="Q70" s="2400">
        <f ca="1">C39</f>
        <v>1192</v>
      </c>
      <c r="R70" s="2399" t="s">
        <v>2380</v>
      </c>
    </row>
    <row r="71" spans="1:18" ht="16.2" thickBot="1">
      <c r="O71" s="2401" t="s">
        <v>2401</v>
      </c>
      <c r="P71" s="2407" t="s">
        <v>2402</v>
      </c>
      <c r="Q71" s="2400">
        <f ca="1">C13</f>
        <v>9147</v>
      </c>
      <c r="R71" s="2399" t="s">
        <v>2380</v>
      </c>
    </row>
    <row r="72" spans="1:18" ht="16.2" thickBot="1">
      <c r="O72" s="2401" t="s">
        <v>2403</v>
      </c>
      <c r="P72" s="2407" t="s">
        <v>2404</v>
      </c>
      <c r="Q72" s="2402">
        <f ca="1">J36</f>
        <v>8.5000000000000006E-2</v>
      </c>
      <c r="R72" s="2403"/>
    </row>
    <row r="73" spans="1:18" ht="16.2" thickBot="1">
      <c r="O73" s="2401" t="s">
        <v>2386</v>
      </c>
      <c r="P73" s="2399" t="s">
        <v>2393</v>
      </c>
      <c r="Q73" s="2402">
        <f>L52</f>
        <v>0</v>
      </c>
      <c r="R73" s="2403"/>
    </row>
    <row r="74" spans="1:18" ht="19.2" thickBot="1">
      <c r="O74" s="2401" t="s">
        <v>2388</v>
      </c>
      <c r="P74" s="2399" t="s">
        <v>2394</v>
      </c>
      <c r="Q74" s="2400" t="e">
        <f ca="1">L58</f>
        <v>#DIV/0!</v>
      </c>
      <c r="R74" s="2403" t="s">
        <v>2395</v>
      </c>
    </row>
    <row r="75" spans="1:18" ht="16.2" thickBot="1">
      <c r="O75" s="2401" t="s">
        <v>2417</v>
      </c>
      <c r="P75" s="2399" t="str">
        <f>K59</f>
        <v>建设期及建筑物耐用年限下的土地年期修正系数Kn</v>
      </c>
      <c r="Q75" s="2400" t="e">
        <f ca="1">L59</f>
        <v>#DIV/0!</v>
      </c>
      <c r="R75" s="2403" t="s">
        <v>2397</v>
      </c>
    </row>
    <row r="76" spans="1:18" ht="16.2" thickBot="1">
      <c r="O76" s="2398" t="s">
        <v>2391</v>
      </c>
      <c r="P76" s="2399" t="s">
        <v>2408</v>
      </c>
      <c r="Q76" s="2400">
        <f ca="1">Q66+Q67</f>
        <v>23910</v>
      </c>
      <c r="R76" s="240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69" t="s">
        <v>2469</v>
      </c>
      <c r="B1" s="3570"/>
      <c r="C1" s="3571"/>
      <c r="D1" s="3572">
        <f>SUM(I10,I15,I20,I21,I23)</f>
        <v>0</v>
      </c>
      <c r="E1" s="3572"/>
      <c r="F1" s="3572"/>
      <c r="G1" s="3572"/>
      <c r="H1" s="3572"/>
      <c r="I1" s="3573"/>
    </row>
    <row r="2" spans="1:9">
      <c r="A2" s="3559" t="s">
        <v>2470</v>
      </c>
      <c r="B2" s="3560" t="s">
        <v>2471</v>
      </c>
      <c r="C2" s="3560"/>
      <c r="D2" s="2507" t="s">
        <v>2472</v>
      </c>
      <c r="E2" s="2507" t="s">
        <v>2473</v>
      </c>
      <c r="F2" s="2507" t="s">
        <v>2474</v>
      </c>
      <c r="G2" s="2507" t="s">
        <v>2475</v>
      </c>
      <c r="H2" s="2507" t="s">
        <v>2476</v>
      </c>
      <c r="I2" s="2508" t="s">
        <v>2477</v>
      </c>
    </row>
    <row r="3" spans="1:9">
      <c r="A3" s="3559"/>
      <c r="B3" s="3560" t="s">
        <v>2478</v>
      </c>
      <c r="C3" s="3560"/>
      <c r="D3" s="2509"/>
      <c r="E3" s="2507"/>
      <c r="F3" s="2510"/>
      <c r="G3" s="2510"/>
      <c r="H3" s="2511"/>
      <c r="I3" s="2512">
        <f>ROUND(D3*E3*F3*G3*H3/10000,0)</f>
        <v>0</v>
      </c>
    </row>
    <row r="4" spans="1:9">
      <c r="A4" s="3559"/>
      <c r="B4" s="3560" t="s">
        <v>2479</v>
      </c>
      <c r="C4" s="3560"/>
      <c r="D4" s="2509"/>
      <c r="E4" s="2507"/>
      <c r="F4" s="2510"/>
      <c r="G4" s="2510"/>
      <c r="H4" s="2511"/>
      <c r="I4" s="2512">
        <f t="shared" ref="I4:I9" si="0">ROUND(D4*E4*F4*G4*H4/10000,0)</f>
        <v>0</v>
      </c>
    </row>
    <row r="5" spans="1:9">
      <c r="A5" s="3559"/>
      <c r="B5" s="3560" t="s">
        <v>2480</v>
      </c>
      <c r="C5" s="3560"/>
      <c r="D5" s="2509"/>
      <c r="E5" s="2507"/>
      <c r="F5" s="2510"/>
      <c r="G5" s="2510"/>
      <c r="H5" s="2511"/>
      <c r="I5" s="2512">
        <f t="shared" si="0"/>
        <v>0</v>
      </c>
    </row>
    <row r="6" spans="1:9">
      <c r="A6" s="3559"/>
      <c r="B6" s="3560" t="s">
        <v>2481</v>
      </c>
      <c r="C6" s="3560"/>
      <c r="D6" s="2509"/>
      <c r="E6" s="2507"/>
      <c r="F6" s="2510"/>
      <c r="G6" s="2510"/>
      <c r="H6" s="2511"/>
      <c r="I6" s="2512">
        <f t="shared" si="0"/>
        <v>0</v>
      </c>
    </row>
    <row r="7" spans="1:9">
      <c r="A7" s="3559"/>
      <c r="B7" s="3560" t="s">
        <v>2482</v>
      </c>
      <c r="C7" s="3560"/>
      <c r="D7" s="2509"/>
      <c r="E7" s="2507"/>
      <c r="F7" s="2510"/>
      <c r="G7" s="2510"/>
      <c r="H7" s="2511"/>
      <c r="I7" s="2512">
        <f t="shared" si="0"/>
        <v>0</v>
      </c>
    </row>
    <row r="8" spans="1:9">
      <c r="A8" s="3559"/>
      <c r="B8" s="3560" t="s">
        <v>2483</v>
      </c>
      <c r="C8" s="3560"/>
      <c r="D8" s="2509"/>
      <c r="E8" s="2507"/>
      <c r="F8" s="2510"/>
      <c r="G8" s="2510"/>
      <c r="H8" s="2511"/>
      <c r="I8" s="2512">
        <f t="shared" si="0"/>
        <v>0</v>
      </c>
    </row>
    <row r="9" spans="1:9">
      <c r="A9" s="3559"/>
      <c r="B9" s="3560" t="s">
        <v>2484</v>
      </c>
      <c r="C9" s="3560"/>
      <c r="D9" s="2509"/>
      <c r="E9" s="2507"/>
      <c r="F9" s="2510"/>
      <c r="G9" s="2510"/>
      <c r="H9" s="2511"/>
      <c r="I9" s="2512">
        <f t="shared" si="0"/>
        <v>0</v>
      </c>
    </row>
    <row r="10" spans="1:9">
      <c r="A10" s="3559"/>
      <c r="B10" s="3561" t="s">
        <v>2485</v>
      </c>
      <c r="C10" s="3561"/>
      <c r="D10" s="2513">
        <v>527</v>
      </c>
      <c r="E10" s="2513" t="e">
        <f>ROUND(D1*10000/D10/H9,0)</f>
        <v>#DIV/0!</v>
      </c>
      <c r="F10" s="2514"/>
      <c r="G10" s="2514"/>
      <c r="H10" s="2515"/>
      <c r="I10" s="2516">
        <f>SUM(I3:I9)</f>
        <v>0</v>
      </c>
    </row>
    <row r="11" spans="1:9" ht="15.6">
      <c r="A11" s="3559" t="s">
        <v>2486</v>
      </c>
      <c r="B11" s="3560" t="s">
        <v>2487</v>
      </c>
      <c r="C11" s="3560"/>
      <c r="D11" s="2509" t="s">
        <v>2488</v>
      </c>
      <c r="E11" s="2509" t="s">
        <v>2489</v>
      </c>
      <c r="F11" s="2510" t="s">
        <v>2490</v>
      </c>
      <c r="G11" s="2510" t="s">
        <v>2491</v>
      </c>
      <c r="H11" s="2517" t="s">
        <v>2492</v>
      </c>
      <c r="I11" s="2508" t="s">
        <v>2493</v>
      </c>
    </row>
    <row r="12" spans="1:9">
      <c r="A12" s="3559"/>
      <c r="B12" s="3560" t="s">
        <v>2494</v>
      </c>
      <c r="C12" s="3560"/>
      <c r="D12" s="2509"/>
      <c r="E12" s="2509"/>
      <c r="F12" s="2510"/>
      <c r="G12" s="2511"/>
      <c r="H12" s="2518"/>
      <c r="I12" s="2508">
        <f>ROUND(D12*E12*F12*G12/10000,0)</f>
        <v>0</v>
      </c>
    </row>
    <row r="13" spans="1:9">
      <c r="A13" s="3559"/>
      <c r="B13" s="3560" t="s">
        <v>2495</v>
      </c>
      <c r="C13" s="3560"/>
      <c r="D13" s="2509"/>
      <c r="E13" s="2509"/>
      <c r="F13" s="2510"/>
      <c r="G13" s="2511"/>
      <c r="H13" s="2518"/>
      <c r="I13" s="2508">
        <f>ROUND(D13*E13*F13*G13/10000,0)</f>
        <v>0</v>
      </c>
    </row>
    <row r="14" spans="1:9">
      <c r="A14" s="3559"/>
      <c r="B14" s="3560" t="s">
        <v>2496</v>
      </c>
      <c r="C14" s="3560"/>
      <c r="D14" s="2509"/>
      <c r="E14" s="2509"/>
      <c r="F14" s="2510"/>
      <c r="G14" s="2511"/>
      <c r="H14" s="2518"/>
      <c r="I14" s="2508">
        <f>ROUND(D14*E14*F14*G14/10000,0)</f>
        <v>0</v>
      </c>
    </row>
    <row r="15" spans="1:9">
      <c r="A15" s="3559"/>
      <c r="B15" s="3561" t="s">
        <v>2485</v>
      </c>
      <c r="C15" s="3561"/>
      <c r="D15" s="2513"/>
      <c r="E15" s="2513">
        <f>SUM(E12:E14)</f>
        <v>0</v>
      </c>
      <c r="F15" s="2514"/>
      <c r="G15" s="2511"/>
      <c r="H15" s="2518"/>
      <c r="I15" s="2519">
        <f>SUM(I12:I14)</f>
        <v>0</v>
      </c>
    </row>
    <row r="16" spans="1:9" ht="24">
      <c r="A16" s="3559" t="s">
        <v>2497</v>
      </c>
      <c r="B16" s="3560" t="s">
        <v>2498</v>
      </c>
      <c r="C16" s="3560"/>
      <c r="D16" s="2509" t="s">
        <v>2499</v>
      </c>
      <c r="E16" s="2520" t="s">
        <v>2500</v>
      </c>
      <c r="F16" s="2510" t="s">
        <v>2501</v>
      </c>
      <c r="G16" s="2511" t="s">
        <v>2491</v>
      </c>
      <c r="H16" s="2517" t="s">
        <v>2492</v>
      </c>
      <c r="I16" s="2508" t="s">
        <v>2493</v>
      </c>
    </row>
    <row r="17" spans="1:9" ht="15.6">
      <c r="A17" s="3559"/>
      <c r="B17" s="3560" t="s">
        <v>2502</v>
      </c>
      <c r="C17" s="3560"/>
      <c r="D17" s="2509"/>
      <c r="E17" s="2509"/>
      <c r="F17" s="2510"/>
      <c r="G17" s="2511"/>
      <c r="H17" s="2521"/>
      <c r="I17" s="2522">
        <f>ROUND(D17*E17*F17*G17/10000,0)</f>
        <v>0</v>
      </c>
    </row>
    <row r="18" spans="1:9" ht="15.6">
      <c r="A18" s="3559"/>
      <c r="B18" s="3560" t="s">
        <v>2503</v>
      </c>
      <c r="C18" s="3560"/>
      <c r="D18" s="2509"/>
      <c r="E18" s="2509"/>
      <c r="F18" s="2510"/>
      <c r="G18" s="2511"/>
      <c r="H18" s="2521"/>
      <c r="I18" s="2522">
        <f>ROUND(D18*E18*F18*G18/10000,0)</f>
        <v>0</v>
      </c>
    </row>
    <row r="19" spans="1:9" ht="15.6">
      <c r="A19" s="3559"/>
      <c r="B19" s="3560" t="s">
        <v>2504</v>
      </c>
      <c r="C19" s="3560"/>
      <c r="D19" s="2509"/>
      <c r="E19" s="2509"/>
      <c r="F19" s="2510"/>
      <c r="G19" s="2511"/>
      <c r="H19" s="2521"/>
      <c r="I19" s="2522">
        <f>ROUND(D19*E19*F19*G19/10000,0)</f>
        <v>0</v>
      </c>
    </row>
    <row r="20" spans="1:9">
      <c r="A20" s="3559"/>
      <c r="B20" s="3561" t="s">
        <v>2485</v>
      </c>
      <c r="C20" s="3561"/>
      <c r="D20" s="2513">
        <f>SUM(D17:D19)</f>
        <v>0</v>
      </c>
      <c r="E20" s="2513"/>
      <c r="F20" s="2514"/>
      <c r="G20" s="2511"/>
      <c r="H20" s="2518"/>
      <c r="I20" s="2519">
        <f>SUM(I17:I19)</f>
        <v>0</v>
      </c>
    </row>
    <row r="21" spans="1:9">
      <c r="A21" s="3559" t="s">
        <v>2505</v>
      </c>
      <c r="B21" s="3562"/>
      <c r="C21" s="3562"/>
      <c r="D21" s="3562"/>
      <c r="E21" s="3562"/>
      <c r="F21" s="3562"/>
      <c r="G21" s="3562"/>
      <c r="H21" s="2523">
        <v>0.1</v>
      </c>
      <c r="I21" s="2516">
        <f>ROUND(I10*H21,0)</f>
        <v>0</v>
      </c>
    </row>
    <row r="22" spans="1:9" ht="15.6">
      <c r="A22" s="3563" t="s">
        <v>2506</v>
      </c>
      <c r="B22" s="3564"/>
      <c r="C22" s="3565"/>
      <c r="D22" s="2524" t="s">
        <v>2507</v>
      </c>
      <c r="E22" s="2524" t="s">
        <v>2508</v>
      </c>
      <c r="F22" s="2525" t="s">
        <v>2509</v>
      </c>
      <c r="G22" s="2525" t="s">
        <v>2510</v>
      </c>
      <c r="H22" s="2517" t="s">
        <v>2511</v>
      </c>
      <c r="I22" s="2508" t="s">
        <v>2512</v>
      </c>
    </row>
    <row r="23" spans="1:9" ht="15" thickBot="1">
      <c r="A23" s="3566"/>
      <c r="B23" s="3567"/>
      <c r="C23" s="3568"/>
      <c r="D23" s="2526"/>
      <c r="E23" s="2526"/>
      <c r="F23" s="2526"/>
      <c r="G23" s="2527"/>
      <c r="H23" s="2528"/>
      <c r="I23" s="2529">
        <f>ROUND(E23*D23*F23*(1-G23)/10000,0)</f>
        <v>0</v>
      </c>
    </row>
    <row r="26" spans="1:9">
      <c r="A26" s="2530" t="s">
        <v>2513</v>
      </c>
      <c r="B26" s="2530"/>
      <c r="C26" s="2530"/>
      <c r="D26" s="2530"/>
      <c r="E26" s="3556">
        <f>C27-C30-C31-C32</f>
        <v>0</v>
      </c>
      <c r="F26" s="3556"/>
      <c r="G26" s="3556"/>
      <c r="H26" s="3042" t="s">
        <v>2840</v>
      </c>
    </row>
    <row r="27" spans="1:9">
      <c r="A27" s="2531">
        <v>1</v>
      </c>
      <c r="B27" s="2532" t="s">
        <v>2514</v>
      </c>
      <c r="C27" s="2532"/>
      <c r="D27" s="2532"/>
      <c r="E27" s="3557"/>
      <c r="F27" s="3557"/>
      <c r="G27" s="3557"/>
    </row>
    <row r="28" spans="1:9">
      <c r="A28" s="2533" t="s">
        <v>2515</v>
      </c>
      <c r="B28" s="2532" t="s">
        <v>2516</v>
      </c>
      <c r="C28" s="2532"/>
      <c r="D28" s="2532"/>
      <c r="E28" s="3557"/>
      <c r="F28" s="3557"/>
      <c r="G28" s="3557"/>
    </row>
    <row r="29" spans="1:9">
      <c r="A29" s="2533" t="s">
        <v>2517</v>
      </c>
      <c r="B29" s="2532" t="s">
        <v>2458</v>
      </c>
      <c r="C29" s="2532"/>
      <c r="D29" s="2532"/>
      <c r="E29" s="2532" t="s">
        <v>2518</v>
      </c>
      <c r="F29" s="2532"/>
      <c r="G29" s="2532"/>
    </row>
    <row r="30" spans="1:9">
      <c r="A30" s="2531">
        <v>2</v>
      </c>
      <c r="B30" s="2532" t="s">
        <v>2519</v>
      </c>
      <c r="C30" s="2532">
        <f>C27*D30</f>
        <v>0</v>
      </c>
      <c r="D30" s="2534">
        <v>0.2</v>
      </c>
      <c r="E30" s="2532" t="s">
        <v>2520</v>
      </c>
      <c r="F30" s="2532"/>
      <c r="G30" s="2532"/>
    </row>
    <row r="31" spans="1:9">
      <c r="A31" s="2531">
        <v>3</v>
      </c>
      <c r="B31" s="2532" t="s">
        <v>2521</v>
      </c>
      <c r="C31" s="2532">
        <f>C25*D31</f>
        <v>0</v>
      </c>
      <c r="D31" s="2534">
        <v>0.15</v>
      </c>
      <c r="E31" s="2532" t="s">
        <v>2522</v>
      </c>
      <c r="F31" s="2532"/>
      <c r="G31" s="2532"/>
    </row>
    <row r="32" spans="1:9">
      <c r="A32" s="2531">
        <v>4</v>
      </c>
      <c r="B32" s="2532" t="s">
        <v>2523</v>
      </c>
      <c r="C32" s="2532">
        <f>C27*D32</f>
        <v>0</v>
      </c>
      <c r="D32" s="2534">
        <v>0.05</v>
      </c>
      <c r="E32" s="3558"/>
      <c r="F32" s="3558"/>
      <c r="G32" s="3558"/>
    </row>
    <row r="33" spans="1:7" hidden="1">
      <c r="A33" s="3553" t="s">
        <v>2524</v>
      </c>
      <c r="B33" s="3554"/>
      <c r="C33" s="3554"/>
      <c r="D33" s="3555"/>
      <c r="E33" s="3556"/>
      <c r="F33" s="3556"/>
      <c r="G33" s="3556"/>
    </row>
    <row r="34" spans="1:7" hidden="1">
      <c r="A34" s="2535">
        <v>1</v>
      </c>
      <c r="B34" s="2532" t="s">
        <v>2525</v>
      </c>
      <c r="C34" s="2532"/>
      <c r="D34" s="2532"/>
      <c r="E34" s="3557"/>
      <c r="F34" s="3557"/>
      <c r="G34" s="3557"/>
    </row>
    <row r="35" spans="1:7" hidden="1">
      <c r="A35" s="2535">
        <v>2</v>
      </c>
      <c r="B35" s="2532" t="s">
        <v>2526</v>
      </c>
      <c r="C35" s="2532"/>
      <c r="D35" s="2532"/>
      <c r="E35" s="3557"/>
      <c r="F35" s="3557"/>
      <c r="G35" s="3557"/>
    </row>
    <row r="36" spans="1:7" hidden="1">
      <c r="A36" s="2535">
        <v>3</v>
      </c>
      <c r="B36" s="2532" t="s">
        <v>2527</v>
      </c>
      <c r="C36" s="2532"/>
      <c r="D36" s="2532"/>
      <c r="E36" s="3557"/>
      <c r="F36" s="3557"/>
      <c r="G36" s="3557"/>
    </row>
    <row r="37" spans="1:7" hidden="1">
      <c r="A37" s="2535">
        <v>4</v>
      </c>
      <c r="B37" s="2532" t="s">
        <v>2528</v>
      </c>
      <c r="C37" s="2532"/>
      <c r="D37" s="2532"/>
      <c r="E37" s="3557"/>
      <c r="F37" s="3557"/>
      <c r="G37" s="3557"/>
    </row>
    <row r="38" spans="1:7" hidden="1">
      <c r="A38" s="3553" t="s">
        <v>2529</v>
      </c>
      <c r="B38" s="3554"/>
      <c r="C38" s="3554"/>
      <c r="D38" s="3555"/>
      <c r="E38" s="3556"/>
      <c r="F38" s="3556"/>
      <c r="G38" s="35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5" customWidth="1"/>
    <col min="2" max="2" width="26.6640625" style="2186" customWidth="1"/>
    <col min="3" max="3" width="11.109375" style="2186" customWidth="1"/>
    <col min="4" max="5" width="11.109375" style="2187" customWidth="1"/>
    <col min="6" max="6" width="9.44140625" style="2186" customWidth="1"/>
    <col min="7" max="7" width="31.88671875" style="2186" customWidth="1"/>
    <col min="8" max="25" width="9" style="2188" customWidth="1"/>
    <col min="26" max="254" width="9" style="2186" customWidth="1"/>
    <col min="255" max="16384" width="8.33203125" style="2186"/>
  </cols>
  <sheetData>
    <row r="1" spans="1:25" s="2059" customFormat="1" ht="21">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1684</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2439</v>
      </c>
      <c r="B8" s="2472" t="s">
        <v>2441</v>
      </c>
      <c r="C8" s="2473"/>
      <c r="D8" s="749"/>
      <c r="E8" s="750"/>
      <c r="F8" s="750"/>
      <c r="G8" s="751"/>
    </row>
    <row r="9" spans="1:25" s="2183" customFormat="1" ht="13.5" customHeight="1">
      <c r="A9" s="2469" t="s">
        <v>2440</v>
      </c>
      <c r="B9" s="2472" t="s">
        <v>2442</v>
      </c>
      <c r="C9" s="2473"/>
      <c r="D9" s="749"/>
      <c r="E9" s="750"/>
      <c r="F9" s="750"/>
      <c r="G9" s="751"/>
    </row>
    <row r="10" spans="1:25" s="2183" customFormat="1" ht="36">
      <c r="A10" s="2469">
        <v>2</v>
      </c>
      <c r="B10" s="748" t="s">
        <v>612</v>
      </c>
      <c r="C10" s="749">
        <f>C11+C14+C15</f>
        <v>0</v>
      </c>
      <c r="D10" s="760">
        <f>'数据-汇总表'!E3</f>
        <v>102043.5</v>
      </c>
      <c r="E10" s="749">
        <f>'数据-取费表'!B31</f>
        <v>100</v>
      </c>
      <c r="F10" s="761"/>
      <c r="G10" s="759" t="s">
        <v>613</v>
      </c>
    </row>
    <row r="11" spans="1:25" s="2183" customFormat="1" ht="13.5" customHeight="1">
      <c r="A11" s="2469" t="s">
        <v>2439</v>
      </c>
      <c r="B11" s="752" t="s">
        <v>609</v>
      </c>
      <c r="C11" s="753">
        <f>'数据-取费表'!B29</f>
        <v>0</v>
      </c>
      <c r="D11" s="754"/>
      <c r="E11" s="753"/>
      <c r="F11" s="755"/>
      <c r="G11" s="2478" t="s">
        <v>2450</v>
      </c>
    </row>
    <row r="12" spans="1:25" s="2183" customFormat="1" ht="13.5" customHeight="1">
      <c r="A12" s="2476" t="s">
        <v>2447</v>
      </c>
      <c r="B12" s="756" t="s">
        <v>610</v>
      </c>
      <c r="C12" s="757">
        <f>ROUND(D12*E12/10000,0)</f>
        <v>2367</v>
      </c>
      <c r="D12" s="758">
        <f>'数据-汇总表'!E5</f>
        <v>81634.8</v>
      </c>
      <c r="E12" s="757">
        <f>'数据-取费表'!B27</f>
        <v>290</v>
      </c>
      <c r="F12" s="755"/>
      <c r="G12" s="759"/>
    </row>
    <row r="13" spans="1:25" s="2183" customFormat="1" ht="13.5" customHeight="1">
      <c r="A13" s="2476" t="s">
        <v>2446</v>
      </c>
      <c r="B13" s="756" t="s">
        <v>611</v>
      </c>
      <c r="C13" s="757">
        <f>ROUND(D13*E13/10000,0)</f>
        <v>592</v>
      </c>
      <c r="D13" s="758">
        <f>'数据-汇总表'!E6</f>
        <v>20408.699999999997</v>
      </c>
      <c r="E13" s="757">
        <f>'数据-取费表'!B28</f>
        <v>290</v>
      </c>
      <c r="F13" s="755"/>
      <c r="G13" s="759"/>
    </row>
    <row r="14" spans="1:25" s="2183" customFormat="1" ht="13.5" customHeight="1">
      <c r="A14" s="2469" t="s">
        <v>2440</v>
      </c>
      <c r="B14" s="2475" t="s">
        <v>2443</v>
      </c>
      <c r="C14" s="2473"/>
      <c r="D14" s="758"/>
      <c r="E14" s="757"/>
      <c r="F14" s="2474"/>
      <c r="G14" s="2477" t="s">
        <v>2448</v>
      </c>
    </row>
    <row r="15" spans="1:25" s="2183" customFormat="1" ht="13.5" customHeight="1">
      <c r="A15" s="2469" t="s">
        <v>2445</v>
      </c>
      <c r="B15" s="2475" t="s">
        <v>2444</v>
      </c>
      <c r="C15" s="2473"/>
      <c r="D15" s="758"/>
      <c r="E15" s="757"/>
      <c r="F15" s="2474"/>
      <c r="G15" s="2477" t="s">
        <v>2449</v>
      </c>
    </row>
    <row r="16" spans="1:25" s="2184" customFormat="1" ht="48">
      <c r="A16" s="2469">
        <v>3</v>
      </c>
      <c r="B16" s="748" t="s">
        <v>614</v>
      </c>
      <c r="C16" s="2473"/>
      <c r="D16" s="760"/>
      <c r="E16" s="749"/>
      <c r="F16" s="761"/>
      <c r="G16" s="759" t="s">
        <v>2451</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6.4">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0.16</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5.2">
      <c r="A20" s="2469">
        <v>7</v>
      </c>
      <c r="B20" s="748" t="s">
        <v>620</v>
      </c>
      <c r="C20" s="749">
        <f ca="1">ROUND(C19*F20,0)</f>
        <v>0</v>
      </c>
      <c r="D20" s="760"/>
      <c r="E20" s="749"/>
      <c r="F20" s="1349"/>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0.86</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78" customWidth="1"/>
    <col min="2" max="2" width="9" style="1778"/>
    <col min="3" max="4" width="9.6640625" style="1778" customWidth="1"/>
    <col min="5" max="16384" width="9" style="1778"/>
  </cols>
  <sheetData>
    <row r="1" spans="1:4" ht="22.2">
      <c r="A1" s="1777" t="s">
        <v>1903</v>
      </c>
    </row>
    <row r="2" spans="1:4">
      <c r="A2" s="1779"/>
    </row>
    <row r="3" spans="1:4" ht="17.399999999999999">
      <c r="A3" s="1797" t="str">
        <f>项目基本情况!B5&amp;"："</f>
        <v>重庆航龙置业有限公司：</v>
      </c>
    </row>
    <row r="4" spans="1:4" ht="34.799999999999997">
      <c r="A4" s="1791" t="str">
        <f>"受贵公司委托，我公司对"&amp;项目基本情况!K2&amp;项目基本情况!B9&amp;"进行了预评估。"</f>
        <v>受贵公司委托，我公司对重庆两江新区航悦项目E01-04-02出让国有建设用地使用权抵押价格进行了预评估。</v>
      </c>
    </row>
    <row r="5" spans="1:4" ht="17.399999999999999">
      <c r="A5" s="1794" t="s">
        <v>1904</v>
      </c>
    </row>
    <row r="6" spans="1:4" ht="69.599999999999994">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两江新区航悦项目E01-04-02出让国有建设用地使用权。根据《国有土地使用证》[]，估价对象（分摊）出让国有建设用地使用权面积为68029平方米。根据《建设工程规划许可证》[]、《出让合同》[]，估价对象规划建筑面积为102043.5平方米。</v>
      </c>
    </row>
    <row r="7" spans="1:4" ht="87">
      <c r="A7" s="2873" t="s">
        <v>2745</v>
      </c>
    </row>
    <row r="8" spans="1:4" ht="17.399999999999999">
      <c r="A8" s="1794" t="s">
        <v>1905</v>
      </c>
    </row>
    <row r="9" spans="1:4" ht="69.599999999999994">
      <c r="A9" s="1796" t="str">
        <f>IF(项目基本情况!B8="抵押",IF(项目基本情况!B5=项目基本情况!B6,定义!C51,定义!B51),定义!D51)</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7" t="s">
        <v>2027</v>
      </c>
    </row>
    <row r="11" spans="1:4" ht="17.399999999999999">
      <c r="A11" s="1780" t="str">
        <f>TEXT(项目基本情况!D3,"yyyy年m月d日;;")&amp;IF(项目基本情况!B3=项目基本情况!D3,"（评估专业人员勘察现场之日）","")</f>
        <v>2019年6月10日（评估专业人员勘察现场之日）</v>
      </c>
    </row>
    <row r="12" spans="1:4" ht="17.399999999999999">
      <c r="A12" s="1797" t="s">
        <v>2026</v>
      </c>
    </row>
    <row r="13" spans="1:4" ht="17.399999999999999">
      <c r="A13" s="1791" t="s">
        <v>2072</v>
      </c>
    </row>
    <row r="14" spans="1:4" ht="17.399999999999999">
      <c r="A14" s="1791" t="str">
        <f>"根据"&amp;项目基本情况!F12&amp;"，本次评估估价对象证载（地类）用途为"&amp;项目基本情况!B12&amp;"。"</f>
        <v>根据《国有土地使用证》[]，本次评估估价对象证载（地类）用途为。</v>
      </c>
      <c r="C14" s="1781"/>
      <c r="D14" s="1782"/>
    </row>
    <row r="15" spans="1:4" ht="17.399999999999999">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7.399999999999999">
      <c r="A16" s="1791" t="s">
        <v>2073</v>
      </c>
    </row>
    <row r="17" spans="1:1" ht="52.2">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根据委托估价方介绍及评估专业人员现场勘查，本次评估估价对象实际土地开发程度为红线外市政基础设施达“七通”（即通路、通电、通上水、通上水、通讯、燃气、）、宗地红线内场地平整。</v>
      </c>
    </row>
    <row r="18" spans="1:1" ht="52.2">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1" t="s">
        <v>2074</v>
      </c>
    </row>
    <row r="20" spans="1:1" ht="52.2">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根据《国有土地使用证》[]，估价对象（分摊）出让国有建设用地使用权面积为68029平方米。根据《建设工程规划许可证》[]、《出让合同》[]，估价对象规划建筑面积为102043.5平方米。</v>
      </c>
    </row>
    <row r="21" spans="1:1" ht="87">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1" t="s">
        <v>2075</v>
      </c>
    </row>
    <row r="23" spans="1:1" ht="17.399999999999999">
      <c r="A23" s="2875" t="s">
        <v>2746</v>
      </c>
    </row>
    <row r="24" spans="1:1" ht="17.399999999999999">
      <c r="A24" s="1791" t="s">
        <v>2076</v>
      </c>
    </row>
    <row r="25" spans="1:1" ht="87">
      <c r="A25" s="1791" t="str">
        <f>定义!C53</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row>
    <row r="26" spans="1:1" ht="52.2">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7" t="s">
        <v>2028</v>
      </c>
    </row>
    <row r="30" spans="1:1" ht="69.599999999999994">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7.399999999999999">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L11" sqref="L11"/>
    </sheetView>
  </sheetViews>
  <sheetFormatPr defaultColWidth="9" defaultRowHeight="15"/>
  <cols>
    <col min="1" max="1" width="9" style="2060" customWidth="1"/>
    <col min="2" max="2" width="20.6640625" style="2099" customWidth="1"/>
    <col min="3" max="3" width="11.88671875" style="2099" customWidth="1"/>
    <col min="4" max="4" width="40.44140625" style="2060" customWidth="1"/>
    <col min="5" max="5" width="15.77734375" style="2060" customWidth="1"/>
    <col min="6" max="6" width="10.6640625" style="2060" customWidth="1"/>
    <col min="7" max="7" width="4.88671875" style="2060" customWidth="1"/>
    <col min="8" max="8" width="8.44140625" style="2060" customWidth="1"/>
    <col min="9" max="9" width="21.21875" style="2060" customWidth="1"/>
    <col min="10" max="10" width="12.21875" style="2060" customWidth="1"/>
    <col min="11" max="11" width="40.109375" style="2100" customWidth="1"/>
    <col min="12" max="12" width="18.33203125" style="2060" customWidth="1"/>
    <col min="13" max="13" width="13" style="2060" customWidth="1"/>
    <col min="14" max="14" width="9.44140625" style="2059" bestFit="1" customWidth="1"/>
    <col min="15" max="15" width="5.88671875" style="2059" customWidth="1"/>
    <col min="16" max="16" width="27.6640625" style="2059" customWidth="1"/>
    <col min="17" max="17" width="13.77734375" style="2097" customWidth="1"/>
    <col min="18" max="18" width="23.44140625" style="2059" customWidth="1"/>
    <col min="19" max="19" width="1.44140625" style="2059" customWidth="1"/>
    <col min="20" max="33" width="9" style="2059"/>
    <col min="34" max="16384" width="9" style="2060"/>
  </cols>
  <sheetData>
    <row r="1" spans="1:33" s="2054" customFormat="1" ht="21.6">
      <c r="A1" s="832" t="s">
        <v>1724</v>
      </c>
      <c r="B1" s="738"/>
      <c r="C1" s="773" t="s">
        <v>3025</v>
      </c>
      <c r="D1" s="3122" t="s">
        <v>3069</v>
      </c>
      <c r="E1" s="2387" t="s">
        <v>869</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1725</v>
      </c>
      <c r="B2" s="775" t="e">
        <f ca="1">C40+J29+L46</f>
        <v>#N/A</v>
      </c>
      <c r="C2" s="2057"/>
      <c r="D2" s="2055"/>
      <c r="E2" s="2056"/>
      <c r="F2" s="2056"/>
      <c r="G2" s="1589"/>
      <c r="H2" s="2057"/>
      <c r="I2" s="2057"/>
      <c r="J2" s="2057"/>
      <c r="K2" s="2058"/>
      <c r="L2" s="2057"/>
      <c r="M2" s="2057"/>
    </row>
    <row r="3" spans="1:33" ht="18" customHeight="1" thickBot="1">
      <c r="A3" s="833" t="s">
        <v>1726</v>
      </c>
      <c r="B3" s="834">
        <f ca="1">IF(ISERROR(B2*10000/F43),0,ROUND(B2*10000/F43,0))</f>
        <v>0</v>
      </c>
      <c r="C3" s="2057"/>
      <c r="D3" s="2055"/>
      <c r="E3" s="2056"/>
      <c r="F3" s="2056"/>
      <c r="G3" s="1589"/>
      <c r="H3" s="776" t="s">
        <v>694</v>
      </c>
      <c r="I3" s="1363"/>
      <c r="J3" s="1363"/>
      <c r="K3" s="1590"/>
      <c r="L3" s="1363"/>
      <c r="M3" s="1363"/>
    </row>
    <row r="4" spans="1:33" ht="18" customHeight="1">
      <c r="A4" s="777" t="s">
        <v>1727</v>
      </c>
      <c r="B4" s="778" t="s">
        <v>1728</v>
      </c>
      <c r="C4" s="778" t="s">
        <v>1729</v>
      </c>
      <c r="D4" s="778" t="s">
        <v>632</v>
      </c>
      <c r="E4" s="779" t="s">
        <v>1730</v>
      </c>
      <c r="F4" s="780"/>
      <c r="G4" s="1591"/>
      <c r="H4" s="777" t="s">
        <v>1727</v>
      </c>
      <c r="I4" s="778" t="s">
        <v>1728</v>
      </c>
      <c r="J4" s="778" t="s">
        <v>1729</v>
      </c>
      <c r="K4" s="778" t="s">
        <v>1734</v>
      </c>
      <c r="L4" s="779" t="s">
        <v>1730</v>
      </c>
      <c r="M4" s="780"/>
    </row>
    <row r="5" spans="1:33" ht="18" customHeight="1">
      <c r="A5" s="781">
        <v>1</v>
      </c>
      <c r="B5" s="782" t="s">
        <v>2456</v>
      </c>
      <c r="C5" s="55" t="e">
        <f ca="1">C6+C10+C12</f>
        <v>#N/A</v>
      </c>
      <c r="D5" s="2496" t="s">
        <v>2459</v>
      </c>
      <c r="E5" s="2490"/>
      <c r="F5" s="2491"/>
      <c r="G5" s="1591"/>
      <c r="H5" s="781">
        <v>1</v>
      </c>
      <c r="I5" s="782" t="s">
        <v>2456</v>
      </c>
      <c r="J5" s="55" t="e">
        <f ca="1">J6+J10+J12</f>
        <v>#N/A</v>
      </c>
      <c r="K5" s="2496" t="s">
        <v>2459</v>
      </c>
      <c r="L5" s="2490"/>
      <c r="M5" s="2491"/>
    </row>
    <row r="6" spans="1:33" ht="18" customHeight="1">
      <c r="A6" s="1830" t="s">
        <v>1823</v>
      </c>
      <c r="B6" s="3529" t="s">
        <v>2461</v>
      </c>
      <c r="C6" s="783" t="e">
        <f ca="1">ROUND(F6*F8*F7*(1-F9)/10000,0)</f>
        <v>#N/A</v>
      </c>
      <c r="D6" s="2497" t="s">
        <v>2460</v>
      </c>
      <c r="E6" s="784" t="s">
        <v>1737</v>
      </c>
      <c r="F6" s="785" t="e">
        <f ca="1">INDIRECT("'数据-取费表'!u"&amp;$G$1)</f>
        <v>#N/A</v>
      </c>
      <c r="G6" s="1591"/>
      <c r="H6" s="2504" t="s">
        <v>1823</v>
      </c>
      <c r="I6" s="3529" t="s">
        <v>2461</v>
      </c>
      <c r="J6" s="783" t="e">
        <f ca="1">ROUND(M6*M8*M7*(1-M9)/10000,0)</f>
        <v>#N/A</v>
      </c>
      <c r="K6" s="341" t="s">
        <v>1736</v>
      </c>
      <c r="L6" s="784" t="s">
        <v>1737</v>
      </c>
      <c r="M6" s="785" t="e">
        <f ca="1">INDIRECT("'数据-取费表'!z"&amp;$G$1)</f>
        <v>#N/A</v>
      </c>
    </row>
    <row r="7" spans="1:33" ht="18" customHeight="1">
      <c r="A7" s="2500"/>
      <c r="B7" s="3530"/>
      <c r="C7" s="788"/>
      <c r="D7" s="789"/>
      <c r="E7" s="784" t="s">
        <v>1738</v>
      </c>
      <c r="F7" s="785" t="e">
        <f ca="1">IF(INDIRECT("'数据-取费表'!ah"&amp;$G$1)="",INDIRECT("'数据-取费表'!k"&amp;$G$1),INDIRECT("'数据-取费表'!ah"&amp;$G$1))</f>
        <v>#N/A</v>
      </c>
      <c r="G7" s="1591"/>
      <c r="H7" s="2489"/>
      <c r="I7" s="3530"/>
      <c r="J7" s="788"/>
      <c r="K7" s="789"/>
      <c r="L7" s="784" t="s">
        <v>1738</v>
      </c>
      <c r="M7" s="785" t="e">
        <f ca="1">F7</f>
        <v>#N/A</v>
      </c>
    </row>
    <row r="8" spans="1:33" ht="18" customHeight="1">
      <c r="A8" s="2493"/>
      <c r="B8" s="3531"/>
      <c r="C8" s="788"/>
      <c r="D8" s="789"/>
      <c r="E8" s="784" t="s">
        <v>1739</v>
      </c>
      <c r="F8" s="785" t="e">
        <f ca="1">INDIRECT("'数据-取费表'!ai"&amp;$G$1)</f>
        <v>#N/A</v>
      </c>
      <c r="G8" s="1591"/>
      <c r="H8" s="2489"/>
      <c r="I8" s="3531"/>
      <c r="J8" s="788"/>
      <c r="K8" s="789"/>
      <c r="L8" s="784" t="s">
        <v>1739</v>
      </c>
      <c r="M8" s="785" t="e">
        <f ca="1">INDIRECT("'数据-取费表'!ai"&amp;$G$1)</f>
        <v>#N/A</v>
      </c>
    </row>
    <row r="9" spans="1:33" ht="18" customHeight="1">
      <c r="A9" s="786"/>
      <c r="B9" s="3532"/>
      <c r="C9" s="788"/>
      <c r="D9" s="789"/>
      <c r="E9" s="784" t="s">
        <v>1740</v>
      </c>
      <c r="F9" s="794" t="e">
        <f ca="1">INDIRECT("'数据-取费表'!w"&amp;$G$1)</f>
        <v>#N/A</v>
      </c>
      <c r="G9" s="1591"/>
      <c r="H9" s="2505"/>
      <c r="I9" s="3531"/>
      <c r="J9" s="788"/>
      <c r="K9" s="789"/>
      <c r="L9" s="795" t="s">
        <v>1740</v>
      </c>
      <c r="M9" s="796" t="e">
        <f ca="1">INDIRECT("'数据-取费表'!ab"&amp;$G$1)</f>
        <v>#N/A</v>
      </c>
    </row>
    <row r="10" spans="1:33" ht="18" customHeight="1">
      <c r="A10" s="1830" t="s">
        <v>1824</v>
      </c>
      <c r="B10" s="2494" t="s">
        <v>2457</v>
      </c>
      <c r="C10" s="799">
        <f ca="1">ROUND(IF(F10="押一",C6/12*F11,IF(F10="押二",C6/12*2*F11,IF(F10="押三",C6/12*3*F11,C11*F11))),0)</f>
        <v>0</v>
      </c>
      <c r="D10" s="2501" t="s">
        <v>2970</v>
      </c>
      <c r="E10" s="2498" t="s">
        <v>2462</v>
      </c>
      <c r="F10" s="2621" t="s">
        <v>3042</v>
      </c>
      <c r="G10" s="1591"/>
      <c r="H10" s="2561" t="s">
        <v>1824</v>
      </c>
      <c r="I10" s="2566" t="s">
        <v>2457</v>
      </c>
      <c r="J10" s="783">
        <f ca="1">ROUND(IF(M10="押一",J6/12*M11,IF(M10="押二",J6/12*2*M11,IF(M10="押三",J6/12*3*M11,J11*M11))),0)</f>
        <v>0</v>
      </c>
      <c r="K10" s="2501" t="s">
        <v>2970</v>
      </c>
      <c r="L10" s="2498" t="s">
        <v>2462</v>
      </c>
      <c r="M10" s="2621"/>
    </row>
    <row r="11" spans="1:33" ht="18" customHeight="1">
      <c r="A11" s="790"/>
      <c r="B11" s="2495" t="s">
        <v>2571</v>
      </c>
      <c r="C11" s="2499"/>
      <c r="D11" s="789"/>
      <c r="E11" s="2498" t="s">
        <v>2454</v>
      </c>
      <c r="F11" s="796">
        <f ca="1">'数据-取费表'!B39</f>
        <v>1.4999999999999999E-2</v>
      </c>
      <c r="G11" s="1591"/>
      <c r="H11" s="2562"/>
      <c r="I11" s="2495" t="s">
        <v>2571</v>
      </c>
      <c r="J11" s="2499"/>
      <c r="K11" s="2563"/>
      <c r="L11" s="2498" t="s">
        <v>2454</v>
      </c>
      <c r="M11" s="2492">
        <f ca="1">'数据-取费表'!B39</f>
        <v>1.4999999999999999E-2</v>
      </c>
    </row>
    <row r="12" spans="1:33" ht="18" customHeight="1" thickBot="1">
      <c r="A12" s="2537" t="s">
        <v>2465</v>
      </c>
      <c r="B12" s="2538" t="s">
        <v>2458</v>
      </c>
      <c r="C12" s="2539"/>
      <c r="D12" s="2540"/>
      <c r="E12" s="2541"/>
      <c r="F12" s="2542"/>
      <c r="G12" s="1591"/>
      <c r="H12" s="2551" t="s">
        <v>2465</v>
      </c>
      <c r="I12" s="2564" t="s">
        <v>2458</v>
      </c>
      <c r="J12" s="2565"/>
      <c r="K12" s="2540"/>
      <c r="L12" s="2541"/>
      <c r="M12" s="2554"/>
    </row>
    <row r="13" spans="1:33" ht="18" customHeight="1" thickTop="1">
      <c r="A13" s="1829">
        <v>2</v>
      </c>
      <c r="B13" s="1827" t="s">
        <v>1741</v>
      </c>
      <c r="C13" s="792" t="e">
        <f ca="1">ROUND(C29*F13,0)</f>
        <v>#N/A</v>
      </c>
      <c r="D13" s="1834" t="s">
        <v>2297</v>
      </c>
      <c r="E13" s="1834" t="s">
        <v>1743</v>
      </c>
      <c r="F13" s="2536" t="e">
        <f ca="1">INDIRECT("'数据-取费表'!y"&amp;$G$1)</f>
        <v>#N/A</v>
      </c>
      <c r="G13" s="1591"/>
      <c r="H13" s="1829">
        <v>2</v>
      </c>
      <c r="I13" s="1827" t="s">
        <v>1741</v>
      </c>
      <c r="J13" s="1819" t="e">
        <f ca="1">ROUND(J14*J15,0)</f>
        <v>#N/A</v>
      </c>
      <c r="K13" s="1821" t="s">
        <v>1742</v>
      </c>
      <c r="L13" s="2552"/>
      <c r="M13" s="2553"/>
    </row>
    <row r="14" spans="1:33" ht="18" customHeight="1">
      <c r="A14" s="1647" t="s">
        <v>1830</v>
      </c>
      <c r="B14" s="784" t="s">
        <v>644</v>
      </c>
      <c r="C14" s="804" t="e">
        <f ca="1">INDIRECT("'数据-取费表'!m"&amp;$G$1)+INDIRECT("'数据-取费表'!t"&amp;$G$1)</f>
        <v>#N/A</v>
      </c>
      <c r="D14" s="3177" t="s">
        <v>1744</v>
      </c>
      <c r="E14" s="3176"/>
      <c r="F14" s="805"/>
      <c r="G14" s="1591"/>
      <c r="H14" s="1648" t="s">
        <v>1823</v>
      </c>
      <c r="I14" s="2231" t="s">
        <v>2822</v>
      </c>
      <c r="J14" s="53" t="e">
        <f ca="1">C29</f>
        <v>#N/A</v>
      </c>
      <c r="K14" s="26"/>
      <c r="L14" s="801"/>
      <c r="M14" s="802"/>
    </row>
    <row r="15" spans="1:33" s="2064" customFormat="1" ht="18" customHeight="1" thickBot="1">
      <c r="A15" s="1647" t="s">
        <v>1831</v>
      </c>
      <c r="B15" s="784" t="s">
        <v>646</v>
      </c>
      <c r="C15" s="53" t="e">
        <f ca="1">ROUND(C14*F15,0)</f>
        <v>#N/A</v>
      </c>
      <c r="D15" s="806" t="s">
        <v>1745</v>
      </c>
      <c r="E15" s="806" t="s">
        <v>1746</v>
      </c>
      <c r="F15" s="807">
        <f>'数据-取费表'!B33</f>
        <v>0.05</v>
      </c>
      <c r="G15" s="1592"/>
      <c r="H15" s="2551" t="s">
        <v>1888</v>
      </c>
      <c r="I15" s="2546" t="s">
        <v>1743</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1832</v>
      </c>
      <c r="B16" s="784" t="s">
        <v>649</v>
      </c>
      <c r="C16" s="53" t="e">
        <f ca="1">ROUND(INDIRECT("'数据-取费表'!m"&amp;$G$1)*F16,0)</f>
        <v>#N/A</v>
      </c>
      <c r="D16" s="784" t="s">
        <v>1745</v>
      </c>
      <c r="E16" s="784" t="s">
        <v>1746</v>
      </c>
      <c r="F16" s="809" t="e">
        <f ca="1">IF(INDIRECT("'数据-取费表'!c"&amp;$G$1)="住宅",'数据-取费表'!B34,0)</f>
        <v>#N/A</v>
      </c>
      <c r="G16" s="1591"/>
      <c r="H16" s="1829" t="s">
        <v>1747</v>
      </c>
      <c r="I16" s="1827" t="s">
        <v>1748</v>
      </c>
      <c r="J16" s="792" t="e">
        <f ca="1">ROUND(J17+J22+J23+J24,0)</f>
        <v>#N/A</v>
      </c>
      <c r="K16" s="1821" t="s">
        <v>1749</v>
      </c>
      <c r="L16" s="3179"/>
      <c r="M16" s="2491"/>
    </row>
    <row r="17" spans="1:33" s="2064" customFormat="1" ht="18" customHeight="1">
      <c r="A17" s="1647" t="s">
        <v>1886</v>
      </c>
      <c r="B17" s="784" t="s">
        <v>652</v>
      </c>
      <c r="C17" s="53" t="e">
        <f ca="1">ROUND(F17*(F43+INDIRECT("'数据-取费表'!S"&amp;$G$1))/10000,0)</f>
        <v>#N/A</v>
      </c>
      <c r="D17" s="784" t="s">
        <v>1750</v>
      </c>
      <c r="E17" s="784" t="s">
        <v>1751</v>
      </c>
      <c r="F17" s="56">
        <f>'数据-取费表'!B35</f>
        <v>200</v>
      </c>
      <c r="G17" s="1592"/>
      <c r="H17" s="1648" t="s">
        <v>1823</v>
      </c>
      <c r="I17" s="784" t="s">
        <v>655</v>
      </c>
      <c r="J17" s="53" t="e">
        <f ca="1">ROUND(IF(项目基本情况!B11="自然人",J5*M17,J18+J19+J20),0)</f>
        <v>#N/A</v>
      </c>
      <c r="K17" s="3177" t="s">
        <v>1752</v>
      </c>
      <c r="L17" s="3178" t="s">
        <v>1753</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4" t="s">
        <v>658</v>
      </c>
      <c r="C18" s="53" t="e">
        <f ca="1">ROUND(C14*F18,0)</f>
        <v>#N/A</v>
      </c>
      <c r="D18" s="784" t="s">
        <v>1745</v>
      </c>
      <c r="E18" s="784" t="s">
        <v>1746</v>
      </c>
      <c r="F18" s="809">
        <f>'数据-取费表'!B36</f>
        <v>1.4999999999999999E-2</v>
      </c>
      <c r="G18" s="1592"/>
      <c r="H18" s="1647" t="s">
        <v>1830</v>
      </c>
      <c r="I18" s="784" t="s">
        <v>1754</v>
      </c>
      <c r="J18" s="53" t="e">
        <f ca="1">ROUND(J5*M18/1.05,1)</f>
        <v>#N/A</v>
      </c>
      <c r="K18" s="3178" t="s">
        <v>1755</v>
      </c>
      <c r="L18" s="784" t="s">
        <v>1746</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1823</v>
      </c>
      <c r="B19" s="784" t="s">
        <v>661</v>
      </c>
      <c r="C19" s="53" t="e">
        <f ca="1">SUM(C14:C18)</f>
        <v>#N/A</v>
      </c>
      <c r="D19" s="261" t="s">
        <v>1756</v>
      </c>
      <c r="E19" s="3180"/>
      <c r="F19" s="56"/>
      <c r="G19" s="1591"/>
      <c r="H19" s="1647" t="s">
        <v>1831</v>
      </c>
      <c r="I19" s="784" t="s">
        <v>1757</v>
      </c>
      <c r="J19" s="53" t="e">
        <f ca="1">IF(K19="按租金收入计税",ROUND(J5*M19,1),ROUND(C29*F33*0.7,1))</f>
        <v>#N/A</v>
      </c>
      <c r="K19" s="811" t="s">
        <v>664</v>
      </c>
      <c r="L19" s="784" t="s">
        <v>1746</v>
      </c>
      <c r="M19" s="809">
        <f>IF(K19="按租金收入计税",'数据-取费表'!B51,'数据-取费表'!B50)</f>
        <v>1.2E-2</v>
      </c>
    </row>
    <row r="20" spans="1:33" s="2064" customFormat="1" ht="18" customHeight="1">
      <c r="A20" s="1648" t="s">
        <v>1888</v>
      </c>
      <c r="B20" s="784" t="s">
        <v>665</v>
      </c>
      <c r="C20" s="53" t="e">
        <f ca="1">ROUND(C19*F20,0)</f>
        <v>#N/A</v>
      </c>
      <c r="D20" s="812" t="s">
        <v>1758</v>
      </c>
      <c r="E20" s="784" t="s">
        <v>1746</v>
      </c>
      <c r="F20" s="809">
        <f>'数据-取费表'!B37</f>
        <v>0.02</v>
      </c>
      <c r="G20" s="1592"/>
      <c r="H20" s="1650" t="s">
        <v>1832</v>
      </c>
      <c r="I20" s="341" t="s">
        <v>1759</v>
      </c>
      <c r="J20" s="54" t="e">
        <f ca="1">ROUND(M20*M21/10000,0)</f>
        <v>#N/A</v>
      </c>
      <c r="K20" s="814" t="s">
        <v>1760</v>
      </c>
      <c r="L20" s="784" t="s">
        <v>1761</v>
      </c>
      <c r="M20" s="640">
        <f>'数据-取费表'!B52</f>
        <v>20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4" t="s">
        <v>1762</v>
      </c>
      <c r="C21" s="53" t="s">
        <v>1763</v>
      </c>
      <c r="D21" s="812" t="s">
        <v>2298</v>
      </c>
      <c r="E21" s="784" t="s">
        <v>1764</v>
      </c>
      <c r="F21" s="809">
        <f>'数据-取费表'!B38</f>
        <v>0.02</v>
      </c>
      <c r="G21" s="1592"/>
      <c r="H21" s="2506"/>
      <c r="I21" s="793"/>
      <c r="J21" s="69"/>
      <c r="K21" s="816"/>
      <c r="L21" s="784" t="s">
        <v>1765</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4" t="s">
        <v>1766</v>
      </c>
      <c r="C22" s="53"/>
      <c r="D22" s="2572" t="str">
        <f>IF(F23&lt;=1,"单利计息。","复利计息。")&amp;"建造成本、管理费用、销售费用产生的利息。"</f>
        <v>复利计息。建造成本、管理费用、销售费用产生的利息。</v>
      </c>
      <c r="E22" s="3180"/>
      <c r="F22" s="56"/>
      <c r="G22" s="1591"/>
      <c r="H22" s="1648" t="s">
        <v>1888</v>
      </c>
      <c r="I22" s="784" t="s">
        <v>1767</v>
      </c>
      <c r="J22" s="53" t="e">
        <f ca="1">ROUND(J14*M22,0)</f>
        <v>#N/A</v>
      </c>
      <c r="K22" s="3178" t="s">
        <v>1768</v>
      </c>
      <c r="L22" s="784" t="s">
        <v>1746</v>
      </c>
      <c r="M22" s="817" t="e">
        <f ca="1">INDIRECT("'数据-取费表'!Ak"&amp;$G$1)</f>
        <v>#N/A</v>
      </c>
    </row>
    <row r="23" spans="1:33" s="2064" customFormat="1" ht="18" customHeight="1">
      <c r="A23" s="1647" t="s">
        <v>1830</v>
      </c>
      <c r="B23" s="784" t="s">
        <v>2437</v>
      </c>
      <c r="C23" s="53" t="e">
        <f ca="1">ROUND(IF('数据-取费表'!B22&lt;=1,(C19+C20)*F24*F23/2,(C19+C20)*(POWER((1+F24),F23/2)-1)),0)</f>
        <v>#N/A</v>
      </c>
      <c r="D23" s="2571" t="str">
        <f>IF(F23&lt;=1,"(建造成本+管理费用)×利率×(建设周期÷2)","(建造成本+管理费用)×((1+利率)^(建设周期÷2)-1)")</f>
        <v>(建造成本+管理费用)×((1+利率)^(建设周期÷2)-1)</v>
      </c>
      <c r="E23" s="784" t="s">
        <v>1769</v>
      </c>
      <c r="F23" s="640">
        <f>'数据-取费表'!B20</f>
        <v>3</v>
      </c>
      <c r="G23" s="1592"/>
      <c r="H23" s="1648" t="s">
        <v>1889</v>
      </c>
      <c r="I23" s="784" t="s">
        <v>678</v>
      </c>
      <c r="J23" s="53" t="e">
        <f ca="1">ROUND(J13*M23,0)</f>
        <v>#N/A</v>
      </c>
      <c r="K23" s="3178" t="s">
        <v>1770</v>
      </c>
      <c r="L23" s="784" t="s">
        <v>1746</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4" t="s">
        <v>1771</v>
      </c>
      <c r="C24" s="53">
        <f ca="1">ROUND(IF('数据-取费表'!B22&lt;=1,F21*F24*F23/2,F21*(POWER((1+F24),F23/2)-1)),4)</f>
        <v>1.4E-3</v>
      </c>
      <c r="D24" s="2571" t="str">
        <f>IF(F23&lt;=1,"销售费用×利率×(建设周期÷2)","销售费用×((1+利率)^(建设周期÷2)-1)")</f>
        <v>销售费用×((1+利率)^(建设周期÷2)-1)</v>
      </c>
      <c r="E24" s="784" t="s">
        <v>1772</v>
      </c>
      <c r="F24" s="819">
        <f ca="1">'数据-取费表'!B40</f>
        <v>4.7500000000000001E-2</v>
      </c>
      <c r="G24" s="1592"/>
      <c r="H24" s="2551" t="s">
        <v>1890</v>
      </c>
      <c r="I24" s="2546" t="s">
        <v>665</v>
      </c>
      <c r="J24" s="2544" t="e">
        <f ca="1">ROUND(J5*M24,0)</f>
        <v>#N/A</v>
      </c>
      <c r="K24" s="2545" t="s">
        <v>1773</v>
      </c>
      <c r="L24" s="2546" t="s">
        <v>1746</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4" t="s">
        <v>683</v>
      </c>
      <c r="C25" s="53"/>
      <c r="D25" s="261" t="s">
        <v>1774</v>
      </c>
      <c r="E25" s="3180"/>
      <c r="F25" s="56"/>
      <c r="G25" s="1591"/>
      <c r="H25" s="1829" t="s">
        <v>1775</v>
      </c>
      <c r="I25" s="3010" t="s">
        <v>2819</v>
      </c>
      <c r="J25" s="792" t="e">
        <f ca="1">J5-J16</f>
        <v>#N/A</v>
      </c>
      <c r="K25" s="2548" t="s">
        <v>1776</v>
      </c>
      <c r="L25" s="2549"/>
      <c r="M25" s="2550"/>
    </row>
    <row r="26" spans="1:33" ht="18" customHeight="1">
      <c r="A26" s="1647" t="s">
        <v>1830</v>
      </c>
      <c r="B26" s="784" t="s">
        <v>2438</v>
      </c>
      <c r="C26" s="53" t="e">
        <f ca="1">ROUND((C19+C20)*F26,0)</f>
        <v>#N/A</v>
      </c>
      <c r="D26" s="812" t="s">
        <v>1777</v>
      </c>
      <c r="E26" s="795" t="s">
        <v>1778</v>
      </c>
      <c r="F26" s="794" t="e">
        <f ca="1">INDIRECT("'数据-取费表'!q"&amp;$G$1)</f>
        <v>#N/A</v>
      </c>
      <c r="G26" s="1591"/>
      <c r="H26" s="2502" t="s">
        <v>1779</v>
      </c>
      <c r="I26" s="2232" t="s">
        <v>2824</v>
      </c>
      <c r="J26" s="783" t="e">
        <f ca="1">IF(J5&lt;&gt;0,ROUND(J25*(1-((1+M28)/(1+M26))^M27)/(M26-M28),0),0)</f>
        <v>#N/A</v>
      </c>
      <c r="K26" s="814" t="s">
        <v>1780</v>
      </c>
      <c r="L26" s="784" t="s">
        <v>2419</v>
      </c>
      <c r="M26" s="794" t="e">
        <f ca="1">INDIRECT("'数据-取费表'!I"&amp;$G$1)</f>
        <v>#N/A</v>
      </c>
    </row>
    <row r="27" spans="1:33" ht="18" customHeight="1">
      <c r="A27" s="1647" t="s">
        <v>1831</v>
      </c>
      <c r="B27" s="784" t="s">
        <v>685</v>
      </c>
      <c r="C27" s="53" t="e">
        <f ca="1">ROUND(F21*F26,4)</f>
        <v>#N/A</v>
      </c>
      <c r="D27" s="812" t="s">
        <v>1781</v>
      </c>
      <c r="E27" s="806"/>
      <c r="F27" s="807"/>
      <c r="G27" s="1591"/>
      <c r="H27" s="2503"/>
      <c r="I27" s="787"/>
      <c r="J27" s="788"/>
      <c r="K27" s="821" t="s">
        <v>1782</v>
      </c>
      <c r="L27" s="784" t="s">
        <v>1783</v>
      </c>
      <c r="M27" s="822" t="e">
        <f ca="1">INDIRECT("'数据-取费表'!ag"&amp;$G$1)</f>
        <v>#N/A</v>
      </c>
    </row>
    <row r="28" spans="1:33" s="2064" customFormat="1" ht="18" customHeight="1">
      <c r="A28" s="1649" t="s">
        <v>1840</v>
      </c>
      <c r="B28" s="784" t="s">
        <v>686</v>
      </c>
      <c r="C28" s="53">
        <f>ROUND(F28/(1+'数据-取费表'!C42),4)</f>
        <v>5.33E-2</v>
      </c>
      <c r="D28" s="812" t="s">
        <v>2299</v>
      </c>
      <c r="E28" s="784" t="s">
        <v>1746</v>
      </c>
      <c r="F28" s="809">
        <f>'数据-取费表'!B41</f>
        <v>5.6000000000000001E-2</v>
      </c>
      <c r="G28" s="1592"/>
      <c r="H28" s="1829"/>
      <c r="I28" s="791"/>
      <c r="J28" s="792"/>
      <c r="K28" s="816"/>
      <c r="L28" s="784" t="s">
        <v>1785</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2300</v>
      </c>
      <c r="C29" s="2544" t="e">
        <f ca="1">ROUND((C19+C20+C23+C26)/(1-F21-C24-C27-C28),0)</f>
        <v>#N/A</v>
      </c>
      <c r="D29" s="2545"/>
      <c r="E29" s="2546"/>
      <c r="F29" s="2547"/>
      <c r="G29" s="1592"/>
      <c r="H29" s="823" t="s">
        <v>1786</v>
      </c>
      <c r="I29" s="824" t="s">
        <v>1787</v>
      </c>
      <c r="J29" s="825" t="e">
        <f ca="1">ROUND(J26/(1+F40)^F41,0)</f>
        <v>#N/A</v>
      </c>
      <c r="K29" s="826" t="s">
        <v>1788</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1747</v>
      </c>
      <c r="B30" s="1827" t="s">
        <v>1748</v>
      </c>
      <c r="C30" s="792" t="e">
        <f ca="1">ROUND(C31+C36+C37+C38,0)</f>
        <v>#N/A</v>
      </c>
      <c r="D30" s="1821" t="s">
        <v>1749</v>
      </c>
      <c r="E30" s="3179"/>
      <c r="F30" s="2491"/>
      <c r="G30" s="2062"/>
      <c r="H30" s="2065"/>
      <c r="I30" s="2066"/>
      <c r="J30" s="2067"/>
      <c r="K30" s="2068"/>
      <c r="L30" s="2069"/>
      <c r="M30" s="2070"/>
    </row>
    <row r="31" spans="1:33" ht="18" customHeight="1">
      <c r="A31" s="1648" t="s">
        <v>1823</v>
      </c>
      <c r="B31" s="784" t="s">
        <v>655</v>
      </c>
      <c r="C31" s="53" t="e">
        <f ca="1">ROUND(IF(项目基本情况!B11="自然人",C5*F31,C32+C33+C34),1)</f>
        <v>#N/A</v>
      </c>
      <c r="D31" s="3177" t="s">
        <v>1752</v>
      </c>
      <c r="E31" s="3178" t="s">
        <v>1792</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1830</v>
      </c>
      <c r="B32" s="784" t="s">
        <v>1754</v>
      </c>
      <c r="C32" s="53" t="e">
        <f ca="1">ROUND(C5*F32/1.05,1)</f>
        <v>#N/A</v>
      </c>
      <c r="D32" s="3178" t="s">
        <v>1755</v>
      </c>
      <c r="E32" s="784" t="s">
        <v>1746</v>
      </c>
      <c r="F32" s="809">
        <f>'数据-取费表'!B41</f>
        <v>5.6000000000000001E-2</v>
      </c>
      <c r="G32" s="2062"/>
      <c r="H32" s="2071"/>
      <c r="I32" s="2072"/>
      <c r="J32" s="2073"/>
      <c r="K32" s="2074"/>
      <c r="L32" s="2075"/>
      <c r="M32" s="2076"/>
    </row>
    <row r="33" spans="1:18" ht="18" customHeight="1">
      <c r="A33" s="1647" t="s">
        <v>1831</v>
      </c>
      <c r="B33" s="784" t="s">
        <v>1757</v>
      </c>
      <c r="C33" s="53" t="e">
        <f ca="1">IF(D33="按租金收入计税",ROUND(C5*F33,1),IF(D33="按房产原值计税",ROUND(C29*F33*0.7,1),INDIRECT("'数据-取费表'!Aj"&amp;$G$1)))</f>
        <v>#N/A</v>
      </c>
      <c r="D33" s="811" t="s">
        <v>3028</v>
      </c>
      <c r="E33" s="784" t="s">
        <v>1746</v>
      </c>
      <c r="F33" s="809">
        <f>IF(D33="按租金收入计税",'数据-取费表'!B51,'数据-取费表'!B50)</f>
        <v>0.12</v>
      </c>
      <c r="G33" s="2062"/>
      <c r="H33" s="2077"/>
      <c r="I33" s="2077"/>
      <c r="J33" s="2077"/>
      <c r="K33" s="2078"/>
      <c r="L33" s="2077"/>
      <c r="M33" s="2077"/>
    </row>
    <row r="34" spans="1:18" ht="18" customHeight="1">
      <c r="A34" s="1650" t="s">
        <v>1832</v>
      </c>
      <c r="B34" s="341" t="s">
        <v>1759</v>
      </c>
      <c r="C34" s="54" t="e">
        <f ca="1">ROUND(F34*F35/10000,1)</f>
        <v>#N/A</v>
      </c>
      <c r="D34" s="814" t="s">
        <v>1760</v>
      </c>
      <c r="E34" s="784" t="s">
        <v>1761</v>
      </c>
      <c r="F34" s="640">
        <f>'数据-取费表'!B52</f>
        <v>20</v>
      </c>
      <c r="G34" s="2062"/>
      <c r="H34" s="2065"/>
      <c r="I34" s="835" t="s">
        <v>1812</v>
      </c>
      <c r="J34" s="836"/>
      <c r="K34" s="2080"/>
      <c r="L34" s="2079"/>
      <c r="M34" s="2079"/>
    </row>
    <row r="35" spans="1:18" ht="18" customHeight="1">
      <c r="A35" s="815"/>
      <c r="B35" s="793"/>
      <c r="C35" s="69"/>
      <c r="D35" s="816"/>
      <c r="E35" s="784" t="s">
        <v>1765</v>
      </c>
      <c r="F35" s="785" t="e">
        <f ca="1">INDIRECT("'数据-取费表'!r"&amp;$G$1)</f>
        <v>#N/A</v>
      </c>
      <c r="G35" s="2062"/>
      <c r="H35" s="2065"/>
      <c r="I35" s="837" t="s">
        <v>1813</v>
      </c>
      <c r="J35" s="838" t="e">
        <f ca="1">ROUND(C13*J36,0)</f>
        <v>#N/A</v>
      </c>
      <c r="K35" s="2078"/>
      <c r="L35" s="2077"/>
      <c r="M35" s="2077"/>
    </row>
    <row r="36" spans="1:18" ht="18" customHeight="1">
      <c r="A36" s="1648" t="s">
        <v>1888</v>
      </c>
      <c r="B36" s="784" t="s">
        <v>1767</v>
      </c>
      <c r="C36" s="53" t="e">
        <f ca="1">ROUND(C29*F36,1)</f>
        <v>#N/A</v>
      </c>
      <c r="D36" s="3178" t="s">
        <v>1802</v>
      </c>
      <c r="E36" s="784" t="s">
        <v>1746</v>
      </c>
      <c r="F36" s="817" t="e">
        <f ca="1">INDIRECT("'数据-取费表'!Ak"&amp;$G$1)</f>
        <v>#N/A</v>
      </c>
      <c r="G36" s="2062"/>
      <c r="H36" s="2077"/>
      <c r="I36" s="839" t="s">
        <v>1814</v>
      </c>
      <c r="J36" s="840" t="e">
        <f ca="1">INDIRECT("'数据-取费表'!j"&amp;$G$1)</f>
        <v>#N/A</v>
      </c>
      <c r="K36" s="2082"/>
      <c r="L36" s="2077"/>
      <c r="M36" s="2077"/>
    </row>
    <row r="37" spans="1:18" ht="18" customHeight="1">
      <c r="A37" s="1648" t="s">
        <v>1889</v>
      </c>
      <c r="B37" s="784" t="s">
        <v>678</v>
      </c>
      <c r="C37" s="53" t="e">
        <f ca="1">ROUND(C13*F37,1)</f>
        <v>#N/A</v>
      </c>
      <c r="D37" s="3178" t="s">
        <v>1770</v>
      </c>
      <c r="E37" s="784" t="s">
        <v>1746</v>
      </c>
      <c r="F37" s="818" t="e">
        <f ca="1">INDIRECT("'数据-取费表'!Al"&amp;$G$1)</f>
        <v>#N/A</v>
      </c>
      <c r="G37" s="2062"/>
      <c r="H37" s="2077"/>
      <c r="I37" s="841" t="s">
        <v>1815</v>
      </c>
      <c r="J37" s="842"/>
      <c r="K37" s="2082"/>
      <c r="L37" s="2077"/>
      <c r="M37" s="2077"/>
    </row>
    <row r="38" spans="1:18" ht="18" customHeight="1" thickBot="1">
      <c r="A38" s="2551" t="s">
        <v>1890</v>
      </c>
      <c r="B38" s="2546" t="s">
        <v>665</v>
      </c>
      <c r="C38" s="2544" t="e">
        <f ca="1">ROUND(C5*F38,1)</f>
        <v>#N/A</v>
      </c>
      <c r="D38" s="2545" t="s">
        <v>1773</v>
      </c>
      <c r="E38" s="2546" t="s">
        <v>1746</v>
      </c>
      <c r="F38" s="2542" t="e">
        <f ca="1">INDIRECT("'数据-取费表'!Am"&amp;$G$1)</f>
        <v>#N/A</v>
      </c>
      <c r="G38" s="2062"/>
      <c r="H38" s="2077"/>
      <c r="I38" s="843" t="s">
        <v>1816</v>
      </c>
      <c r="J38" s="844"/>
      <c r="K38" s="2083"/>
      <c r="L38" s="2077"/>
      <c r="M38" s="2077"/>
    </row>
    <row r="39" spans="1:18" ht="24.6" customHeight="1" thickTop="1">
      <c r="A39" s="1829" t="s">
        <v>1775</v>
      </c>
      <c r="B39" s="3010" t="s">
        <v>2819</v>
      </c>
      <c r="C39" s="792" t="e">
        <f ca="1">C5-C30</f>
        <v>#N/A</v>
      </c>
      <c r="D39" s="2548" t="s">
        <v>1776</v>
      </c>
      <c r="E39" s="2549"/>
      <c r="F39" s="2550"/>
      <c r="G39" s="2062"/>
      <c r="H39" s="2077"/>
      <c r="I39" s="837" t="s">
        <v>1817</v>
      </c>
      <c r="J39" s="845" t="e">
        <f ca="1">ROUND(J35/C39,3)</f>
        <v>#N/A</v>
      </c>
      <c r="K39" s="2083"/>
      <c r="L39" s="2077"/>
      <c r="M39" s="2077"/>
    </row>
    <row r="40" spans="1:18" ht="18" customHeight="1">
      <c r="A40" s="781" t="s">
        <v>1779</v>
      </c>
      <c r="B40" s="2232" t="s">
        <v>2301</v>
      </c>
      <c r="C40" s="783" t="e">
        <f ca="1">ROUND(C39*(1-((1+F42)/(1+F40))^F41)/(F40-F42),0)</f>
        <v>#N/A</v>
      </c>
      <c r="D40" s="814" t="s">
        <v>1780</v>
      </c>
      <c r="E40" s="784" t="s">
        <v>2419</v>
      </c>
      <c r="F40" s="794" t="e">
        <f ca="1">INDIRECT("'数据-取费表'!I"&amp;$G$1)</f>
        <v>#N/A</v>
      </c>
      <c r="G40" s="2062"/>
      <c r="H40" s="2062"/>
      <c r="I40" s="837" t="s">
        <v>1818</v>
      </c>
      <c r="J40" s="845" t="e">
        <f ca="1">1-J39</f>
        <v>#N/A</v>
      </c>
      <c r="K40" s="2083"/>
      <c r="L40" s="2062"/>
      <c r="M40" s="2062"/>
    </row>
    <row r="41" spans="1:18" ht="18" customHeight="1">
      <c r="A41" s="786"/>
      <c r="B41" s="787"/>
      <c r="C41" s="788"/>
      <c r="D41" s="821" t="s">
        <v>1807</v>
      </c>
      <c r="E41" s="784" t="s">
        <v>1783</v>
      </c>
      <c r="F41" s="822" t="e">
        <f ca="1">IF(INDIRECT("'数据-取费表'!af"&amp;$G$1)=0,INDIRECT("'数据-取费表'!ae"&amp;$G$1),INDIRECT("'数据-取费表'!af"&amp;$G$1))</f>
        <v>#N/A</v>
      </c>
      <c r="G41" s="2062"/>
      <c r="H41" s="1988"/>
      <c r="I41" s="843" t="s">
        <v>1819</v>
      </c>
      <c r="J41" s="846"/>
      <c r="K41" s="2082"/>
      <c r="L41" s="1988"/>
      <c r="M41" s="1988"/>
    </row>
    <row r="42" spans="1:18" ht="18" customHeight="1">
      <c r="A42" s="790"/>
      <c r="B42" s="791"/>
      <c r="C42" s="792"/>
      <c r="D42" s="816"/>
      <c r="E42" s="784" t="s">
        <v>1785</v>
      </c>
      <c r="F42" s="794" t="e">
        <f ca="1">INDIRECT("'数据-取费表'!v"&amp;$G$1)</f>
        <v>#N/A</v>
      </c>
      <c r="G42" s="2062"/>
      <c r="H42" s="1988"/>
      <c r="I42" s="847" t="s">
        <v>1820</v>
      </c>
      <c r="J42" s="845" t="e">
        <f ca="1">ROUND(C13/C40,3)</f>
        <v>#N/A</v>
      </c>
      <c r="K42" s="2082"/>
      <c r="L42" s="1988"/>
      <c r="M42" s="1988"/>
    </row>
    <row r="43" spans="1:18" ht="18" customHeight="1" thickBot="1">
      <c r="A43" s="823" t="s">
        <v>1786</v>
      </c>
      <c r="B43" s="824" t="s">
        <v>1809</v>
      </c>
      <c r="C43" s="825" t="e">
        <f ca="1">ROUND(C40*10000/F43,0)</f>
        <v>#N/A</v>
      </c>
      <c r="D43" s="826" t="s">
        <v>1810</v>
      </c>
      <c r="E43" s="827" t="s">
        <v>1811</v>
      </c>
      <c r="F43" s="828" t="e">
        <f ca="1">INDIRECT("'数据-取费表'!k"&amp;$G$1)</f>
        <v>#N/A</v>
      </c>
      <c r="G43" s="2062"/>
      <c r="H43" s="1988"/>
      <c r="I43" s="847" t="s">
        <v>1821</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74" t="e">
        <f ca="1">C67-C40</f>
        <v>#N/A</v>
      </c>
      <c r="D46" s="2085"/>
      <c r="E46" s="2085"/>
      <c r="F46" s="2085"/>
      <c r="I46" s="2378" t="s">
        <v>2343</v>
      </c>
      <c r="J46" s="2379"/>
      <c r="K46" s="2380"/>
      <c r="L46" s="3157">
        <f>IF(OR(M47="住宅",D1="土地（套用方法）"),0,IF(L48&gt;J51,L60,J60))</f>
        <v>0</v>
      </c>
      <c r="O46" s="2394" t="s">
        <v>2410</v>
      </c>
      <c r="P46" s="1591"/>
      <c r="Q46" s="1603"/>
      <c r="R46" s="1591"/>
    </row>
    <row r="47" spans="1:18" s="2059" customFormat="1" ht="18" customHeight="1" thickBot="1">
      <c r="A47" s="2372">
        <v>1</v>
      </c>
      <c r="B47" s="2373" t="s">
        <v>634</v>
      </c>
      <c r="C47" s="2574" t="e">
        <f ca="1">C48+C52+C54</f>
        <v>#N/A</v>
      </c>
      <c r="D47" s="2085"/>
      <c r="E47" s="2085"/>
      <c r="F47" s="2085"/>
      <c r="I47" s="3147" t="s">
        <v>2344</v>
      </c>
      <c r="J47" s="2381" t="s">
        <v>3029</v>
      </c>
      <c r="K47" s="3154" t="s">
        <v>2349</v>
      </c>
      <c r="L47" s="3158" t="e">
        <f ca="1">INDIRECT("'数据-取费表'!d"&amp;$G$1)</f>
        <v>#N/A</v>
      </c>
      <c r="M47" s="1603" t="str">
        <f>IF(ISNUMBER(FIND("住宅",C1)),"住宅","非住宅")</f>
        <v>非住宅</v>
      </c>
      <c r="O47" s="2395" t="s">
        <v>2375</v>
      </c>
      <c r="P47" s="2396" t="s">
        <v>2376</v>
      </c>
      <c r="Q47" s="2397" t="s">
        <v>2377</v>
      </c>
      <c r="R47" s="2396" t="s">
        <v>2378</v>
      </c>
    </row>
    <row r="48" spans="1:18" s="2059" customFormat="1" ht="18" customHeight="1" thickBot="1">
      <c r="A48" s="2642" t="s">
        <v>1869</v>
      </c>
      <c r="B48" s="2643" t="s">
        <v>2536</v>
      </c>
      <c r="C48" s="2374" t="e">
        <f ca="1">ROUND(F48*F50*F49*(1-F51)/10000,0)</f>
        <v>#N/A</v>
      </c>
      <c r="D48" s="2375" t="s">
        <v>635</v>
      </c>
      <c r="E48" s="2376" t="s">
        <v>2296</v>
      </c>
      <c r="F48" s="2377"/>
      <c r="G48" s="2090"/>
      <c r="I48" s="3123" t="s">
        <v>2345</v>
      </c>
      <c r="J48" s="2382" t="s">
        <v>2350</v>
      </c>
      <c r="K48" s="3155" t="s">
        <v>2351</v>
      </c>
      <c r="L48" s="1908" t="e">
        <f ca="1">INDIRECT("'数据-取费表'!f"&amp;$G$1)</f>
        <v>#N/A</v>
      </c>
      <c r="O48" s="2398" t="s">
        <v>2379</v>
      </c>
      <c r="P48" s="2399" t="s">
        <v>2405</v>
      </c>
      <c r="Q48" s="2400" t="e">
        <f ca="1">C40+J29</f>
        <v>#N/A</v>
      </c>
      <c r="R48" s="2399" t="s">
        <v>2380</v>
      </c>
    </row>
    <row r="49" spans="1:18" s="2059" customFormat="1" ht="18" customHeight="1" thickBot="1">
      <c r="A49" s="786"/>
      <c r="B49" s="787"/>
      <c r="C49" s="788"/>
      <c r="D49" s="789"/>
      <c r="E49" s="784" t="s">
        <v>1738</v>
      </c>
      <c r="F49" s="785" t="e">
        <f ca="1">F7</f>
        <v>#N/A</v>
      </c>
      <c r="G49" s="2090"/>
      <c r="H49" s="2093"/>
      <c r="I49" s="3123" t="s">
        <v>2346</v>
      </c>
      <c r="J49" s="2383">
        <v>2021</v>
      </c>
      <c r="K49" s="3156" t="s">
        <v>2352</v>
      </c>
      <c r="L49" s="2384"/>
      <c r="O49" s="2398" t="s">
        <v>2381</v>
      </c>
      <c r="P49" s="2399" t="s">
        <v>2406</v>
      </c>
      <c r="Q49" s="2400" t="e">
        <f ca="1">J60</f>
        <v>#N/A</v>
      </c>
      <c r="R49" s="2399" t="s">
        <v>2382</v>
      </c>
    </row>
    <row r="50" spans="1:18" s="2059" customFormat="1" ht="18" customHeight="1" thickBot="1">
      <c r="A50" s="786"/>
      <c r="B50" s="787"/>
      <c r="C50" s="788"/>
      <c r="D50" s="789"/>
      <c r="E50" s="784" t="s">
        <v>1739</v>
      </c>
      <c r="F50" s="785" t="e">
        <f ca="1">F8</f>
        <v>#N/A</v>
      </c>
      <c r="G50" s="2095"/>
      <c r="H50" s="2093"/>
      <c r="I50" s="3123" t="s">
        <v>2347</v>
      </c>
      <c r="J50" s="3151">
        <f>SUMPRODUCT((I63:I65=J47)*(J62:L62=J48)*(J63:L65))</f>
        <v>60</v>
      </c>
      <c r="K50" s="3156" t="s">
        <v>2353</v>
      </c>
      <c r="L50" s="2384"/>
      <c r="O50" s="2401" t="s">
        <v>2383</v>
      </c>
      <c r="P50" s="2399" t="s">
        <v>2407</v>
      </c>
      <c r="Q50" s="2400" t="e">
        <f ca="1">C29</f>
        <v>#N/A</v>
      </c>
      <c r="R50" s="2399" t="s">
        <v>2380</v>
      </c>
    </row>
    <row r="51" spans="1:18" s="2059" customFormat="1" ht="18" customHeight="1" thickBot="1">
      <c r="A51" s="786"/>
      <c r="B51" s="787"/>
      <c r="C51" s="788"/>
      <c r="D51" s="789"/>
      <c r="E51" s="784" t="s">
        <v>639</v>
      </c>
      <c r="F51" s="2371"/>
      <c r="H51" s="2093"/>
      <c r="I51" s="3148" t="s">
        <v>2348</v>
      </c>
      <c r="J51" s="3152">
        <f>IF(J49="",J50,J49+J50-YEAR('数据-取费表'!B2))</f>
        <v>62</v>
      </c>
      <c r="K51" s="3123" t="s">
        <v>2354</v>
      </c>
      <c r="L51" s="3159" t="e">
        <f ca="1">ROUND(-PV(INDIRECT("'数据-取费表'!h"&amp;$G$1),L48,(C39-C13*J36),0),0)</f>
        <v>#N/A</v>
      </c>
      <c r="O51" s="2401" t="s">
        <v>2384</v>
      </c>
      <c r="P51" s="2399" t="s">
        <v>2385</v>
      </c>
      <c r="Q51" s="2402" t="e">
        <f ca="1">J58</f>
        <v>#N/A</v>
      </c>
      <c r="R51" s="2403"/>
    </row>
    <row r="52" spans="1:18" s="2059" customFormat="1" ht="18" customHeight="1" thickBot="1">
      <c r="A52" s="781" t="s">
        <v>2534</v>
      </c>
      <c r="B52" s="2494" t="s">
        <v>2457</v>
      </c>
      <c r="C52" s="799">
        <f ca="1">ROUND(IF(F52="押一",C48/12*F11,IF(F52="押二",C48/12*2*F11,IF(F52="押三",C48/12*3*F11,C53*F11))),0)</f>
        <v>0</v>
      </c>
      <c r="D52" s="2501" t="s">
        <v>2970</v>
      </c>
      <c r="E52" s="2498" t="s">
        <v>2462</v>
      </c>
      <c r="F52" s="2621"/>
      <c r="I52" s="3149" t="s">
        <v>2421</v>
      </c>
      <c r="J52" s="2385">
        <v>0.09</v>
      </c>
      <c r="K52" s="3149" t="s">
        <v>2420</v>
      </c>
      <c r="L52" s="2385"/>
      <c r="O52" s="2401" t="s">
        <v>2386</v>
      </c>
      <c r="P52" s="2399" t="s">
        <v>2387</v>
      </c>
      <c r="Q52" s="2402">
        <f>J52</f>
        <v>0.09</v>
      </c>
      <c r="R52" s="2403"/>
    </row>
    <row r="53" spans="1:18" s="2059" customFormat="1" ht="39.75" customHeight="1" thickBot="1">
      <c r="A53" s="786"/>
      <c r="B53" s="2495" t="s">
        <v>2571</v>
      </c>
      <c r="C53" s="2499"/>
      <c r="D53" s="2501"/>
      <c r="E53" s="2498"/>
      <c r="F53" s="800"/>
      <c r="I53" s="3150" t="s">
        <v>2975</v>
      </c>
      <c r="J53" s="3153" t="e">
        <f ca="1">IF(M47="住宅",IF(D1="——",MAX(J51,L48),MAX(J51,L48-'数据-取费表'!B20)),IF(D1="——",MIN(J51,L48),MIN(J51,L48-'数据-取费表'!B20)))</f>
        <v>#N/A</v>
      </c>
      <c r="K53" s="3551" t="s">
        <v>2962</v>
      </c>
      <c r="L53" s="3552"/>
      <c r="O53" s="2401" t="s">
        <v>2388</v>
      </c>
      <c r="P53" s="2399" t="s">
        <v>2389</v>
      </c>
      <c r="Q53" s="2400" t="e">
        <f ca="1">J53</f>
        <v>#N/A</v>
      </c>
      <c r="R53" s="2399" t="s">
        <v>2390</v>
      </c>
    </row>
    <row r="54" spans="1:18" s="2059" customFormat="1" ht="18" customHeight="1" thickBot="1">
      <c r="A54" s="2537" t="s">
        <v>2465</v>
      </c>
      <c r="B54" s="2538" t="s">
        <v>2458</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2391</v>
      </c>
      <c r="P54" s="2399" t="s">
        <v>2408</v>
      </c>
      <c r="Q54" s="2400" t="e">
        <f ca="1">Q48+Q49</f>
        <v>#N/A</v>
      </c>
      <c r="R54" s="2403" t="s">
        <v>2392</v>
      </c>
    </row>
    <row r="55" spans="1:18" s="2059" customFormat="1" ht="18" customHeight="1" thickTop="1" thickBot="1">
      <c r="A55" s="797">
        <v>2</v>
      </c>
      <c r="B55" s="798" t="s">
        <v>643</v>
      </c>
      <c r="C55" s="799" t="e">
        <f ca="1">C13</f>
        <v>#N/A</v>
      </c>
      <c r="D55" s="795"/>
      <c r="E55" s="795"/>
      <c r="F55" s="800"/>
      <c r="I55" s="3162" t="s">
        <v>2355</v>
      </c>
      <c r="J55" s="3098" t="e">
        <f ca="1">ROUND(IF(J47="钢混",J57/J50,1-(1-2%)*(J50-J57)/J50),3)</f>
        <v>#N/A</v>
      </c>
      <c r="K55" s="3163" t="s">
        <v>2356</v>
      </c>
      <c r="L55" s="2386"/>
      <c r="O55" s="2404" t="s">
        <v>2411</v>
      </c>
      <c r="P55" s="1591"/>
      <c r="Q55" s="1603"/>
      <c r="R55" s="1591"/>
    </row>
    <row r="56" spans="1:18" s="2059" customFormat="1" ht="42.75" customHeight="1" thickBot="1">
      <c r="A56" s="1649"/>
      <c r="B56" s="2231" t="s">
        <v>2300</v>
      </c>
      <c r="C56" s="53" t="e">
        <f ca="1">C29</f>
        <v>#N/A</v>
      </c>
      <c r="D56" s="3178"/>
      <c r="E56" s="784"/>
      <c r="F56" s="809"/>
      <c r="I56" s="3164" t="s">
        <v>2357</v>
      </c>
      <c r="J56" s="3174" t="s">
        <v>1678</v>
      </c>
      <c r="K56" s="3123" t="s">
        <v>2362</v>
      </c>
      <c r="L56" s="1908" t="e">
        <f ca="1">IF(L48&lt;J51,"——",L48-J51)</f>
        <v>#N/A</v>
      </c>
      <c r="O56" s="2395" t="s">
        <v>2375</v>
      </c>
      <c r="P56" s="2396" t="s">
        <v>2376</v>
      </c>
      <c r="Q56" s="2397" t="s">
        <v>2377</v>
      </c>
      <c r="R56" s="2396" t="s">
        <v>2378</v>
      </c>
    </row>
    <row r="57" spans="1:18" s="2059" customFormat="1" ht="28.5" customHeight="1" thickBot="1">
      <c r="A57" s="797" t="s">
        <v>1747</v>
      </c>
      <c r="B57" s="798" t="s">
        <v>650</v>
      </c>
      <c r="C57" s="799" t="e">
        <f ca="1">ROUND(C58+C63+C64+C65,0)</f>
        <v>#N/A</v>
      </c>
      <c r="D57" s="26" t="s">
        <v>1749</v>
      </c>
      <c r="E57" s="3180"/>
      <c r="F57" s="56"/>
      <c r="I57" s="3165" t="s">
        <v>2358</v>
      </c>
      <c r="J57" s="3166" t="e">
        <f ca="1">IF(OR(M47="住宅",J51&lt;L48,J56="是"),"——",J51-L48)</f>
        <v>#N/A</v>
      </c>
      <c r="K57" s="3123" t="s">
        <v>2363</v>
      </c>
      <c r="L57" s="1908" t="e">
        <f ca="1">IF(L48&lt;J51,"——",IF(L55="比较法",L49,IF(L55="基准地价",L50,L51)))</f>
        <v>#N/A</v>
      </c>
      <c r="O57" s="2398" t="s">
        <v>2379</v>
      </c>
      <c r="P57" s="2399" t="s">
        <v>2405</v>
      </c>
      <c r="Q57" s="2400" t="e">
        <f ca="1">C40+J29</f>
        <v>#N/A</v>
      </c>
      <c r="R57" s="2399" t="s">
        <v>2380</v>
      </c>
    </row>
    <row r="58" spans="1:18" s="2059" customFormat="1" ht="28.5" customHeight="1" thickBot="1">
      <c r="A58" s="1648" t="s">
        <v>1823</v>
      </c>
      <c r="B58" s="784" t="s">
        <v>655</v>
      </c>
      <c r="C58" s="53" t="e">
        <f ca="1">ROUND(IF(项目基本情况!B11="自然人",C47*F58,C59+C60+C61),1)</f>
        <v>#N/A</v>
      </c>
      <c r="D58" s="3177" t="s">
        <v>656</v>
      </c>
      <c r="E58" s="3178" t="s">
        <v>689</v>
      </c>
      <c r="F58" s="810" t="str">
        <f ca="1">IF(项目基本情况!B11="企业","",IF(INDIRECT("'数据-取费表'!c"&amp;$G$1)="住宅",5%,IF(F48*F49*F50/12/(1+'数据-取费表'!C42)&gt;20000,12%,7%)))</f>
        <v/>
      </c>
      <c r="I58" s="3165" t="s">
        <v>2359</v>
      </c>
      <c r="J58" s="3099" t="e">
        <f ca="1">IF(J55&lt;0.4,0.4,J55)</f>
        <v>#N/A</v>
      </c>
      <c r="K58" s="3123" t="s">
        <v>2364</v>
      </c>
      <c r="L58" s="1908" t="e">
        <f ca="1">ROUND(POWER(1+L52,L47-L48)*(POWER(1+L52,L48)-1)/(POWER(1+L52,L47)-1),4)</f>
        <v>#N/A</v>
      </c>
      <c r="O58" s="2398" t="s">
        <v>2381</v>
      </c>
      <c r="P58" s="2399" t="s">
        <v>2412</v>
      </c>
      <c r="Q58" s="2400" t="e">
        <f ca="1">L60</f>
        <v>#N/A</v>
      </c>
      <c r="R58" s="2403" t="s">
        <v>2414</v>
      </c>
    </row>
    <row r="59" spans="1:18" s="2059" customFormat="1" ht="28.5" customHeight="1" thickBot="1">
      <c r="A59" s="1647" t="s">
        <v>1830</v>
      </c>
      <c r="B59" s="784" t="s">
        <v>659</v>
      </c>
      <c r="C59" s="53" t="e">
        <f ca="1">ROUND(C47*F59/1.05,1)</f>
        <v>#N/A</v>
      </c>
      <c r="D59" s="3178" t="s">
        <v>1755</v>
      </c>
      <c r="E59" s="784" t="s">
        <v>1746</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2383</v>
      </c>
      <c r="P59" s="2399" t="s">
        <v>2413</v>
      </c>
      <c r="Q59" s="2400">
        <f>IF(L55="比较法",L49,IF(L55="基准地价",L50,0))</f>
        <v>0</v>
      </c>
      <c r="R59" s="2399" t="s">
        <v>2380</v>
      </c>
    </row>
    <row r="60" spans="1:18" s="2059" customFormat="1" ht="18" customHeight="1" thickBot="1">
      <c r="A60" s="1647" t="s">
        <v>1831</v>
      </c>
      <c r="B60" s="784" t="s">
        <v>1757</v>
      </c>
      <c r="C60" s="53" t="e">
        <f ca="1">IF(D60="按租金收入计税",ROUND(C47*F60,1),IF(D60="按房产原值计税",ROUND(C56*F60*0.7,1),INDIRECT("'数据-取费表'!Aj"&amp;$G$1)))</f>
        <v>#N/A</v>
      </c>
      <c r="D60" s="3178" t="str">
        <f>D33</f>
        <v>按租金收入计税</v>
      </c>
      <c r="E60" s="784" t="s">
        <v>1746</v>
      </c>
      <c r="F60" s="809">
        <f t="shared" si="0"/>
        <v>0.12</v>
      </c>
      <c r="I60" s="3167" t="s">
        <v>2361</v>
      </c>
      <c r="J60" s="3168" t="e">
        <f ca="1">IF(OR(M47="住宅",J51&lt;L48,J56="是"),"0",ROUND(J59/(1+J52)^J53,0))</f>
        <v>#N/A</v>
      </c>
      <c r="K60" s="3169" t="s">
        <v>2366</v>
      </c>
      <c r="L60" s="3168" t="e">
        <f ca="1">IF(OR(M47="住宅",L48&lt;J51),0,ROUND(L57*(L58/L59-1),0))</f>
        <v>#N/A</v>
      </c>
      <c r="O60" s="2401" t="s">
        <v>2384</v>
      </c>
      <c r="P60" s="2399" t="s">
        <v>2393</v>
      </c>
      <c r="Q60" s="2402">
        <f>L52</f>
        <v>0</v>
      </c>
      <c r="R60" s="2403"/>
    </row>
    <row r="61" spans="1:18" s="2059" customFormat="1" ht="18" customHeight="1" thickBot="1">
      <c r="A61" s="1650" t="s">
        <v>1832</v>
      </c>
      <c r="B61" s="341" t="s">
        <v>667</v>
      </c>
      <c r="C61" s="54" t="e">
        <f ca="1">ROUND(F61*F62/10000,1)</f>
        <v>#N/A</v>
      </c>
      <c r="D61" s="814" t="s">
        <v>668</v>
      </c>
      <c r="E61" s="784" t="s">
        <v>669</v>
      </c>
      <c r="F61" s="640">
        <f t="shared" si="0"/>
        <v>20</v>
      </c>
      <c r="K61" s="2086"/>
      <c r="O61" s="2401" t="s">
        <v>2386</v>
      </c>
      <c r="P61" s="2399" t="s">
        <v>2394</v>
      </c>
      <c r="Q61" s="2400" t="e">
        <f ca="1">L58</f>
        <v>#N/A</v>
      </c>
      <c r="R61" s="2403" t="s">
        <v>2395</v>
      </c>
    </row>
    <row r="62" spans="1:18" s="2059" customFormat="1" ht="16.2" thickBot="1">
      <c r="A62" s="815"/>
      <c r="B62" s="793"/>
      <c r="C62" s="69"/>
      <c r="D62" s="816"/>
      <c r="E62" s="784" t="s">
        <v>673</v>
      </c>
      <c r="F62" s="785" t="e">
        <f t="shared" ca="1" si="0"/>
        <v>#N/A</v>
      </c>
      <c r="I62" s="3170" t="s">
        <v>2367</v>
      </c>
      <c r="J62" s="3171" t="s">
        <v>2368</v>
      </c>
      <c r="K62" s="3171" t="s">
        <v>2369</v>
      </c>
      <c r="L62" s="3171" t="s">
        <v>2350</v>
      </c>
      <c r="M62" s="3172" t="s">
        <v>2939</v>
      </c>
      <c r="O62" s="2401" t="s">
        <v>2388</v>
      </c>
      <c r="P62" s="2399" t="str">
        <f>K59</f>
        <v>建设期及建筑物耐用年限下的土地年期修正系数Kn</v>
      </c>
      <c r="Q62" s="2400" t="e">
        <f ca="1">L59</f>
        <v>#N/A</v>
      </c>
      <c r="R62" s="2403" t="s">
        <v>2397</v>
      </c>
    </row>
    <row r="63" spans="1:18" s="2059" customFormat="1" ht="16.2" thickBot="1">
      <c r="A63" s="1648" t="s">
        <v>1888</v>
      </c>
      <c r="B63" s="784" t="s">
        <v>675</v>
      </c>
      <c r="C63" s="53" t="e">
        <f ca="1">ROUND(C56*F63,1)</f>
        <v>#N/A</v>
      </c>
      <c r="D63" s="3178" t="s">
        <v>1802</v>
      </c>
      <c r="E63" s="784" t="s">
        <v>1746</v>
      </c>
      <c r="F63" s="817" t="e">
        <f t="shared" ca="1" si="0"/>
        <v>#N/A</v>
      </c>
      <c r="I63" s="3170" t="s">
        <v>2370</v>
      </c>
      <c r="J63" s="3171">
        <v>70</v>
      </c>
      <c r="K63" s="3171">
        <v>50</v>
      </c>
      <c r="L63" s="3171">
        <v>80</v>
      </c>
      <c r="M63" s="3173">
        <v>0.02</v>
      </c>
      <c r="O63" s="2398" t="s">
        <v>2391</v>
      </c>
      <c r="P63" s="2399" t="s">
        <v>2408</v>
      </c>
      <c r="Q63" s="2400" t="e">
        <f ca="1">Q57+Q58</f>
        <v>#N/A</v>
      </c>
      <c r="R63" s="2403" t="s">
        <v>2392</v>
      </c>
    </row>
    <row r="64" spans="1:18" s="2059" customFormat="1" ht="16.2" thickBot="1">
      <c r="A64" s="1648" t="s">
        <v>1889</v>
      </c>
      <c r="B64" s="784" t="s">
        <v>678</v>
      </c>
      <c r="C64" s="53" t="e">
        <f ca="1">ROUND(C55*F64,1)</f>
        <v>#N/A</v>
      </c>
      <c r="D64" s="3178" t="s">
        <v>679</v>
      </c>
      <c r="E64" s="784" t="s">
        <v>1746</v>
      </c>
      <c r="F64" s="818" t="e">
        <f t="shared" ca="1" si="0"/>
        <v>#N/A</v>
      </c>
      <c r="I64" s="3170" t="s">
        <v>2371</v>
      </c>
      <c r="J64" s="3171">
        <v>50</v>
      </c>
      <c r="K64" s="3171">
        <v>35</v>
      </c>
      <c r="L64" s="3171">
        <v>60</v>
      </c>
      <c r="M64" s="846">
        <v>0</v>
      </c>
      <c r="O64" s="2404" t="s">
        <v>2415</v>
      </c>
      <c r="P64" s="1591"/>
      <c r="Q64" s="1603"/>
      <c r="R64" s="1591"/>
    </row>
    <row r="65" spans="1:18" s="2059" customFormat="1" ht="16.2" thickBot="1">
      <c r="A65" s="1648" t="s">
        <v>1890</v>
      </c>
      <c r="B65" s="784" t="s">
        <v>665</v>
      </c>
      <c r="C65" s="53" t="e">
        <f ca="1">ROUND(C47*F65,1)</f>
        <v>#N/A</v>
      </c>
      <c r="D65" s="3178" t="s">
        <v>682</v>
      </c>
      <c r="E65" s="784" t="s">
        <v>1746</v>
      </c>
      <c r="F65" s="794" t="e">
        <f t="shared" ca="1" si="0"/>
        <v>#N/A</v>
      </c>
      <c r="I65" s="3170" t="s">
        <v>2372</v>
      </c>
      <c r="J65" s="3171">
        <v>40</v>
      </c>
      <c r="K65" s="3171">
        <v>30</v>
      </c>
      <c r="L65" s="3171">
        <v>50</v>
      </c>
      <c r="M65" s="3173">
        <v>0.02</v>
      </c>
      <c r="O65" s="2395" t="s">
        <v>2375</v>
      </c>
      <c r="P65" s="2396" t="s">
        <v>2376</v>
      </c>
      <c r="Q65" s="2397" t="s">
        <v>2377</v>
      </c>
      <c r="R65" s="2396" t="s">
        <v>2378</v>
      </c>
    </row>
    <row r="66" spans="1:18" s="2059" customFormat="1" ht="24.6" thickBot="1">
      <c r="A66" s="797" t="s">
        <v>1775</v>
      </c>
      <c r="B66" s="3011" t="s">
        <v>2819</v>
      </c>
      <c r="C66" s="799" t="e">
        <f ca="1">C47-C57</f>
        <v>#N/A</v>
      </c>
      <c r="D66" s="3177" t="s">
        <v>699</v>
      </c>
      <c r="E66" s="3175"/>
      <c r="F66" s="820"/>
      <c r="K66" s="2086"/>
      <c r="O66" s="2398" t="s">
        <v>2379</v>
      </c>
      <c r="P66" s="2399" t="s">
        <v>2405</v>
      </c>
      <c r="Q66" s="2400" t="e">
        <f ca="1">C40+J29</f>
        <v>#N/A</v>
      </c>
      <c r="R66" s="2399" t="s">
        <v>2380</v>
      </c>
    </row>
    <row r="67" spans="1:18" s="2059" customFormat="1" ht="19.2" thickBot="1">
      <c r="A67" s="781" t="s">
        <v>1779</v>
      </c>
      <c r="B67" s="2232" t="s">
        <v>2301</v>
      </c>
      <c r="C67" s="783" t="e">
        <f ca="1">ROUND(C66*(1-((1+F69)/(1+F67))^F68)/(F67-F69),0)</f>
        <v>#N/A</v>
      </c>
      <c r="D67" s="814" t="s">
        <v>703</v>
      </c>
      <c r="E67" s="784" t="s">
        <v>704</v>
      </c>
      <c r="F67" s="794" t="e">
        <f ca="1">F40</f>
        <v>#N/A</v>
      </c>
      <c r="K67" s="2086"/>
      <c r="O67" s="2398" t="s">
        <v>2381</v>
      </c>
      <c r="P67" s="2399" t="s">
        <v>2412</v>
      </c>
      <c r="Q67" s="2400" t="e">
        <f ca="1">L60</f>
        <v>#N/A</v>
      </c>
      <c r="R67" s="2403" t="s">
        <v>2414</v>
      </c>
    </row>
    <row r="68" spans="1:18" ht="20.399999999999999" thickBot="1">
      <c r="A68" s="786"/>
      <c r="B68" s="787"/>
      <c r="C68" s="788"/>
      <c r="D68" s="821" t="s">
        <v>1807</v>
      </c>
      <c r="E68" s="784" t="s">
        <v>1783</v>
      </c>
      <c r="F68" s="822" t="e">
        <f ca="1">F41</f>
        <v>#N/A</v>
      </c>
      <c r="O68" s="2401" t="s">
        <v>2383</v>
      </c>
      <c r="P68" s="2399" t="s">
        <v>2413</v>
      </c>
      <c r="Q68" s="2405" t="e">
        <f ca="1">L51</f>
        <v>#N/A</v>
      </c>
      <c r="R68" s="2406" t="s">
        <v>2416</v>
      </c>
    </row>
    <row r="69" spans="1:18" ht="19.2" thickBot="1">
      <c r="A69" s="790"/>
      <c r="B69" s="791"/>
      <c r="C69" s="792"/>
      <c r="D69" s="816"/>
      <c r="E69" s="784" t="s">
        <v>709</v>
      </c>
      <c r="F69" s="2371"/>
      <c r="O69" s="2401" t="s">
        <v>2384</v>
      </c>
      <c r="P69" s="2407" t="s">
        <v>2398</v>
      </c>
      <c r="Q69" s="2400" t="e">
        <f ca="1">ROUND(Q70-Q71*Q72,0)</f>
        <v>#N/A</v>
      </c>
      <c r="R69" s="2403"/>
    </row>
    <row r="70" spans="1:18" ht="16.2" thickBot="1">
      <c r="A70" s="823" t="s">
        <v>1786</v>
      </c>
      <c r="B70" s="824" t="s">
        <v>1809</v>
      </c>
      <c r="C70" s="825" t="e">
        <f ca="1">ROUND(C67*10000/F70,0)</f>
        <v>#N/A</v>
      </c>
      <c r="D70" s="826" t="s">
        <v>1810</v>
      </c>
      <c r="E70" s="827" t="s">
        <v>1811</v>
      </c>
      <c r="F70" s="828" t="e">
        <f ca="1">F43</f>
        <v>#N/A</v>
      </c>
      <c r="O70" s="2401" t="s">
        <v>2399</v>
      </c>
      <c r="P70" s="2407" t="s">
        <v>2400</v>
      </c>
      <c r="Q70" s="2400" t="e">
        <f ca="1">C39</f>
        <v>#N/A</v>
      </c>
      <c r="R70" s="2399" t="s">
        <v>2380</v>
      </c>
    </row>
    <row r="71" spans="1:18" ht="16.2" thickBot="1">
      <c r="O71" s="2401" t="s">
        <v>2401</v>
      </c>
      <c r="P71" s="2407" t="s">
        <v>2402</v>
      </c>
      <c r="Q71" s="2400" t="e">
        <f ca="1">C13</f>
        <v>#N/A</v>
      </c>
      <c r="R71" s="2399" t="s">
        <v>2380</v>
      </c>
    </row>
    <row r="72" spans="1:18" ht="16.2" thickBot="1">
      <c r="O72" s="2401" t="s">
        <v>2403</v>
      </c>
      <c r="P72" s="2407" t="s">
        <v>2404</v>
      </c>
      <c r="Q72" s="2402" t="e">
        <f ca="1">J36</f>
        <v>#N/A</v>
      </c>
      <c r="R72" s="2403"/>
    </row>
    <row r="73" spans="1:18" ht="16.2" thickBot="1">
      <c r="O73" s="2401" t="s">
        <v>2386</v>
      </c>
      <c r="P73" s="2399" t="s">
        <v>2393</v>
      </c>
      <c r="Q73" s="2402">
        <f>L52</f>
        <v>0</v>
      </c>
      <c r="R73" s="2403"/>
    </row>
    <row r="74" spans="1:18" ht="19.2" thickBot="1">
      <c r="O74" s="2401" t="s">
        <v>2388</v>
      </c>
      <c r="P74" s="2399" t="s">
        <v>2394</v>
      </c>
      <c r="Q74" s="2400" t="e">
        <f ca="1">L58</f>
        <v>#N/A</v>
      </c>
      <c r="R74" s="2403" t="s">
        <v>2395</v>
      </c>
    </row>
    <row r="75" spans="1:18" ht="16.2" thickBot="1">
      <c r="O75" s="2401" t="s">
        <v>2417</v>
      </c>
      <c r="P75" s="2399" t="str">
        <f>K59</f>
        <v>建设期及建筑物耐用年限下的土地年期修正系数Kn</v>
      </c>
      <c r="Q75" s="2400" t="e">
        <f ca="1">L59</f>
        <v>#N/A</v>
      </c>
      <c r="R75" s="2403" t="s">
        <v>2397</v>
      </c>
    </row>
    <row r="76" spans="1:18" ht="16.2" thickBot="1">
      <c r="O76" s="2398" t="s">
        <v>2391</v>
      </c>
      <c r="P76" s="2399" t="s">
        <v>2408</v>
      </c>
      <c r="Q76" s="2400" t="e">
        <f ca="1">Q66+Q67</f>
        <v>#N/A</v>
      </c>
      <c r="R76" s="240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4.4">
      <c r="A4" s="512" t="s">
        <v>520</v>
      </c>
      <c r="B4" s="513"/>
      <c r="C4" s="3468" t="s">
        <v>521</v>
      </c>
      <c r="D4" s="3469"/>
      <c r="E4" s="3499" t="s">
        <v>522</v>
      </c>
      <c r="F4" s="3500"/>
      <c r="G4" s="3468" t="s">
        <v>523</v>
      </c>
      <c r="H4" s="3469"/>
      <c r="I4" s="3468" t="s">
        <v>524</v>
      </c>
      <c r="J4" s="3469"/>
      <c r="K4" s="514"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76"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76"/>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76"/>
      <c r="AC6" s="3453"/>
    </row>
    <row r="7" spans="1:29" s="1220" customFormat="1" ht="15" thickBot="1">
      <c r="A7" s="2912"/>
      <c r="B7" s="2919" t="s">
        <v>528</v>
      </c>
      <c r="C7" s="519">
        <f>'数据-取费表'!B2</f>
        <v>43626</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54"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46" si="3">D8/F8</f>
        <v>#DIV/0!</v>
      </c>
      <c r="AB8" s="1570" t="e">
        <f t="shared" ref="AB8:AB46" si="4">D8/H8</f>
        <v>#DIV/0!</v>
      </c>
      <c r="AC8" s="1570" t="e">
        <f t="shared" ref="AC8:AC46" si="5">D8/J8</f>
        <v>#DIV/0!</v>
      </c>
    </row>
    <row r="9" spans="1:29" s="1220" customFormat="1" ht="14.4">
      <c r="A9" s="2914"/>
      <c r="B9" s="2921" t="s">
        <v>2753</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69">
      <c r="A15" s="2910" t="s">
        <v>2751</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64" t="s">
        <v>539</v>
      </c>
      <c r="Q15" s="1571" t="str">
        <f t="shared" si="6"/>
        <v>商业繁华度</v>
      </c>
      <c r="R15" s="1572" t="s">
        <v>8</v>
      </c>
      <c r="S15" s="1573">
        <f t="shared" si="0"/>
        <v>100</v>
      </c>
      <c r="T15" s="1572" t="s">
        <v>8</v>
      </c>
      <c r="U15" s="1573">
        <f t="shared" si="1"/>
        <v>100</v>
      </c>
      <c r="V15" s="1572" t="s">
        <v>8</v>
      </c>
      <c r="W15" s="1573">
        <f t="shared" si="2"/>
        <v>100</v>
      </c>
      <c r="X15" s="1566"/>
      <c r="Y15" s="3464"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5"/>
      <c r="Q16" s="1571"/>
      <c r="R16" s="1572"/>
      <c r="S16" s="1573"/>
      <c r="T16" s="1572"/>
      <c r="U16" s="1573"/>
      <c r="V16" s="1572"/>
      <c r="W16" s="1573"/>
      <c r="X16" s="1566"/>
      <c r="Y16" s="3465"/>
      <c r="Z16" s="1574"/>
      <c r="AA16" s="1575">
        <v>1</v>
      </c>
      <c r="AB16" s="1575">
        <v>1</v>
      </c>
      <c r="AC16" s="1575">
        <v>1</v>
      </c>
    </row>
    <row r="17" spans="1:29" ht="110.4">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5"/>
      <c r="Q18" s="1571"/>
      <c r="R18" s="1572"/>
      <c r="S18" s="1573"/>
      <c r="T18" s="1572"/>
      <c r="U18" s="1573"/>
      <c r="V18" s="1572"/>
      <c r="W18" s="1573"/>
      <c r="X18" s="1566"/>
      <c r="Y18" s="3465"/>
      <c r="Z18" s="1574"/>
      <c r="AA18" s="1575">
        <v>1</v>
      </c>
      <c r="AB18" s="1575">
        <v>1</v>
      </c>
      <c r="AC18" s="1575">
        <v>1</v>
      </c>
    </row>
    <row r="19" spans="1:29" ht="55.2">
      <c r="A19" s="532"/>
      <c r="B19" s="2600"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3"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65"/>
      <c r="Q22" s="2579"/>
      <c r="R22" s="1572"/>
      <c r="S22" s="1573"/>
      <c r="T22" s="1572"/>
      <c r="U22" s="1573"/>
      <c r="V22" s="1572"/>
      <c r="W22" s="1573"/>
      <c r="X22" s="2581"/>
      <c r="Y22" s="3465"/>
      <c r="Z22" s="2580"/>
      <c r="AA22" s="1575">
        <v>1</v>
      </c>
      <c r="AB22" s="1575">
        <v>1</v>
      </c>
      <c r="AC22" s="1575">
        <v>1</v>
      </c>
    </row>
    <row r="23" spans="1:29" ht="69">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65"/>
      <c r="Q23" s="1571" t="str">
        <f>B23</f>
        <v>自然及人文环境</v>
      </c>
      <c r="R23" s="1572" t="s">
        <v>8</v>
      </c>
      <c r="S23" s="1573">
        <f>F23</f>
        <v>100</v>
      </c>
      <c r="T23" s="1572" t="s">
        <v>8</v>
      </c>
      <c r="U23" s="1573">
        <f>H23</f>
        <v>100</v>
      </c>
      <c r="V23" s="1572" t="s">
        <v>8</v>
      </c>
      <c r="W23" s="1573">
        <f>J23</f>
        <v>100</v>
      </c>
      <c r="X23" s="1566"/>
      <c r="Y23" s="346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65"/>
      <c r="Q25" s="1571" t="str">
        <f t="shared" ref="Q25:Q46" si="11">B25</f>
        <v>临街状况</v>
      </c>
      <c r="R25" s="1572" t="s">
        <v>8</v>
      </c>
      <c r="S25" s="1573">
        <f>F25</f>
        <v>100</v>
      </c>
      <c r="T25" s="1572" t="s">
        <v>8</v>
      </c>
      <c r="U25" s="1573">
        <f>H25</f>
        <v>100</v>
      </c>
      <c r="V25" s="1572" t="s">
        <v>8</v>
      </c>
      <c r="W25" s="1573">
        <f>J25</f>
        <v>100</v>
      </c>
      <c r="X25" s="1566"/>
      <c r="Y25" s="3465"/>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65"/>
      <c r="Q26" s="1571" t="str">
        <f t="shared" si="11"/>
        <v>平面位置/可视性</v>
      </c>
      <c r="R26" s="1572" t="s">
        <v>8</v>
      </c>
      <c r="S26" s="1573">
        <f>F26</f>
        <v>100</v>
      </c>
      <c r="T26" s="1572" t="s">
        <v>8</v>
      </c>
      <c r="U26" s="1573">
        <f>H26</f>
        <v>100</v>
      </c>
      <c r="V26" s="1572" t="s">
        <v>8</v>
      </c>
      <c r="W26" s="1573">
        <f>J26</f>
        <v>100</v>
      </c>
      <c r="X26" s="1566"/>
      <c r="Y26" s="3465"/>
      <c r="Z26" s="1574" t="str">
        <f>Q26</f>
        <v>平面位置/可视性</v>
      </c>
      <c r="AA26" s="1575">
        <f t="shared" si="3"/>
        <v>1</v>
      </c>
      <c r="AB26" s="1575">
        <f t="shared" si="4"/>
        <v>1</v>
      </c>
      <c r="AC26" s="1575">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65"/>
      <c r="Q27" s="1151" t="str">
        <f t="shared" si="11"/>
        <v>人流量</v>
      </c>
      <c r="R27" s="1567" t="s">
        <v>8</v>
      </c>
      <c r="S27" s="1568">
        <f>F27</f>
        <v>100</v>
      </c>
      <c r="T27" s="1567" t="s">
        <v>8</v>
      </c>
      <c r="U27" s="1568">
        <f>H27</f>
        <v>100</v>
      </c>
      <c r="V27" s="1567" t="s">
        <v>8</v>
      </c>
      <c r="W27" s="1568">
        <f>J27</f>
        <v>100</v>
      </c>
      <c r="X27" s="1569"/>
      <c r="Y27" s="3465"/>
      <c r="Z27" s="1150"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6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65"/>
      <c r="Q29" s="1571">
        <f t="shared" si="11"/>
        <v>111</v>
      </c>
      <c r="R29" s="1572" t="s">
        <v>8</v>
      </c>
      <c r="S29" s="1573">
        <f t="shared" si="12"/>
        <v>100</v>
      </c>
      <c r="T29" s="1572" t="s">
        <v>8</v>
      </c>
      <c r="U29" s="1573">
        <f t="shared" si="13"/>
        <v>100</v>
      </c>
      <c r="V29" s="1572" t="s">
        <v>8</v>
      </c>
      <c r="W29" s="1573">
        <f t="shared" si="14"/>
        <v>100</v>
      </c>
      <c r="X29" s="1566"/>
      <c r="Y29" s="346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65"/>
      <c r="Q30" s="1571">
        <f t="shared" si="11"/>
        <v>111</v>
      </c>
      <c r="R30" s="1572" t="s">
        <v>8</v>
      </c>
      <c r="S30" s="1573">
        <f t="shared" si="12"/>
        <v>100</v>
      </c>
      <c r="T30" s="1572" t="s">
        <v>8</v>
      </c>
      <c r="U30" s="1573">
        <f t="shared" si="13"/>
        <v>100</v>
      </c>
      <c r="V30" s="1572" t="s">
        <v>8</v>
      </c>
      <c r="W30" s="1573">
        <f t="shared" si="14"/>
        <v>100</v>
      </c>
      <c r="X30" s="1566"/>
      <c r="Y30" s="3465"/>
      <c r="Z30" s="1574">
        <f t="shared" si="15"/>
        <v>111</v>
      </c>
      <c r="AA30" s="1575">
        <f t="shared" si="3"/>
        <v>1</v>
      </c>
      <c r="AB30" s="1575">
        <f t="shared" si="4"/>
        <v>1</v>
      </c>
      <c r="AC30" s="1575">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65"/>
      <c r="Q31" s="1571">
        <f t="shared" si="11"/>
        <v>111</v>
      </c>
      <c r="R31" s="1572" t="s">
        <v>8</v>
      </c>
      <c r="S31" s="1573">
        <f t="shared" si="12"/>
        <v>100</v>
      </c>
      <c r="T31" s="1572" t="s">
        <v>8</v>
      </c>
      <c r="U31" s="1573">
        <f t="shared" si="13"/>
        <v>100</v>
      </c>
      <c r="V31" s="1572" t="s">
        <v>8</v>
      </c>
      <c r="W31" s="1573">
        <f t="shared" si="14"/>
        <v>100</v>
      </c>
      <c r="X31" s="1566"/>
      <c r="Y31" s="3465"/>
      <c r="Z31" s="1574">
        <f t="shared" si="15"/>
        <v>111</v>
      </c>
      <c r="AA31" s="1575">
        <f t="shared" si="3"/>
        <v>1</v>
      </c>
      <c r="AB31" s="1575">
        <f t="shared" si="4"/>
        <v>1</v>
      </c>
      <c r="AC31" s="1575">
        <f t="shared" si="5"/>
        <v>1</v>
      </c>
    </row>
    <row r="32" spans="1:29" ht="15">
      <c r="A32" s="2907" t="s">
        <v>2752</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66" t="s">
        <v>549</v>
      </c>
      <c r="Q32" s="1571" t="str">
        <f t="shared" si="11"/>
        <v>商业类型</v>
      </c>
      <c r="R32" s="1572" t="s">
        <v>8</v>
      </c>
      <c r="S32" s="1573">
        <f t="shared" si="12"/>
        <v>100</v>
      </c>
      <c r="T32" s="1572" t="s">
        <v>8</v>
      </c>
      <c r="U32" s="1573">
        <f t="shared" si="13"/>
        <v>100</v>
      </c>
      <c r="V32" s="1572" t="s">
        <v>8</v>
      </c>
      <c r="W32" s="1573">
        <f t="shared" si="14"/>
        <v>100</v>
      </c>
      <c r="X32" s="1566"/>
      <c r="Y32" s="3467" t="s">
        <v>549</v>
      </c>
      <c r="Z32" s="1574" t="str">
        <f t="shared" si="15"/>
        <v>商业类型</v>
      </c>
      <c r="AA32" s="1575">
        <f t="shared" si="3"/>
        <v>1</v>
      </c>
      <c r="AB32" s="1575">
        <f t="shared" si="4"/>
        <v>1</v>
      </c>
      <c r="AC32" s="1575">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67"/>
      <c r="Q33" s="1604" t="str">
        <f t="shared" si="11"/>
        <v>项目建筑规模</v>
      </c>
      <c r="R33" s="1576" t="s">
        <v>8</v>
      </c>
      <c r="S33" s="1577" t="e">
        <f t="shared" si="12"/>
        <v>#N/A</v>
      </c>
      <c r="T33" s="1576" t="s">
        <v>8</v>
      </c>
      <c r="U33" s="1577" t="e">
        <f t="shared" si="13"/>
        <v>#N/A</v>
      </c>
      <c r="V33" s="1576" t="s">
        <v>8</v>
      </c>
      <c r="W33" s="1577" t="e">
        <f t="shared" si="14"/>
        <v>#N/A</v>
      </c>
      <c r="X33" s="1578"/>
      <c r="Y33" s="3467"/>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67"/>
      <c r="Q34" s="1571" t="str">
        <f t="shared" si="11"/>
        <v>建筑结构</v>
      </c>
      <c r="R34" s="1572" t="s">
        <v>8</v>
      </c>
      <c r="S34" s="1573">
        <f t="shared" si="12"/>
        <v>100</v>
      </c>
      <c r="T34" s="1572" t="s">
        <v>8</v>
      </c>
      <c r="U34" s="1573">
        <f t="shared" si="13"/>
        <v>100</v>
      </c>
      <c r="V34" s="1572" t="s">
        <v>8</v>
      </c>
      <c r="W34" s="1573">
        <f t="shared" si="14"/>
        <v>100</v>
      </c>
      <c r="X34" s="1566"/>
      <c r="Y34" s="3467"/>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67"/>
      <c r="Q35" s="1571" t="str">
        <f t="shared" si="11"/>
        <v>公共部分装修</v>
      </c>
      <c r="R35" s="1572" t="s">
        <v>8</v>
      </c>
      <c r="S35" s="1573">
        <f t="shared" si="12"/>
        <v>100</v>
      </c>
      <c r="T35" s="1572" t="s">
        <v>8</v>
      </c>
      <c r="U35" s="1573">
        <f t="shared" si="13"/>
        <v>100</v>
      </c>
      <c r="V35" s="1572" t="s">
        <v>8</v>
      </c>
      <c r="W35" s="1573">
        <f t="shared" si="14"/>
        <v>100</v>
      </c>
      <c r="X35" s="1566"/>
      <c r="Y35" s="3467"/>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67"/>
      <c r="Q36" s="1571" t="str">
        <f t="shared" si="11"/>
        <v>成新度</v>
      </c>
      <c r="R36" s="1572" t="s">
        <v>8</v>
      </c>
      <c r="S36" s="1573" t="e">
        <f t="shared" si="12"/>
        <v>#N/A</v>
      </c>
      <c r="T36" s="1572" t="s">
        <v>8</v>
      </c>
      <c r="U36" s="1573" t="e">
        <f t="shared" si="13"/>
        <v>#N/A</v>
      </c>
      <c r="V36" s="1572" t="s">
        <v>8</v>
      </c>
      <c r="W36" s="1573" t="e">
        <f t="shared" si="14"/>
        <v>#N/A</v>
      </c>
      <c r="X36" s="1566"/>
      <c r="Y36" s="3467"/>
      <c r="Z36" s="1574" t="str">
        <f t="shared" si="15"/>
        <v>成新度</v>
      </c>
      <c r="AA36" s="1575" t="e">
        <f t="shared" si="3"/>
        <v>#N/A</v>
      </c>
      <c r="AB36" s="1575" t="e">
        <f t="shared" si="4"/>
        <v>#N/A</v>
      </c>
      <c r="AC36" s="1575" t="e">
        <f t="shared" si="5"/>
        <v>#N/A</v>
      </c>
    </row>
    <row r="37" spans="1:29" s="1220" customFormat="1" ht="15">
      <c r="A37" s="600"/>
      <c r="B37" s="1895"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67"/>
      <c r="Q37" s="1151" t="str">
        <f t="shared" si="11"/>
        <v>市政基础设施</v>
      </c>
      <c r="R37" s="1567" t="s">
        <v>8</v>
      </c>
      <c r="S37" s="1568">
        <f t="shared" si="12"/>
        <v>100</v>
      </c>
      <c r="T37" s="1567" t="s">
        <v>8</v>
      </c>
      <c r="U37" s="1568">
        <f t="shared" si="13"/>
        <v>100</v>
      </c>
      <c r="V37" s="1567" t="s">
        <v>8</v>
      </c>
      <c r="W37" s="1568">
        <f t="shared" si="14"/>
        <v>100</v>
      </c>
      <c r="X37" s="1569"/>
      <c r="Y37" s="3467"/>
      <c r="Z37" s="1150"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67" t="s">
        <v>765</v>
      </c>
      <c r="Q38" s="1571" t="str">
        <f t="shared" si="11"/>
        <v>业态</v>
      </c>
      <c r="R38" s="1572" t="s">
        <v>8</v>
      </c>
      <c r="S38" s="1573">
        <f t="shared" si="12"/>
        <v>100</v>
      </c>
      <c r="T38" s="1572" t="s">
        <v>8</v>
      </c>
      <c r="U38" s="1573">
        <f t="shared" si="13"/>
        <v>100</v>
      </c>
      <c r="V38" s="1572" t="s">
        <v>8</v>
      </c>
      <c r="W38" s="1573">
        <f t="shared" si="14"/>
        <v>100</v>
      </c>
      <c r="X38" s="1566"/>
      <c r="Y38" s="3467"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67"/>
      <c r="Q39" s="1571" t="str">
        <f t="shared" si="11"/>
        <v>层高</v>
      </c>
      <c r="R39" s="1572" t="s">
        <v>8</v>
      </c>
      <c r="S39" s="1573">
        <f t="shared" si="12"/>
        <v>100</v>
      </c>
      <c r="T39" s="1572" t="s">
        <v>8</v>
      </c>
      <c r="U39" s="1573">
        <f t="shared" si="13"/>
        <v>100</v>
      </c>
      <c r="V39" s="1572" t="s">
        <v>8</v>
      </c>
      <c r="W39" s="1573">
        <f t="shared" si="14"/>
        <v>100</v>
      </c>
      <c r="X39" s="1566"/>
      <c r="Y39" s="3467"/>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67"/>
      <c r="Q40" s="1571" t="str">
        <f t="shared" si="11"/>
        <v>单套建筑面积</v>
      </c>
      <c r="R40" s="1572" t="s">
        <v>8</v>
      </c>
      <c r="S40" s="1573">
        <f t="shared" si="12"/>
        <v>100</v>
      </c>
      <c r="T40" s="1572" t="s">
        <v>8</v>
      </c>
      <c r="U40" s="1573">
        <f t="shared" si="13"/>
        <v>100</v>
      </c>
      <c r="V40" s="1572" t="s">
        <v>8</v>
      </c>
      <c r="W40" s="1573">
        <f t="shared" si="14"/>
        <v>100</v>
      </c>
      <c r="X40" s="1566"/>
      <c r="Y40" s="3467"/>
      <c r="Z40" s="1574" t="str">
        <f t="shared" si="15"/>
        <v>单套建筑面积</v>
      </c>
      <c r="AA40" s="1575">
        <f t="shared" si="3"/>
        <v>1</v>
      </c>
      <c r="AB40" s="1575">
        <f t="shared" si="4"/>
        <v>1</v>
      </c>
      <c r="AC40" s="1575">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67"/>
      <c r="Q41" s="1604" t="str">
        <f t="shared" si="11"/>
        <v>进深比</v>
      </c>
      <c r="R41" s="1576" t="s">
        <v>8</v>
      </c>
      <c r="S41" s="1577">
        <f t="shared" si="12"/>
        <v>100</v>
      </c>
      <c r="T41" s="1576" t="s">
        <v>8</v>
      </c>
      <c r="U41" s="1577">
        <f t="shared" si="13"/>
        <v>100</v>
      </c>
      <c r="V41" s="1576" t="s">
        <v>8</v>
      </c>
      <c r="W41" s="1577">
        <f t="shared" si="14"/>
        <v>100</v>
      </c>
      <c r="X41" s="1578"/>
      <c r="Y41" s="3467"/>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67"/>
      <c r="Q42" s="1571" t="str">
        <f t="shared" si="11"/>
        <v>内部装修</v>
      </c>
      <c r="R42" s="1572" t="s">
        <v>8</v>
      </c>
      <c r="S42" s="1573">
        <f t="shared" si="12"/>
        <v>100</v>
      </c>
      <c r="T42" s="1572" t="s">
        <v>8</v>
      </c>
      <c r="U42" s="1573">
        <f t="shared" si="13"/>
        <v>100</v>
      </c>
      <c r="V42" s="1572" t="s">
        <v>8</v>
      </c>
      <c r="W42" s="1573">
        <f t="shared" si="14"/>
        <v>100</v>
      </c>
      <c r="X42" s="1566"/>
      <c r="Y42" s="3467"/>
      <c r="Z42" s="1574" t="str">
        <f t="shared" si="15"/>
        <v>内部装修</v>
      </c>
      <c r="AA42" s="1575">
        <f t="shared" si="3"/>
        <v>1</v>
      </c>
      <c r="AB42" s="1575">
        <f t="shared" si="4"/>
        <v>1</v>
      </c>
      <c r="AC42" s="1575">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67"/>
      <c r="Q43" s="1571" t="str">
        <f t="shared" si="11"/>
        <v>内部装修维护情况</v>
      </c>
      <c r="R43" s="1572" t="s">
        <v>8</v>
      </c>
      <c r="S43" s="1573">
        <f t="shared" si="12"/>
        <v>100</v>
      </c>
      <c r="T43" s="1572" t="s">
        <v>8</v>
      </c>
      <c r="U43" s="1573">
        <f t="shared" si="13"/>
        <v>100</v>
      </c>
      <c r="V43" s="1572" t="s">
        <v>8</v>
      </c>
      <c r="W43" s="1573">
        <f t="shared" si="14"/>
        <v>100</v>
      </c>
      <c r="X43" s="1566"/>
      <c r="Y43" s="3467"/>
      <c r="Z43" s="1574" t="str">
        <f t="shared" si="15"/>
        <v>内部装修维护情况</v>
      </c>
      <c r="AA43" s="1575">
        <f t="shared" si="3"/>
        <v>1</v>
      </c>
      <c r="AB43" s="1575">
        <f t="shared" si="4"/>
        <v>1</v>
      </c>
      <c r="AC43" s="1575">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67"/>
      <c r="Q44" s="1151">
        <f t="shared" si="11"/>
        <v>111</v>
      </c>
      <c r="R44" s="1567" t="s">
        <v>8</v>
      </c>
      <c r="S44" s="1568">
        <f t="shared" si="12"/>
        <v>100</v>
      </c>
      <c r="T44" s="1567" t="s">
        <v>8</v>
      </c>
      <c r="U44" s="1568">
        <f t="shared" si="13"/>
        <v>100</v>
      </c>
      <c r="V44" s="1567" t="s">
        <v>8</v>
      </c>
      <c r="W44" s="1568">
        <f t="shared" si="14"/>
        <v>100</v>
      </c>
      <c r="X44" s="1569"/>
      <c r="Y44" s="3467"/>
      <c r="Z44" s="1150">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67"/>
      <c r="Q45" s="1571">
        <f t="shared" si="11"/>
        <v>111</v>
      </c>
      <c r="R45" s="1572" t="s">
        <v>8</v>
      </c>
      <c r="S45" s="1573">
        <f t="shared" si="12"/>
        <v>100</v>
      </c>
      <c r="T45" s="1572" t="s">
        <v>8</v>
      </c>
      <c r="U45" s="1573">
        <f t="shared" si="13"/>
        <v>100</v>
      </c>
      <c r="V45" s="1572" t="s">
        <v>8</v>
      </c>
      <c r="W45" s="1573">
        <f t="shared" si="14"/>
        <v>100</v>
      </c>
      <c r="X45" s="1566"/>
      <c r="Y45" s="3467"/>
      <c r="Z45" s="1574">
        <f t="shared" si="15"/>
        <v>111</v>
      </c>
      <c r="AA45" s="1575">
        <f t="shared" si="3"/>
        <v>1</v>
      </c>
      <c r="AB45" s="1575">
        <f t="shared" si="4"/>
        <v>1</v>
      </c>
      <c r="AC45" s="1575">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47"/>
      <c r="Q46" s="1571">
        <f t="shared" si="11"/>
        <v>111</v>
      </c>
      <c r="R46" s="1572" t="s">
        <v>8</v>
      </c>
      <c r="S46" s="1573">
        <f t="shared" si="12"/>
        <v>100</v>
      </c>
      <c r="T46" s="1572" t="s">
        <v>8</v>
      </c>
      <c r="U46" s="1573">
        <f t="shared" si="13"/>
        <v>100</v>
      </c>
      <c r="V46" s="1572" t="s">
        <v>8</v>
      </c>
      <c r="W46" s="1573">
        <f t="shared" si="14"/>
        <v>100</v>
      </c>
      <c r="X46" s="1566"/>
      <c r="Y46" s="3547"/>
      <c r="Z46" s="1574">
        <f t="shared" si="15"/>
        <v>111</v>
      </c>
      <c r="AA46" s="1575">
        <f t="shared" si="3"/>
        <v>1</v>
      </c>
      <c r="AB46" s="1575">
        <f t="shared" si="4"/>
        <v>1</v>
      </c>
      <c r="AC46" s="1575">
        <f t="shared" si="5"/>
        <v>1</v>
      </c>
    </row>
    <row r="47" spans="1:29" ht="14.4">
      <c r="A47" s="607" t="s">
        <v>735</v>
      </c>
      <c r="B47" s="887"/>
      <c r="C47" s="2627" t="s">
        <v>1</v>
      </c>
      <c r="D47" s="2628"/>
      <c r="E47" s="2629"/>
      <c r="F47" s="2630"/>
      <c r="G47" s="2631"/>
      <c r="H47" s="2632"/>
      <c r="I47" s="2629"/>
      <c r="J47" s="2632"/>
      <c r="K47" s="1610"/>
      <c r="L47" s="2144"/>
      <c r="M47" s="2145"/>
      <c r="N47" s="2134"/>
      <c r="O47" s="2145"/>
      <c r="P47" s="3462" t="str">
        <f>A47</f>
        <v>成交单价（元/平方米）</v>
      </c>
      <c r="Q47" s="3462"/>
      <c r="R47" s="3548">
        <f>E47</f>
        <v>0</v>
      </c>
      <c r="S47" s="3548"/>
      <c r="T47" s="3548">
        <f>G47</f>
        <v>0</v>
      </c>
      <c r="U47" s="3548"/>
      <c r="V47" s="3548">
        <f>I47</f>
        <v>0</v>
      </c>
      <c r="W47" s="3548"/>
      <c r="X47" s="1558"/>
      <c r="Y47" s="1580"/>
      <c r="Z47" s="1558"/>
      <c r="AA47" s="1558"/>
      <c r="AB47" s="1558"/>
      <c r="AC47" s="1558"/>
    </row>
    <row r="48" spans="1:29" ht="15" thickBot="1">
      <c r="A48" s="615" t="s">
        <v>2757</v>
      </c>
      <c r="B48" s="888"/>
      <c r="C48" s="2633" t="e">
        <f>R49</f>
        <v>#DIV/0!</v>
      </c>
      <c r="D48" s="2634"/>
      <c r="E48" s="2635" t="e">
        <f>R48</f>
        <v>#DIV/0!</v>
      </c>
      <c r="F48" s="2635"/>
      <c r="G48" s="2633" t="e">
        <f>T48</f>
        <v>#DIV/0!</v>
      </c>
      <c r="H48" s="2634"/>
      <c r="I48" s="2635" t="e">
        <f>V48</f>
        <v>#DIV/0!</v>
      </c>
      <c r="J48" s="2634"/>
      <c r="K48" s="1611"/>
      <c r="L48" s="2144"/>
      <c r="M48" s="2145"/>
      <c r="N48" s="2134"/>
      <c r="O48" s="2145"/>
      <c r="P48" s="3462" t="str">
        <f>A48</f>
        <v>比较价格（元/平方米）</v>
      </c>
      <c r="Q48" s="3462"/>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58"/>
      <c r="Y48" s="1558"/>
      <c r="Z48" s="1558"/>
      <c r="AA48" s="1558"/>
      <c r="AB48" s="1558"/>
      <c r="AC48" s="1558"/>
    </row>
    <row r="49" spans="1:29" ht="15" thickBot="1">
      <c r="A49" s="621" t="s">
        <v>2930</v>
      </c>
      <c r="B49" s="622"/>
      <c r="C49" s="2636" t="e">
        <f>R49</f>
        <v>#DIV/0!</v>
      </c>
      <c r="D49" s="2636"/>
      <c r="E49" s="2636"/>
      <c r="F49" s="2636"/>
      <c r="G49" s="2636"/>
      <c r="H49" s="2636"/>
      <c r="I49" s="2636"/>
      <c r="J49" s="2636"/>
      <c r="K49" s="1612"/>
      <c r="L49" s="2144"/>
      <c r="M49" s="2145"/>
      <c r="N49" s="2134"/>
      <c r="O49" s="2145"/>
      <c r="P49" s="3485" t="str">
        <f>A49</f>
        <v>估价对象XX用房的比较价格（楼面单价，元/平方米）</v>
      </c>
      <c r="Q49" s="3486"/>
      <c r="R49" s="3549" t="e">
        <f>IF(F1="售价",ROUND(AVERAGE(R48:V48),0),ROUND(AVERAGE(R48:V48),1))</f>
        <v>#DIV/0!</v>
      </c>
      <c r="S49" s="3549"/>
      <c r="T49" s="3549"/>
      <c r="U49" s="3549"/>
      <c r="V49" s="3549"/>
      <c r="W49" s="354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2.2"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7" customFormat="1" ht="14.4">
      <c r="A58" s="645" t="s">
        <v>528</v>
      </c>
      <c r="B58" s="646"/>
      <c r="C58" s="2802" t="str">
        <f>YEAR(C7)&amp;"-"&amp;MONTH(C7)</f>
        <v>2019-6</v>
      </c>
      <c r="D58" s="2804">
        <f>EDATE(C58,-1)</f>
        <v>43586</v>
      </c>
      <c r="E58" s="2804">
        <f t="shared" ref="E58:O58" si="16">EDATE(D58,-1)</f>
        <v>43556</v>
      </c>
      <c r="F58" s="2804">
        <f t="shared" si="16"/>
        <v>43525</v>
      </c>
      <c r="G58" s="2804">
        <f t="shared" si="16"/>
        <v>43497</v>
      </c>
      <c r="H58" s="2804">
        <f t="shared" si="16"/>
        <v>43466</v>
      </c>
      <c r="I58" s="2804">
        <f t="shared" si="16"/>
        <v>43435</v>
      </c>
      <c r="J58" s="2804">
        <f t="shared" si="16"/>
        <v>43405</v>
      </c>
      <c r="K58" s="2804">
        <f t="shared" si="16"/>
        <v>43374</v>
      </c>
      <c r="L58" s="2804">
        <f t="shared" si="16"/>
        <v>43344</v>
      </c>
      <c r="M58" s="2804">
        <f t="shared" si="16"/>
        <v>43313</v>
      </c>
      <c r="N58" s="2804">
        <f t="shared" si="16"/>
        <v>43282</v>
      </c>
      <c r="O58" s="2804">
        <f t="shared" si="16"/>
        <v>43252</v>
      </c>
      <c r="P58" s="2160"/>
      <c r="Q58" s="2161"/>
      <c r="R58" s="2161"/>
      <c r="S58" s="2161"/>
      <c r="T58" s="2161"/>
      <c r="U58" s="2161"/>
      <c r="V58" s="2161"/>
      <c r="W58" s="2161"/>
      <c r="X58" s="2161"/>
      <c r="Y58" s="2161"/>
      <c r="Z58" s="2161"/>
      <c r="AA58" s="2161"/>
      <c r="AB58" s="2161"/>
      <c r="AC58" s="2161"/>
    </row>
    <row r="59" spans="1:29" s="1220" customFormat="1">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4.4">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4.4"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ht="14.4">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4.4"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4.4"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4.4"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4.4"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4.4"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4.4"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4.4"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ht="14.4">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 thickTop="1">
      <c r="A80" s="669"/>
      <c r="B80" s="1896" t="s">
        <v>2555</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 thickTop="1">
      <c r="A82" s="669"/>
      <c r="B82" s="2597" t="s">
        <v>2556</v>
      </c>
      <c r="C82" s="2598" t="s">
        <v>2557</v>
      </c>
      <c r="D82" s="2598" t="s">
        <v>2558</v>
      </c>
      <c r="E82" s="2598" t="s">
        <v>2559</v>
      </c>
      <c r="F82" s="2598" t="s">
        <v>2560</v>
      </c>
      <c r="G82" s="2598" t="s">
        <v>2561</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4.4"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4.4"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4.4"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4.4"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4.4"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4.4"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4.4"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4.4"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4.4"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4.4"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4.4"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ht="14.4">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4.4"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2554</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4.4"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4.4"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4.4"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4.4"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4.4"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4.4"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4.4"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1"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6"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6"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4.4">
      <c r="A4" s="512" t="s">
        <v>520</v>
      </c>
      <c r="B4" s="513"/>
      <c r="C4" s="3468" t="s">
        <v>521</v>
      </c>
      <c r="D4" s="3469"/>
      <c r="E4" s="3499" t="s">
        <v>522</v>
      </c>
      <c r="F4" s="3500"/>
      <c r="G4" s="3468" t="s">
        <v>523</v>
      </c>
      <c r="H4" s="3469"/>
      <c r="I4" s="3468" t="s">
        <v>524</v>
      </c>
      <c r="J4" s="3469"/>
      <c r="K4" s="514" t="s">
        <v>525</v>
      </c>
      <c r="L4" s="2133"/>
      <c r="M4" s="2134"/>
      <c r="N4" s="2134"/>
      <c r="O4" s="2134"/>
      <c r="P4" s="3574" t="s">
        <v>526</v>
      </c>
      <c r="Q4" s="3471"/>
      <c r="R4" s="3456" t="s">
        <v>522</v>
      </c>
      <c r="S4" s="3457"/>
      <c r="T4" s="3456" t="s">
        <v>523</v>
      </c>
      <c r="U4" s="3457"/>
      <c r="V4" s="3476" t="s">
        <v>524</v>
      </c>
      <c r="W4" s="3476"/>
      <c r="X4" s="1566"/>
      <c r="Y4" s="3456" t="s">
        <v>526</v>
      </c>
      <c r="Z4" s="3457"/>
      <c r="AA4" s="3451" t="s">
        <v>522</v>
      </c>
      <c r="AB4" s="3451"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575"/>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576"/>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63"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63" t="s">
        <v>532</v>
      </c>
      <c r="Q8" s="3455"/>
      <c r="R8" s="1567" t="s">
        <v>8</v>
      </c>
      <c r="S8" s="1568">
        <f t="shared" si="0"/>
        <v>0</v>
      </c>
      <c r="T8" s="1567" t="s">
        <v>8</v>
      </c>
      <c r="U8" s="1568">
        <f t="shared" si="1"/>
        <v>0</v>
      </c>
      <c r="V8" s="1567" t="s">
        <v>8</v>
      </c>
      <c r="W8" s="1568">
        <f t="shared" si="2"/>
        <v>0</v>
      </c>
      <c r="X8" s="1569"/>
      <c r="Y8" s="3454" t="s">
        <v>532</v>
      </c>
      <c r="Z8" s="3455"/>
      <c r="AA8" s="1570" t="e">
        <f t="shared" ref="AA8:AA47" si="3">D8/F8</f>
        <v>#DIV/0!</v>
      </c>
      <c r="AB8" s="1570" t="e">
        <f t="shared" ref="AB8:AB47" si="4">D8/H8</f>
        <v>#DIV/0!</v>
      </c>
      <c r="AC8" s="1570" t="e">
        <f t="shared" ref="AC8:AC47" si="5">D8/J8</f>
        <v>#DIV/0!</v>
      </c>
    </row>
    <row r="9" spans="1:29" s="1220" customFormat="1" ht="14.4">
      <c r="A9" s="2914"/>
      <c r="B9" s="2921" t="s">
        <v>2753</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82.8">
      <c r="A15" s="2910" t="s">
        <v>2751</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64" t="s">
        <v>539</v>
      </c>
      <c r="Q15" s="1571" t="str">
        <f t="shared" si="6"/>
        <v>办公集聚程度</v>
      </c>
      <c r="R15" s="1572" t="s">
        <v>8</v>
      </c>
      <c r="S15" s="1573">
        <f t="shared" si="0"/>
        <v>100</v>
      </c>
      <c r="T15" s="1572" t="s">
        <v>8</v>
      </c>
      <c r="U15" s="1573">
        <f t="shared" si="1"/>
        <v>100</v>
      </c>
      <c r="V15" s="1572" t="s">
        <v>8</v>
      </c>
      <c r="W15" s="1573">
        <f t="shared" si="2"/>
        <v>100</v>
      </c>
      <c r="X15" s="1566"/>
      <c r="Y15" s="3464"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65"/>
      <c r="Q16" s="1571"/>
      <c r="R16" s="1572"/>
      <c r="S16" s="1573"/>
      <c r="T16" s="1572"/>
      <c r="U16" s="1573"/>
      <c r="V16" s="1572"/>
      <c r="W16" s="1573"/>
      <c r="X16" s="1566"/>
      <c r="Y16" s="3465"/>
      <c r="Z16" s="1574"/>
      <c r="AA16" s="1575">
        <v>1</v>
      </c>
      <c r="AB16" s="1575">
        <v>1</v>
      </c>
      <c r="AC16" s="1575">
        <v>1</v>
      </c>
    </row>
    <row r="17" spans="1:29" ht="110.4">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65"/>
      <c r="Q18" s="1571"/>
      <c r="R18" s="1572"/>
      <c r="S18" s="1573"/>
      <c r="T18" s="1572"/>
      <c r="U18" s="1573"/>
      <c r="V18" s="1572"/>
      <c r="W18" s="1573"/>
      <c r="X18" s="1566"/>
      <c r="Y18" s="3465"/>
      <c r="Z18" s="1574"/>
      <c r="AA18" s="1575">
        <v>1</v>
      </c>
      <c r="AB18" s="1575">
        <v>1</v>
      </c>
      <c r="AC18" s="1575">
        <v>1</v>
      </c>
    </row>
    <row r="19" spans="1:29" ht="55.2">
      <c r="A19" s="532"/>
      <c r="B19" s="2603"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65"/>
      <c r="Q20" s="1571"/>
      <c r="R20" s="1572"/>
      <c r="S20" s="1573"/>
      <c r="T20" s="1572"/>
      <c r="U20" s="1573"/>
      <c r="V20" s="1572"/>
      <c r="W20" s="1573"/>
      <c r="X20" s="1566"/>
      <c r="Y20" s="3465"/>
      <c r="Z20" s="1574"/>
      <c r="AA20" s="1575">
        <v>1</v>
      </c>
      <c r="AB20" s="1575">
        <v>1</v>
      </c>
      <c r="AC20" s="1575">
        <v>1</v>
      </c>
    </row>
    <row r="21" spans="1:29" ht="41.4">
      <c r="A21" s="532"/>
      <c r="B21" s="2591"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65"/>
      <c r="Q22" s="2579"/>
      <c r="R22" s="1572"/>
      <c r="S22" s="1573"/>
      <c r="T22" s="1572"/>
      <c r="U22" s="1573"/>
      <c r="V22" s="1572"/>
      <c r="W22" s="1573"/>
      <c r="X22" s="2581"/>
      <c r="Y22" s="3465"/>
      <c r="Z22" s="2580"/>
      <c r="AA22" s="1575">
        <v>1</v>
      </c>
      <c r="AB22" s="1575">
        <v>1</v>
      </c>
      <c r="AC22" s="1575">
        <v>1</v>
      </c>
    </row>
    <row r="23" spans="1:29" ht="69">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65"/>
      <c r="Q23" s="1571" t="str">
        <f>B23</f>
        <v>环境质量</v>
      </c>
      <c r="R23" s="1572" t="s">
        <v>8</v>
      </c>
      <c r="S23" s="1573">
        <f>F23</f>
        <v>100</v>
      </c>
      <c r="T23" s="1572" t="s">
        <v>8</v>
      </c>
      <c r="U23" s="1573">
        <f>H23</f>
        <v>100</v>
      </c>
      <c r="V23" s="1572" t="s">
        <v>8</v>
      </c>
      <c r="W23" s="1573">
        <f>J23</f>
        <v>100</v>
      </c>
      <c r="X23" s="1566"/>
      <c r="Y23" s="346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65"/>
      <c r="Q24" s="1571"/>
      <c r="R24" s="1572"/>
      <c r="S24" s="1573"/>
      <c r="T24" s="1572"/>
      <c r="U24" s="1573"/>
      <c r="V24" s="1572"/>
      <c r="W24" s="1573"/>
      <c r="X24" s="1566"/>
      <c r="Y24" s="3465"/>
      <c r="Z24" s="1574"/>
      <c r="AA24" s="1575">
        <v>1</v>
      </c>
      <c r="AB24" s="1575">
        <v>1</v>
      </c>
      <c r="AC24" s="1575">
        <v>1</v>
      </c>
    </row>
    <row r="25" spans="1:29" ht="28.8">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65"/>
      <c r="Q25" s="1571" t="str">
        <f>B25</f>
        <v>毗邻道路的类型与等级</v>
      </c>
      <c r="R25" s="1572" t="s">
        <v>8</v>
      </c>
      <c r="S25" s="1573">
        <f>F25</f>
        <v>100</v>
      </c>
      <c r="T25" s="1572" t="s">
        <v>8</v>
      </c>
      <c r="U25" s="1573">
        <f>H25</f>
        <v>100</v>
      </c>
      <c r="V25" s="1572" t="s">
        <v>8</v>
      </c>
      <c r="W25" s="1573">
        <f>J25</f>
        <v>100</v>
      </c>
      <c r="X25" s="1566"/>
      <c r="Y25" s="346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65"/>
      <c r="Q26" s="1571"/>
      <c r="R26" s="1572"/>
      <c r="S26" s="1573"/>
      <c r="T26" s="1572"/>
      <c r="U26" s="1573"/>
      <c r="V26" s="1572"/>
      <c r="W26" s="1573"/>
      <c r="X26" s="1566"/>
      <c r="Y26" s="3465"/>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65"/>
      <c r="Q27" s="1571" t="str">
        <f t="shared" ref="Q27:Q47" si="11">B27</f>
        <v>楼层</v>
      </c>
      <c r="R27" s="1572" t="s">
        <v>8</v>
      </c>
      <c r="S27" s="1573">
        <f>F27</f>
        <v>100</v>
      </c>
      <c r="T27" s="1572" t="s">
        <v>8</v>
      </c>
      <c r="U27" s="1573">
        <f>H27</f>
        <v>100</v>
      </c>
      <c r="V27" s="1572" t="s">
        <v>8</v>
      </c>
      <c r="W27" s="1573">
        <f>J27</f>
        <v>100</v>
      </c>
      <c r="X27" s="1566"/>
      <c r="Y27" s="3465"/>
      <c r="Z27" s="1574" t="str">
        <f>Q27</f>
        <v>楼层</v>
      </c>
      <c r="AA27" s="1575">
        <f t="shared" si="3"/>
        <v>1</v>
      </c>
      <c r="AB27" s="1575">
        <f t="shared" si="4"/>
        <v>1</v>
      </c>
      <c r="AC27" s="1575">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65"/>
      <c r="Q28" s="1151" t="str">
        <f t="shared" si="11"/>
        <v>朝向</v>
      </c>
      <c r="R28" s="1567" t="s">
        <v>8</v>
      </c>
      <c r="S28" s="1568">
        <f>F28</f>
        <v>100</v>
      </c>
      <c r="T28" s="1567" t="s">
        <v>8</v>
      </c>
      <c r="U28" s="1568">
        <f>H28</f>
        <v>100</v>
      </c>
      <c r="V28" s="1567" t="s">
        <v>8</v>
      </c>
      <c r="W28" s="1568">
        <f>J28</f>
        <v>100</v>
      </c>
      <c r="X28" s="1569"/>
      <c r="Y28" s="3465"/>
      <c r="Z28" s="1150"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65"/>
      <c r="Q29" s="1571">
        <f t="shared" si="11"/>
        <v>111</v>
      </c>
      <c r="R29" s="1572" t="s">
        <v>8</v>
      </c>
      <c r="S29" s="1573">
        <f t="shared" ref="S29:S47" si="12">F29</f>
        <v>100</v>
      </c>
      <c r="T29" s="1572" t="s">
        <v>8</v>
      </c>
      <c r="U29" s="1573">
        <f t="shared" ref="U29:U47" si="13">H29</f>
        <v>100</v>
      </c>
      <c r="V29" s="1572" t="s">
        <v>8</v>
      </c>
      <c r="W29" s="1573">
        <f t="shared" ref="W29:W47" si="14">J29</f>
        <v>100</v>
      </c>
      <c r="X29" s="1566"/>
      <c r="Y29" s="3465"/>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65"/>
      <c r="Q30" s="1571">
        <f t="shared" si="11"/>
        <v>111</v>
      </c>
      <c r="R30" s="1572" t="s">
        <v>8</v>
      </c>
      <c r="S30" s="1573">
        <f t="shared" si="12"/>
        <v>100</v>
      </c>
      <c r="T30" s="1572" t="s">
        <v>8</v>
      </c>
      <c r="U30" s="1573">
        <f t="shared" si="13"/>
        <v>100</v>
      </c>
      <c r="V30" s="1572" t="s">
        <v>8</v>
      </c>
      <c r="W30" s="1573">
        <f t="shared" si="14"/>
        <v>100</v>
      </c>
      <c r="X30" s="1566"/>
      <c r="Y30" s="3465"/>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65"/>
      <c r="Q31" s="1571">
        <f t="shared" si="11"/>
        <v>111</v>
      </c>
      <c r="R31" s="1572" t="s">
        <v>8</v>
      </c>
      <c r="S31" s="1573">
        <f t="shared" si="12"/>
        <v>100</v>
      </c>
      <c r="T31" s="1572" t="s">
        <v>8</v>
      </c>
      <c r="U31" s="1573">
        <f t="shared" si="13"/>
        <v>100</v>
      </c>
      <c r="V31" s="1572" t="s">
        <v>8</v>
      </c>
      <c r="W31" s="1573">
        <f t="shared" si="14"/>
        <v>100</v>
      </c>
      <c r="X31" s="1566"/>
      <c r="Y31" s="3465"/>
      <c r="Z31" s="1574">
        <f t="shared" si="15"/>
        <v>111</v>
      </c>
      <c r="AA31" s="1575">
        <f t="shared" si="3"/>
        <v>1</v>
      </c>
      <c r="AB31" s="1575">
        <f t="shared" si="4"/>
        <v>1</v>
      </c>
      <c r="AC31" s="1575">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65"/>
      <c r="Q32" s="1571">
        <f t="shared" si="11"/>
        <v>111</v>
      </c>
      <c r="R32" s="1572" t="s">
        <v>8</v>
      </c>
      <c r="S32" s="1573">
        <f t="shared" si="12"/>
        <v>100</v>
      </c>
      <c r="T32" s="1572" t="s">
        <v>8</v>
      </c>
      <c r="U32" s="1573">
        <f t="shared" si="13"/>
        <v>100</v>
      </c>
      <c r="V32" s="1572" t="s">
        <v>8</v>
      </c>
      <c r="W32" s="1573">
        <f t="shared" si="14"/>
        <v>100</v>
      </c>
      <c r="X32" s="1566"/>
      <c r="Y32" s="3465"/>
      <c r="Z32" s="1574">
        <f t="shared" si="15"/>
        <v>111</v>
      </c>
      <c r="AA32" s="1575">
        <f t="shared" si="3"/>
        <v>1</v>
      </c>
      <c r="AB32" s="1575">
        <f t="shared" si="4"/>
        <v>1</v>
      </c>
      <c r="AC32" s="1575">
        <f t="shared" si="5"/>
        <v>1</v>
      </c>
    </row>
    <row r="33" spans="1:29" ht="15">
      <c r="A33" s="2907"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66" t="s">
        <v>549</v>
      </c>
      <c r="Q33" s="1571" t="str">
        <f t="shared" si="11"/>
        <v>建筑类型</v>
      </c>
      <c r="R33" s="1572" t="s">
        <v>8</v>
      </c>
      <c r="S33" s="1573">
        <f t="shared" si="12"/>
        <v>100</v>
      </c>
      <c r="T33" s="1572" t="s">
        <v>8</v>
      </c>
      <c r="U33" s="1573">
        <f t="shared" si="13"/>
        <v>100</v>
      </c>
      <c r="V33" s="1572" t="s">
        <v>8</v>
      </c>
      <c r="W33" s="1573">
        <f t="shared" si="14"/>
        <v>100</v>
      </c>
      <c r="X33" s="1566"/>
      <c r="Y33" s="3467" t="s">
        <v>549</v>
      </c>
      <c r="Z33" s="1574" t="str">
        <f t="shared" si="15"/>
        <v>建筑类型</v>
      </c>
      <c r="AA33" s="1575">
        <f t="shared" si="3"/>
        <v>1</v>
      </c>
      <c r="AB33" s="1575">
        <f t="shared" si="4"/>
        <v>1</v>
      </c>
      <c r="AC33" s="1575">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67"/>
      <c r="Q34" s="1604" t="str">
        <f t="shared" si="11"/>
        <v>项目建筑规模</v>
      </c>
      <c r="R34" s="1576" t="s">
        <v>8</v>
      </c>
      <c r="S34" s="1577" t="e">
        <f t="shared" si="12"/>
        <v>#N/A</v>
      </c>
      <c r="T34" s="1576" t="s">
        <v>8</v>
      </c>
      <c r="U34" s="1577" t="e">
        <f t="shared" si="13"/>
        <v>#N/A</v>
      </c>
      <c r="V34" s="1576" t="s">
        <v>8</v>
      </c>
      <c r="W34" s="1577" t="e">
        <f t="shared" si="14"/>
        <v>#N/A</v>
      </c>
      <c r="X34" s="1578"/>
      <c r="Y34" s="3467"/>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67"/>
      <c r="Q35" s="1571" t="str">
        <f t="shared" si="11"/>
        <v>建筑结构</v>
      </c>
      <c r="R35" s="1572" t="s">
        <v>8</v>
      </c>
      <c r="S35" s="1573">
        <f t="shared" si="12"/>
        <v>100</v>
      </c>
      <c r="T35" s="1572" t="s">
        <v>8</v>
      </c>
      <c r="U35" s="1573">
        <f t="shared" si="13"/>
        <v>100</v>
      </c>
      <c r="V35" s="1572" t="s">
        <v>8</v>
      </c>
      <c r="W35" s="1573">
        <f t="shared" si="14"/>
        <v>100</v>
      </c>
      <c r="X35" s="1566"/>
      <c r="Y35" s="3467"/>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67"/>
      <c r="Q36" s="1571" t="str">
        <f t="shared" si="11"/>
        <v>公共部分装修</v>
      </c>
      <c r="R36" s="1572" t="s">
        <v>8</v>
      </c>
      <c r="S36" s="1573">
        <f t="shared" si="12"/>
        <v>100</v>
      </c>
      <c r="T36" s="1572" t="s">
        <v>8</v>
      </c>
      <c r="U36" s="1573">
        <f t="shared" si="13"/>
        <v>100</v>
      </c>
      <c r="V36" s="1572" t="s">
        <v>8</v>
      </c>
      <c r="W36" s="1573">
        <f t="shared" si="14"/>
        <v>100</v>
      </c>
      <c r="X36" s="1566"/>
      <c r="Y36" s="3467"/>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67"/>
      <c r="Q37" s="1571" t="str">
        <f t="shared" si="11"/>
        <v>成新度</v>
      </c>
      <c r="R37" s="1572" t="s">
        <v>8</v>
      </c>
      <c r="S37" s="1573" t="e">
        <f t="shared" si="12"/>
        <v>#N/A</v>
      </c>
      <c r="T37" s="1572" t="s">
        <v>8</v>
      </c>
      <c r="U37" s="1573" t="e">
        <f t="shared" si="13"/>
        <v>#N/A</v>
      </c>
      <c r="V37" s="1572" t="s">
        <v>8</v>
      </c>
      <c r="W37" s="1573" t="e">
        <f t="shared" si="14"/>
        <v>#N/A</v>
      </c>
      <c r="X37" s="1566"/>
      <c r="Y37" s="3467"/>
      <c r="Z37" s="1574" t="str">
        <f t="shared" si="15"/>
        <v>成新度</v>
      </c>
      <c r="AA37" s="1575" t="e">
        <f t="shared" si="3"/>
        <v>#N/A</v>
      </c>
      <c r="AB37" s="1575" t="e">
        <f t="shared" si="4"/>
        <v>#N/A</v>
      </c>
      <c r="AC37" s="1575"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67"/>
      <c r="Q38" s="1151" t="str">
        <f t="shared" si="11"/>
        <v>写字楼等级</v>
      </c>
      <c r="R38" s="1567" t="s">
        <v>8</v>
      </c>
      <c r="S38" s="1568">
        <f t="shared" si="12"/>
        <v>100</v>
      </c>
      <c r="T38" s="1567" t="s">
        <v>8</v>
      </c>
      <c r="U38" s="1568">
        <f t="shared" si="13"/>
        <v>100</v>
      </c>
      <c r="V38" s="1567" t="s">
        <v>8</v>
      </c>
      <c r="W38" s="1568">
        <f t="shared" si="14"/>
        <v>100</v>
      </c>
      <c r="X38" s="1569"/>
      <c r="Y38" s="3467"/>
      <c r="Z38" s="1150"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67" t="s">
        <v>549</v>
      </c>
      <c r="Q39" s="1571" t="str">
        <f t="shared" si="11"/>
        <v>物业管理</v>
      </c>
      <c r="R39" s="1572" t="s">
        <v>8</v>
      </c>
      <c r="S39" s="1573">
        <f t="shared" si="12"/>
        <v>100</v>
      </c>
      <c r="T39" s="1572" t="s">
        <v>8</v>
      </c>
      <c r="U39" s="1573">
        <f t="shared" si="13"/>
        <v>100</v>
      </c>
      <c r="V39" s="1572" t="s">
        <v>8</v>
      </c>
      <c r="W39" s="1573">
        <f t="shared" si="14"/>
        <v>100</v>
      </c>
      <c r="X39" s="1566"/>
      <c r="Y39" s="3467" t="s">
        <v>549</v>
      </c>
      <c r="Z39" s="1574" t="str">
        <f t="shared" si="15"/>
        <v>物业管理</v>
      </c>
      <c r="AA39" s="1575">
        <f t="shared" si="3"/>
        <v>1</v>
      </c>
      <c r="AB39" s="1575">
        <f t="shared" si="4"/>
        <v>1</v>
      </c>
      <c r="AC39" s="1575">
        <f t="shared" si="5"/>
        <v>1</v>
      </c>
    </row>
    <row r="40" spans="1:29" ht="15">
      <c r="A40" s="594"/>
      <c r="B40" s="1895"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67"/>
      <c r="Q40" s="1571" t="str">
        <f t="shared" si="11"/>
        <v>市政基础设施</v>
      </c>
      <c r="R40" s="1572" t="s">
        <v>8</v>
      </c>
      <c r="S40" s="1573">
        <f t="shared" si="12"/>
        <v>100</v>
      </c>
      <c r="T40" s="1572" t="s">
        <v>8</v>
      </c>
      <c r="U40" s="1573">
        <f t="shared" si="13"/>
        <v>100</v>
      </c>
      <c r="V40" s="1572" t="s">
        <v>8</v>
      </c>
      <c r="W40" s="1573">
        <f t="shared" si="14"/>
        <v>100</v>
      </c>
      <c r="X40" s="1566"/>
      <c r="Y40" s="3467"/>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67"/>
      <c r="Q41" s="1571" t="str">
        <f t="shared" si="11"/>
        <v>层高</v>
      </c>
      <c r="R41" s="1572" t="s">
        <v>8</v>
      </c>
      <c r="S41" s="1573">
        <f t="shared" si="12"/>
        <v>100</v>
      </c>
      <c r="T41" s="1572" t="s">
        <v>8</v>
      </c>
      <c r="U41" s="1573">
        <f t="shared" si="13"/>
        <v>100</v>
      </c>
      <c r="V41" s="1572" t="s">
        <v>8</v>
      </c>
      <c r="W41" s="1573">
        <f t="shared" si="14"/>
        <v>100</v>
      </c>
      <c r="X41" s="1566"/>
      <c r="Y41" s="3467"/>
      <c r="Z41" s="1574" t="str">
        <f t="shared" si="15"/>
        <v>层高</v>
      </c>
      <c r="AA41" s="1575">
        <f t="shared" si="3"/>
        <v>1</v>
      </c>
      <c r="AB41" s="1575">
        <f t="shared" si="4"/>
        <v>1</v>
      </c>
      <c r="AC41" s="1575">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67"/>
      <c r="Q42" s="1604" t="str">
        <f t="shared" si="11"/>
        <v>单套建筑面积</v>
      </c>
      <c r="R42" s="1576" t="s">
        <v>8</v>
      </c>
      <c r="S42" s="1577">
        <f t="shared" si="12"/>
        <v>100</v>
      </c>
      <c r="T42" s="1576" t="s">
        <v>8</v>
      </c>
      <c r="U42" s="1577">
        <f t="shared" si="13"/>
        <v>100</v>
      </c>
      <c r="V42" s="1576" t="s">
        <v>8</v>
      </c>
      <c r="W42" s="1577">
        <f t="shared" si="14"/>
        <v>100</v>
      </c>
      <c r="X42" s="1578"/>
      <c r="Y42" s="3467"/>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67"/>
      <c r="Q43" s="1571" t="str">
        <f t="shared" si="11"/>
        <v>内部装修</v>
      </c>
      <c r="R43" s="1572" t="s">
        <v>8</v>
      </c>
      <c r="S43" s="1573">
        <f t="shared" si="12"/>
        <v>100</v>
      </c>
      <c r="T43" s="1572" t="s">
        <v>8</v>
      </c>
      <c r="U43" s="1573">
        <f t="shared" si="13"/>
        <v>100</v>
      </c>
      <c r="V43" s="1572" t="s">
        <v>8</v>
      </c>
      <c r="W43" s="1573">
        <f t="shared" si="14"/>
        <v>100</v>
      </c>
      <c r="X43" s="1566"/>
      <c r="Y43" s="3467"/>
      <c r="Z43" s="1574" t="str">
        <f t="shared" si="15"/>
        <v>内部装修</v>
      </c>
      <c r="AA43" s="1575">
        <f t="shared" si="3"/>
        <v>1</v>
      </c>
      <c r="AB43" s="1575">
        <f t="shared" si="4"/>
        <v>1</v>
      </c>
      <c r="AC43" s="1575">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67"/>
      <c r="Q44" s="1571" t="str">
        <f t="shared" si="11"/>
        <v>内部装修维护情况</v>
      </c>
      <c r="R44" s="1572" t="s">
        <v>8</v>
      </c>
      <c r="S44" s="1573">
        <f t="shared" si="12"/>
        <v>100</v>
      </c>
      <c r="T44" s="1572" t="s">
        <v>8</v>
      </c>
      <c r="U44" s="1573">
        <f t="shared" si="13"/>
        <v>100</v>
      </c>
      <c r="V44" s="1572" t="s">
        <v>8</v>
      </c>
      <c r="W44" s="1573">
        <f t="shared" si="14"/>
        <v>100</v>
      </c>
      <c r="X44" s="1566"/>
      <c r="Y44" s="3467"/>
      <c r="Z44" s="1574" t="str">
        <f t="shared" si="15"/>
        <v>内部装修维护情况</v>
      </c>
      <c r="AA44" s="1575">
        <f t="shared" si="3"/>
        <v>1</v>
      </c>
      <c r="AB44" s="1575">
        <f t="shared" si="4"/>
        <v>1</v>
      </c>
      <c r="AC44" s="1575">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67"/>
      <c r="Q45" s="1151">
        <f t="shared" si="11"/>
        <v>111</v>
      </c>
      <c r="R45" s="1567" t="s">
        <v>8</v>
      </c>
      <c r="S45" s="1568">
        <f t="shared" si="12"/>
        <v>100</v>
      </c>
      <c r="T45" s="1567" t="s">
        <v>8</v>
      </c>
      <c r="U45" s="1568">
        <f t="shared" si="13"/>
        <v>100</v>
      </c>
      <c r="V45" s="1567" t="s">
        <v>8</v>
      </c>
      <c r="W45" s="1568">
        <f t="shared" si="14"/>
        <v>100</v>
      </c>
      <c r="X45" s="1569"/>
      <c r="Y45" s="3467"/>
      <c r="Z45" s="1150">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67"/>
      <c r="Q46" s="1571">
        <f t="shared" si="11"/>
        <v>111</v>
      </c>
      <c r="R46" s="1572" t="s">
        <v>8</v>
      </c>
      <c r="S46" s="1573">
        <f t="shared" si="12"/>
        <v>100</v>
      </c>
      <c r="T46" s="1572" t="s">
        <v>8</v>
      </c>
      <c r="U46" s="1573">
        <f t="shared" si="13"/>
        <v>100</v>
      </c>
      <c r="V46" s="1572" t="s">
        <v>8</v>
      </c>
      <c r="W46" s="1573">
        <f t="shared" si="14"/>
        <v>100</v>
      </c>
      <c r="X46" s="1566"/>
      <c r="Y46" s="3467"/>
      <c r="Z46" s="1574">
        <f t="shared" si="15"/>
        <v>111</v>
      </c>
      <c r="AA46" s="1575">
        <f t="shared" si="3"/>
        <v>1</v>
      </c>
      <c r="AB46" s="1575">
        <f t="shared" si="4"/>
        <v>1</v>
      </c>
      <c r="AC46" s="1575">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47"/>
      <c r="Q47" s="1571">
        <f t="shared" si="11"/>
        <v>111</v>
      </c>
      <c r="R47" s="1572" t="s">
        <v>8</v>
      </c>
      <c r="S47" s="1573">
        <f t="shared" si="12"/>
        <v>100</v>
      </c>
      <c r="T47" s="1572" t="s">
        <v>8</v>
      </c>
      <c r="U47" s="1573">
        <f t="shared" si="13"/>
        <v>100</v>
      </c>
      <c r="V47" s="1572" t="s">
        <v>8</v>
      </c>
      <c r="W47" s="1573">
        <f t="shared" si="14"/>
        <v>100</v>
      </c>
      <c r="X47" s="1566"/>
      <c r="Y47" s="3547"/>
      <c r="Z47" s="1574">
        <f t="shared" si="15"/>
        <v>111</v>
      </c>
      <c r="AA47" s="1575">
        <f t="shared" si="3"/>
        <v>1</v>
      </c>
      <c r="AB47" s="1575">
        <f t="shared" si="4"/>
        <v>1</v>
      </c>
      <c r="AC47" s="1575">
        <f t="shared" si="5"/>
        <v>1</v>
      </c>
    </row>
    <row r="48" spans="1:29" ht="14.4">
      <c r="A48" s="607" t="s">
        <v>735</v>
      </c>
      <c r="B48" s="887"/>
      <c r="C48" s="2627" t="s">
        <v>1</v>
      </c>
      <c r="D48" s="2628"/>
      <c r="E48" s="2629"/>
      <c r="F48" s="2630"/>
      <c r="G48" s="2631"/>
      <c r="H48" s="2632"/>
      <c r="I48" s="2629"/>
      <c r="J48" s="2632"/>
      <c r="K48" s="1610"/>
      <c r="L48" s="2144"/>
      <c r="M48" s="2134"/>
      <c r="N48" s="2134"/>
      <c r="O48" s="2134"/>
      <c r="P48" s="3486" t="str">
        <f>A48</f>
        <v>成交单价（元/平方米）</v>
      </c>
      <c r="Q48" s="3462"/>
      <c r="R48" s="3548">
        <f>E48</f>
        <v>0</v>
      </c>
      <c r="S48" s="3548"/>
      <c r="T48" s="3548">
        <f>G48</f>
        <v>0</v>
      </c>
      <c r="U48" s="3548"/>
      <c r="V48" s="3548">
        <f>I48</f>
        <v>0</v>
      </c>
      <c r="W48" s="3548"/>
      <c r="X48" s="1558"/>
      <c r="Y48" s="1580"/>
      <c r="Z48" s="1558"/>
      <c r="AA48" s="1558"/>
      <c r="AB48" s="1558"/>
      <c r="AC48" s="1558"/>
    </row>
    <row r="49" spans="1:29" ht="15" thickBot="1">
      <c r="A49" s="615" t="s">
        <v>2757</v>
      </c>
      <c r="B49" s="888"/>
      <c r="C49" s="2633" t="e">
        <f>R50</f>
        <v>#DIV/0!</v>
      </c>
      <c r="D49" s="2634"/>
      <c r="E49" s="2635" t="e">
        <f>R49</f>
        <v>#DIV/0!</v>
      </c>
      <c r="F49" s="2635"/>
      <c r="G49" s="2633" t="e">
        <f>T49</f>
        <v>#DIV/0!</v>
      </c>
      <c r="H49" s="2634"/>
      <c r="I49" s="2635" t="e">
        <f>V49</f>
        <v>#DIV/0!</v>
      </c>
      <c r="J49" s="2634"/>
      <c r="K49" s="1611"/>
      <c r="L49" s="2144"/>
      <c r="M49" s="2134"/>
      <c r="N49" s="2134"/>
      <c r="O49" s="2134"/>
      <c r="P49" s="3486" t="str">
        <f>A49</f>
        <v>比较价格（元/平方米）</v>
      </c>
      <c r="Q49" s="3462"/>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58"/>
      <c r="Y49" s="1558"/>
      <c r="Z49" s="1558"/>
      <c r="AA49" s="1558"/>
      <c r="AB49" s="1558"/>
      <c r="AC49" s="1558"/>
    </row>
    <row r="50" spans="1:29" ht="15" thickBot="1">
      <c r="A50" s="621" t="s">
        <v>2930</v>
      </c>
      <c r="B50" s="622"/>
      <c r="C50" s="2636" t="e">
        <f>R50</f>
        <v>#DIV/0!</v>
      </c>
      <c r="D50" s="2636"/>
      <c r="E50" s="2636"/>
      <c r="F50" s="2636"/>
      <c r="G50" s="2636"/>
      <c r="H50" s="2636"/>
      <c r="I50" s="2636"/>
      <c r="J50" s="2636"/>
      <c r="K50" s="1612"/>
      <c r="L50" s="2144"/>
      <c r="M50" s="2134"/>
      <c r="N50" s="2134"/>
      <c r="O50" s="2134"/>
      <c r="P50" s="3577" t="str">
        <f>A50</f>
        <v>估价对象XX用房的比较价格（楼面单价，元/平方米）</v>
      </c>
      <c r="Q50" s="3486"/>
      <c r="R50" s="3549" t="e">
        <f>IF(F1="售价",ROUND(AVERAGE(R49:V49),0),ROUND(AVERAGE(R49:V49),1))</f>
        <v>#DIV/0!</v>
      </c>
      <c r="S50" s="3549"/>
      <c r="T50" s="3549"/>
      <c r="U50" s="3549"/>
      <c r="V50" s="3549"/>
      <c r="W50" s="354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2.2"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7" customFormat="1" ht="14.4">
      <c r="A59" s="645" t="s">
        <v>528</v>
      </c>
      <c r="B59" s="646"/>
      <c r="C59" s="2802" t="str">
        <f>YEAR(C7)&amp;"-"&amp;MONTH(C7)</f>
        <v>2019-6</v>
      </c>
      <c r="D59" s="2804">
        <f>EDATE(C59,-1)</f>
        <v>43586</v>
      </c>
      <c r="E59" s="2804">
        <f t="shared" ref="E59:O59" si="16">EDATE(D59,-1)</f>
        <v>43556</v>
      </c>
      <c r="F59" s="2804">
        <f t="shared" si="16"/>
        <v>43525</v>
      </c>
      <c r="G59" s="2804">
        <f t="shared" si="16"/>
        <v>43497</v>
      </c>
      <c r="H59" s="2804">
        <f t="shared" si="16"/>
        <v>43466</v>
      </c>
      <c r="I59" s="2804">
        <f t="shared" si="16"/>
        <v>43435</v>
      </c>
      <c r="J59" s="2804">
        <f t="shared" si="16"/>
        <v>43405</v>
      </c>
      <c r="K59" s="2804">
        <f t="shared" si="16"/>
        <v>43374</v>
      </c>
      <c r="L59" s="2804">
        <f t="shared" si="16"/>
        <v>43344</v>
      </c>
      <c r="M59" s="2804">
        <f t="shared" si="16"/>
        <v>43313</v>
      </c>
      <c r="N59" s="2804">
        <f t="shared" si="16"/>
        <v>43282</v>
      </c>
      <c r="O59" s="2804">
        <f t="shared" si="16"/>
        <v>43252</v>
      </c>
      <c r="P59" s="2211"/>
      <c r="Q59" s="2161"/>
      <c r="R59" s="2161"/>
      <c r="S59" s="2161"/>
      <c r="T59" s="2161"/>
      <c r="U59" s="2161"/>
      <c r="V59" s="2161"/>
      <c r="W59" s="2161"/>
      <c r="X59" s="2161"/>
      <c r="Y59" s="2161"/>
      <c r="Z59" s="2161"/>
      <c r="AA59" s="2161"/>
      <c r="AB59" s="2161"/>
      <c r="AC59" s="2161"/>
    </row>
    <row r="60" spans="1:29" s="1220" customFormat="1">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4.4">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4.4"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ht="14.4">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4.4"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4.4"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4.4"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4.4"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4.4"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4.4"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4.4"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ht="14.4">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 thickTop="1">
      <c r="A81" s="669"/>
      <c r="B81" s="1896" t="s">
        <v>2555</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 thickTop="1">
      <c r="A83" s="669"/>
      <c r="B83" s="2597" t="s">
        <v>2556</v>
      </c>
      <c r="C83" s="2598" t="s">
        <v>2557</v>
      </c>
      <c r="D83" s="2598" t="s">
        <v>2558</v>
      </c>
      <c r="E83" s="2598" t="s">
        <v>2559</v>
      </c>
      <c r="F83" s="2598" t="s">
        <v>2560</v>
      </c>
      <c r="G83" s="2598" t="s">
        <v>2561</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9.4"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4.4"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4.4"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4.4"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4.4"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4.4"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4.4"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4.4"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4.4"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4.4"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ht="14.4">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4.4"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2554</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4.4"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4.4"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4.4"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4.4"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4.4"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4.4"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4.4"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6"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6"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520</v>
      </c>
      <c r="B4" s="513"/>
      <c r="C4" s="3468" t="s">
        <v>521</v>
      </c>
      <c r="D4" s="3469"/>
      <c r="E4" s="3499" t="s">
        <v>522</v>
      </c>
      <c r="F4" s="3500"/>
      <c r="G4" s="3468" t="s">
        <v>523</v>
      </c>
      <c r="H4" s="3469"/>
      <c r="I4" s="3468" t="s">
        <v>524</v>
      </c>
      <c r="J4" s="3469"/>
      <c r="K4" s="514" t="s">
        <v>525</v>
      </c>
      <c r="L4" s="2133"/>
      <c r="M4" s="2134"/>
      <c r="N4" s="2134"/>
      <c r="O4" s="2134"/>
      <c r="P4" s="3470" t="s">
        <v>526</v>
      </c>
      <c r="Q4" s="3471"/>
      <c r="R4" s="3456" t="s">
        <v>522</v>
      </c>
      <c r="S4" s="3457"/>
      <c r="T4" s="3456" t="s">
        <v>523</v>
      </c>
      <c r="U4" s="3457"/>
      <c r="V4" s="3476" t="s">
        <v>524</v>
      </c>
      <c r="W4" s="3476"/>
      <c r="X4" s="1566"/>
      <c r="Y4" s="3456" t="s">
        <v>526</v>
      </c>
      <c r="Z4" s="3457"/>
      <c r="AA4" s="3451" t="s">
        <v>522</v>
      </c>
      <c r="AB4" s="3452" t="s">
        <v>523</v>
      </c>
      <c r="AC4" s="3451" t="s">
        <v>524</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54" t="s">
        <v>529</v>
      </c>
      <c r="Q7" s="3463"/>
      <c r="R7" s="1567" t="s">
        <v>8</v>
      </c>
      <c r="S7" s="1568">
        <f t="shared" ref="S7:S15" si="0">F7</f>
        <v>0</v>
      </c>
      <c r="T7" s="1567" t="s">
        <v>8</v>
      </c>
      <c r="U7" s="1568">
        <f t="shared" ref="U7:U15" si="1">H7</f>
        <v>0</v>
      </c>
      <c r="V7" s="1567" t="s">
        <v>8</v>
      </c>
      <c r="W7" s="1568">
        <f t="shared" ref="W7:W15"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40" si="3">D8/F8</f>
        <v>#DIV/0!</v>
      </c>
      <c r="AB8" s="1570" t="e">
        <f t="shared" ref="AB8:AB40" si="4">D8/H8</f>
        <v>#DIV/0!</v>
      </c>
      <c r="AC8" s="1570" t="e">
        <f t="shared" ref="AC8:AC40" si="5">D8/J8</f>
        <v>#DIV/0!</v>
      </c>
    </row>
    <row r="9" spans="1:29" s="1220" customFormat="1" ht="14.4">
      <c r="A9" s="2914"/>
      <c r="B9" s="2921" t="s">
        <v>2753</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62" t="s">
        <v>534</v>
      </c>
      <c r="Q9" s="1151" t="str">
        <f t="shared" ref="Q9:Q15" si="6">B9</f>
        <v>用途</v>
      </c>
      <c r="R9" s="1567" t="s">
        <v>8</v>
      </c>
      <c r="S9" s="1568">
        <f t="shared" si="0"/>
        <v>100</v>
      </c>
      <c r="T9" s="1567" t="s">
        <v>8</v>
      </c>
      <c r="U9" s="1568">
        <f t="shared" si="1"/>
        <v>100</v>
      </c>
      <c r="V9" s="1567" t="s">
        <v>8</v>
      </c>
      <c r="W9" s="1568">
        <f t="shared" si="2"/>
        <v>100</v>
      </c>
      <c r="X9" s="1569"/>
      <c r="Y9" s="3419" t="s">
        <v>535</v>
      </c>
      <c r="Z9" s="1150" t="str">
        <f t="shared" ref="Z9:Z15" si="7">Q9</f>
        <v>用途</v>
      </c>
      <c r="AA9" s="1570">
        <f t="shared" si="3"/>
        <v>1</v>
      </c>
      <c r="AB9" s="1570">
        <f t="shared" si="4"/>
        <v>1</v>
      </c>
      <c r="AC9" s="1570">
        <f t="shared" si="5"/>
        <v>1</v>
      </c>
    </row>
    <row r="10" spans="1:29" s="1338" customFormat="1" ht="28.8">
      <c r="A10" s="2915"/>
      <c r="B10" s="2920" t="s">
        <v>2754</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6"/>
      <c r="B11" s="2920"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62"/>
      <c r="Q11" s="1151" t="str">
        <f t="shared" si="6"/>
        <v>容积率</v>
      </c>
      <c r="R11" s="1567" t="s">
        <v>8</v>
      </c>
      <c r="S11" s="1568" t="e">
        <f t="shared" si="0"/>
        <v>#N/A</v>
      </c>
      <c r="T11" s="1567" t="s">
        <v>8</v>
      </c>
      <c r="U11" s="1568" t="e">
        <f t="shared" si="1"/>
        <v>#N/A</v>
      </c>
      <c r="V11" s="1567" t="s">
        <v>8</v>
      </c>
      <c r="W11" s="1568" t="e">
        <f t="shared" si="2"/>
        <v>#N/A</v>
      </c>
      <c r="X11" s="1569"/>
      <c r="Y11" s="3419"/>
      <c r="Z11" s="1150" t="str">
        <f t="shared" si="7"/>
        <v>容积率</v>
      </c>
      <c r="AA11" s="1570" t="e">
        <f t="shared" si="3"/>
        <v>#N/A</v>
      </c>
      <c r="AB11" s="1570" t="e">
        <f t="shared" si="4"/>
        <v>#N/A</v>
      </c>
      <c r="AC11" s="1570"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5.6"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62"/>
      <c r="Q14" s="1151">
        <f t="shared" si="6"/>
        <v>111</v>
      </c>
      <c r="R14" s="1567" t="s">
        <v>8</v>
      </c>
      <c r="S14" s="1568">
        <f t="shared" si="0"/>
        <v>100</v>
      </c>
      <c r="T14" s="1567" t="s">
        <v>8</v>
      </c>
      <c r="U14" s="1568">
        <f t="shared" si="1"/>
        <v>100</v>
      </c>
      <c r="V14" s="1567" t="s">
        <v>8</v>
      </c>
      <c r="W14" s="1568">
        <f t="shared" si="2"/>
        <v>100</v>
      </c>
      <c r="X14" s="1569"/>
      <c r="Y14" s="3419"/>
      <c r="Z14" s="1150">
        <f t="shared" si="7"/>
        <v>111</v>
      </c>
      <c r="AA14" s="1570">
        <f t="shared" si="3"/>
        <v>1</v>
      </c>
      <c r="AB14" s="1570">
        <f t="shared" si="4"/>
        <v>1</v>
      </c>
      <c r="AC14" s="1570">
        <f t="shared" si="5"/>
        <v>1</v>
      </c>
    </row>
    <row r="15" spans="1:29" ht="69">
      <c r="A15" s="2910"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64" t="s">
        <v>539</v>
      </c>
      <c r="Q15" s="1571" t="str">
        <f t="shared" si="6"/>
        <v>产业集聚程度</v>
      </c>
      <c r="R15" s="1572" t="s">
        <v>8</v>
      </c>
      <c r="S15" s="1573">
        <f t="shared" si="0"/>
        <v>100</v>
      </c>
      <c r="T15" s="1572" t="s">
        <v>8</v>
      </c>
      <c r="U15" s="1573">
        <f t="shared" si="1"/>
        <v>100</v>
      </c>
      <c r="V15" s="1572" t="s">
        <v>8</v>
      </c>
      <c r="W15" s="1573">
        <f t="shared" si="2"/>
        <v>100</v>
      </c>
      <c r="X15" s="1566"/>
      <c r="Y15" s="3464"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65"/>
      <c r="Q16" s="1571"/>
      <c r="R16" s="1572"/>
      <c r="S16" s="1573"/>
      <c r="T16" s="1572"/>
      <c r="U16" s="1573"/>
      <c r="V16" s="1572"/>
      <c r="W16" s="1573"/>
      <c r="X16" s="1566"/>
      <c r="Y16" s="3465"/>
      <c r="Z16" s="1574"/>
      <c r="AA16" s="1575">
        <v>1</v>
      </c>
      <c r="AB16" s="1575">
        <v>1</v>
      </c>
      <c r="AC16" s="1575">
        <v>1</v>
      </c>
    </row>
    <row r="17" spans="1:29" ht="96.6">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65"/>
      <c r="Q17" s="1571" t="str">
        <f>B17</f>
        <v>交通便捷度</v>
      </c>
      <c r="R17" s="1572" t="s">
        <v>8</v>
      </c>
      <c r="S17" s="1573">
        <f>F17</f>
        <v>100</v>
      </c>
      <c r="T17" s="1572" t="s">
        <v>8</v>
      </c>
      <c r="U17" s="1573">
        <f>H17</f>
        <v>100</v>
      </c>
      <c r="V17" s="1572" t="s">
        <v>8</v>
      </c>
      <c r="W17" s="1573">
        <f>J17</f>
        <v>100</v>
      </c>
      <c r="X17" s="1566"/>
      <c r="Y17" s="346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65"/>
      <c r="Q18" s="1571"/>
      <c r="R18" s="1572"/>
      <c r="S18" s="1573"/>
      <c r="T18" s="1572"/>
      <c r="U18" s="1573"/>
      <c r="V18" s="1572"/>
      <c r="W18" s="1573"/>
      <c r="X18" s="1566"/>
      <c r="Y18" s="3465"/>
      <c r="Z18" s="1574"/>
      <c r="AA18" s="1575">
        <v>1</v>
      </c>
      <c r="AB18" s="1575">
        <v>1</v>
      </c>
      <c r="AC18" s="1575">
        <v>1</v>
      </c>
    </row>
    <row r="19" spans="1:29" ht="41.4">
      <c r="A19" s="532"/>
      <c r="B19" s="2603"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65"/>
      <c r="Q19" s="1571" t="str">
        <f>B19</f>
        <v>公共配套设施</v>
      </c>
      <c r="R19" s="1572" t="s">
        <v>8</v>
      </c>
      <c r="S19" s="1573">
        <f>F19</f>
        <v>100</v>
      </c>
      <c r="T19" s="1572" t="s">
        <v>8</v>
      </c>
      <c r="U19" s="1573">
        <f>H19</f>
        <v>100</v>
      </c>
      <c r="V19" s="1572" t="s">
        <v>8</v>
      </c>
      <c r="W19" s="1573">
        <f>J19</f>
        <v>100</v>
      </c>
      <c r="X19" s="1566"/>
      <c r="Y19" s="346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65"/>
      <c r="Q20" s="1571"/>
      <c r="R20" s="1572"/>
      <c r="S20" s="1573"/>
      <c r="T20" s="1572"/>
      <c r="U20" s="1573"/>
      <c r="V20" s="1572"/>
      <c r="W20" s="1573"/>
      <c r="X20" s="1566"/>
      <c r="Y20" s="3465"/>
      <c r="Z20" s="1574"/>
      <c r="AA20" s="1575">
        <v>1</v>
      </c>
      <c r="AB20" s="1575">
        <v>1</v>
      </c>
      <c r="AC20" s="1575">
        <v>1</v>
      </c>
    </row>
    <row r="21" spans="1:29" ht="41.4">
      <c r="A21" s="532"/>
      <c r="B21" s="2591"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65"/>
      <c r="Q21" s="2579" t="str">
        <f>B21</f>
        <v>基础设施水平</v>
      </c>
      <c r="R21" s="1572" t="s">
        <v>8</v>
      </c>
      <c r="S21" s="1573">
        <f>F21</f>
        <v>100</v>
      </c>
      <c r="T21" s="1572" t="s">
        <v>8</v>
      </c>
      <c r="U21" s="1573">
        <f>H21</f>
        <v>100</v>
      </c>
      <c r="V21" s="1572" t="s">
        <v>8</v>
      </c>
      <c r="W21" s="1573">
        <f>J21</f>
        <v>100</v>
      </c>
      <c r="X21" s="2581"/>
      <c r="Y21" s="3465"/>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65"/>
      <c r="Q22" s="2579"/>
      <c r="R22" s="1572"/>
      <c r="S22" s="1573"/>
      <c r="T22" s="1572"/>
      <c r="U22" s="1573"/>
      <c r="V22" s="1572"/>
      <c r="W22" s="1573"/>
      <c r="X22" s="2581"/>
      <c r="Y22" s="3465"/>
      <c r="Z22" s="2580"/>
      <c r="AA22" s="1575">
        <v>1</v>
      </c>
      <c r="AB22" s="1575">
        <v>1</v>
      </c>
      <c r="AC22" s="1575">
        <v>1</v>
      </c>
    </row>
    <row r="23" spans="1:29" ht="82.8">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65"/>
      <c r="Q23" s="1571" t="str">
        <f>B23</f>
        <v>环境质量</v>
      </c>
      <c r="R23" s="1572" t="s">
        <v>8</v>
      </c>
      <c r="S23" s="1573">
        <f>F23</f>
        <v>100</v>
      </c>
      <c r="T23" s="1572" t="s">
        <v>8</v>
      </c>
      <c r="U23" s="1573">
        <f>H23</f>
        <v>100</v>
      </c>
      <c r="V23" s="1572" t="s">
        <v>8</v>
      </c>
      <c r="W23" s="1573">
        <f>J23</f>
        <v>100</v>
      </c>
      <c r="X23" s="1566"/>
      <c r="Y23" s="3465"/>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65"/>
      <c r="Q24" s="1571"/>
      <c r="R24" s="1572"/>
      <c r="S24" s="1573"/>
      <c r="T24" s="1572"/>
      <c r="U24" s="1573"/>
      <c r="V24" s="1572"/>
      <c r="W24" s="1573"/>
      <c r="X24" s="1566"/>
      <c r="Y24" s="346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65"/>
      <c r="Q25" s="1571">
        <f>B25</f>
        <v>111</v>
      </c>
      <c r="R25" s="1572" t="s">
        <v>8</v>
      </c>
      <c r="S25" s="1573">
        <f>F25</f>
        <v>100</v>
      </c>
      <c r="T25" s="1572" t="s">
        <v>8</v>
      </c>
      <c r="U25" s="1573">
        <f>H25</f>
        <v>100</v>
      </c>
      <c r="V25" s="1572" t="s">
        <v>8</v>
      </c>
      <c r="W25" s="1573">
        <f>J25</f>
        <v>100</v>
      </c>
      <c r="X25" s="1566"/>
      <c r="Y25" s="346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65"/>
      <c r="Q26" s="1571">
        <f t="shared" ref="Q26:Q40" si="11">B26</f>
        <v>111</v>
      </c>
      <c r="R26" s="1572" t="s">
        <v>8</v>
      </c>
      <c r="S26" s="1573">
        <f>F26</f>
        <v>100</v>
      </c>
      <c r="T26" s="1572" t="s">
        <v>8</v>
      </c>
      <c r="U26" s="1573">
        <f>H26</f>
        <v>100</v>
      </c>
      <c r="V26" s="1572" t="s">
        <v>8</v>
      </c>
      <c r="W26" s="1573">
        <f>J26</f>
        <v>100</v>
      </c>
      <c r="X26" s="1566"/>
      <c r="Y26" s="3465"/>
      <c r="Z26" s="1574">
        <f>Q26</f>
        <v>111</v>
      </c>
      <c r="AA26" s="1575">
        <f t="shared" si="3"/>
        <v>1</v>
      </c>
      <c r="AB26" s="1575">
        <f t="shared" si="4"/>
        <v>1</v>
      </c>
      <c r="AC26" s="1575">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65"/>
      <c r="Q27" s="1151">
        <f t="shared" si="11"/>
        <v>111</v>
      </c>
      <c r="R27" s="1567" t="s">
        <v>8</v>
      </c>
      <c r="S27" s="1568">
        <f>F27</f>
        <v>100</v>
      </c>
      <c r="T27" s="1567" t="s">
        <v>8</v>
      </c>
      <c r="U27" s="1568">
        <f>H27</f>
        <v>100</v>
      </c>
      <c r="V27" s="1567" t="s">
        <v>8</v>
      </c>
      <c r="W27" s="1568">
        <f>J27</f>
        <v>100</v>
      </c>
      <c r="X27" s="1569"/>
      <c r="Y27" s="3465"/>
      <c r="Z27" s="1150">
        <f>Q27</f>
        <v>111</v>
      </c>
      <c r="AA27" s="1575">
        <f>D27/F27</f>
        <v>1</v>
      </c>
      <c r="AB27" s="1575">
        <f>D27/H27</f>
        <v>1</v>
      </c>
      <c r="AC27" s="1575">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65"/>
      <c r="Q28" s="1571">
        <f t="shared" si="11"/>
        <v>111</v>
      </c>
      <c r="R28" s="1572" t="s">
        <v>8</v>
      </c>
      <c r="S28" s="1573">
        <f t="shared" ref="S28:S40" si="12">F28</f>
        <v>100</v>
      </c>
      <c r="T28" s="1572" t="s">
        <v>8</v>
      </c>
      <c r="U28" s="1573">
        <f t="shared" ref="U28:U40" si="13">H28</f>
        <v>100</v>
      </c>
      <c r="V28" s="1572" t="s">
        <v>8</v>
      </c>
      <c r="W28" s="1573">
        <f t="shared" ref="W28:W40" si="14">J28</f>
        <v>100</v>
      </c>
      <c r="X28" s="1566"/>
      <c r="Y28" s="3465"/>
      <c r="Z28" s="1574">
        <f t="shared" ref="Z28:Z40" si="15">Q28</f>
        <v>111</v>
      </c>
      <c r="AA28" s="1575">
        <f t="shared" si="3"/>
        <v>1</v>
      </c>
      <c r="AB28" s="1575">
        <f t="shared" si="4"/>
        <v>1</v>
      </c>
      <c r="AC28" s="1575">
        <f t="shared" si="5"/>
        <v>1</v>
      </c>
    </row>
    <row r="29" spans="1:29" ht="15">
      <c r="A29" s="2907"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66" t="s">
        <v>549</v>
      </c>
      <c r="Q29" s="1571" t="str">
        <f t="shared" si="11"/>
        <v>建筑类型</v>
      </c>
      <c r="R29" s="1572" t="s">
        <v>8</v>
      </c>
      <c r="S29" s="1573">
        <f t="shared" si="12"/>
        <v>100</v>
      </c>
      <c r="T29" s="1572" t="s">
        <v>8</v>
      </c>
      <c r="U29" s="1573">
        <f t="shared" si="13"/>
        <v>100</v>
      </c>
      <c r="V29" s="1572" t="s">
        <v>8</v>
      </c>
      <c r="W29" s="1573">
        <f t="shared" si="14"/>
        <v>100</v>
      </c>
      <c r="X29" s="1566"/>
      <c r="Y29" s="3467" t="s">
        <v>549</v>
      </c>
      <c r="Z29" s="1574" t="str">
        <f t="shared" si="15"/>
        <v>建筑类型</v>
      </c>
      <c r="AA29" s="1575">
        <f t="shared" si="3"/>
        <v>1</v>
      </c>
      <c r="AB29" s="1575">
        <f t="shared" si="4"/>
        <v>1</v>
      </c>
      <c r="AC29" s="1575">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67"/>
      <c r="Q30" s="1604" t="str">
        <f t="shared" si="11"/>
        <v>项目建筑规模</v>
      </c>
      <c r="R30" s="1576" t="s">
        <v>8</v>
      </c>
      <c r="S30" s="1577" t="e">
        <f t="shared" si="12"/>
        <v>#N/A</v>
      </c>
      <c r="T30" s="1576" t="s">
        <v>8</v>
      </c>
      <c r="U30" s="1577" t="e">
        <f t="shared" si="13"/>
        <v>#N/A</v>
      </c>
      <c r="V30" s="1576" t="s">
        <v>8</v>
      </c>
      <c r="W30" s="1577" t="e">
        <f t="shared" si="14"/>
        <v>#N/A</v>
      </c>
      <c r="X30" s="1578"/>
      <c r="Y30" s="3467"/>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67"/>
      <c r="Q31" s="1571" t="str">
        <f t="shared" si="11"/>
        <v>建筑结构</v>
      </c>
      <c r="R31" s="1572" t="s">
        <v>8</v>
      </c>
      <c r="S31" s="1573">
        <f t="shared" si="12"/>
        <v>100</v>
      </c>
      <c r="T31" s="1572" t="s">
        <v>8</v>
      </c>
      <c r="U31" s="1573">
        <f t="shared" si="13"/>
        <v>100</v>
      </c>
      <c r="V31" s="1572" t="s">
        <v>8</v>
      </c>
      <c r="W31" s="1573">
        <f t="shared" si="14"/>
        <v>100</v>
      </c>
      <c r="X31" s="1566"/>
      <c r="Y31" s="3467"/>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67"/>
      <c r="Q32" s="1571" t="str">
        <f t="shared" si="11"/>
        <v>公共部分装修</v>
      </c>
      <c r="R32" s="1572" t="s">
        <v>8</v>
      </c>
      <c r="S32" s="1573">
        <f t="shared" si="12"/>
        <v>100</v>
      </c>
      <c r="T32" s="1572" t="s">
        <v>8</v>
      </c>
      <c r="U32" s="1573">
        <f t="shared" si="13"/>
        <v>100</v>
      </c>
      <c r="V32" s="1572" t="s">
        <v>8</v>
      </c>
      <c r="W32" s="1573">
        <f t="shared" si="14"/>
        <v>100</v>
      </c>
      <c r="X32" s="1566"/>
      <c r="Y32" s="3467"/>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67"/>
      <c r="Q33" s="1571" t="str">
        <f t="shared" si="11"/>
        <v>成新度</v>
      </c>
      <c r="R33" s="1572" t="s">
        <v>8</v>
      </c>
      <c r="S33" s="1573" t="e">
        <f t="shared" si="12"/>
        <v>#N/A</v>
      </c>
      <c r="T33" s="1572" t="s">
        <v>8</v>
      </c>
      <c r="U33" s="1573" t="e">
        <f t="shared" si="13"/>
        <v>#N/A</v>
      </c>
      <c r="V33" s="1572" t="s">
        <v>8</v>
      </c>
      <c r="W33" s="1573" t="e">
        <f t="shared" si="14"/>
        <v>#N/A</v>
      </c>
      <c r="X33" s="1566"/>
      <c r="Y33" s="3467"/>
      <c r="Z33" s="1574" t="str">
        <f t="shared" si="15"/>
        <v>成新度</v>
      </c>
      <c r="AA33" s="1575" t="e">
        <f t="shared" si="3"/>
        <v>#N/A</v>
      </c>
      <c r="AB33" s="1575" t="e">
        <f t="shared" si="4"/>
        <v>#N/A</v>
      </c>
      <c r="AC33" s="1575"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67"/>
      <c r="Q34" s="1151" t="str">
        <f t="shared" si="11"/>
        <v>物业管理</v>
      </c>
      <c r="R34" s="1567" t="s">
        <v>8</v>
      </c>
      <c r="S34" s="1568">
        <f t="shared" si="12"/>
        <v>100</v>
      </c>
      <c r="T34" s="1567" t="s">
        <v>8</v>
      </c>
      <c r="U34" s="1568">
        <f t="shared" si="13"/>
        <v>100</v>
      </c>
      <c r="V34" s="1567" t="s">
        <v>8</v>
      </c>
      <c r="W34" s="1568">
        <f t="shared" si="14"/>
        <v>100</v>
      </c>
      <c r="X34" s="1569"/>
      <c r="Y34" s="3467"/>
      <c r="Z34" s="1150" t="str">
        <f t="shared" si="15"/>
        <v>物业管理</v>
      </c>
      <c r="AA34" s="1570">
        <f t="shared" si="3"/>
        <v>1</v>
      </c>
      <c r="AB34" s="1570">
        <f t="shared" si="4"/>
        <v>1</v>
      </c>
      <c r="AC34" s="1570">
        <f t="shared" si="5"/>
        <v>1</v>
      </c>
    </row>
    <row r="35" spans="1:29" ht="15">
      <c r="A35" s="594"/>
      <c r="B35" s="1895"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67" t="s">
        <v>549</v>
      </c>
      <c r="Q35" s="1571" t="str">
        <f t="shared" si="11"/>
        <v>市政基础设施</v>
      </c>
      <c r="R35" s="1572" t="s">
        <v>8</v>
      </c>
      <c r="S35" s="1573">
        <f t="shared" si="12"/>
        <v>100</v>
      </c>
      <c r="T35" s="1572" t="s">
        <v>8</v>
      </c>
      <c r="U35" s="1573">
        <f t="shared" si="13"/>
        <v>100</v>
      </c>
      <c r="V35" s="1572" t="s">
        <v>8</v>
      </c>
      <c r="W35" s="1573">
        <f t="shared" si="14"/>
        <v>100</v>
      </c>
      <c r="X35" s="1566"/>
      <c r="Y35" s="3467"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67"/>
      <c r="Q36" s="1571" t="str">
        <f t="shared" si="11"/>
        <v>内部装修</v>
      </c>
      <c r="R36" s="1572" t="s">
        <v>8</v>
      </c>
      <c r="S36" s="1573">
        <f t="shared" si="12"/>
        <v>100</v>
      </c>
      <c r="T36" s="1572" t="s">
        <v>8</v>
      </c>
      <c r="U36" s="1573">
        <f t="shared" si="13"/>
        <v>100</v>
      </c>
      <c r="V36" s="1572" t="s">
        <v>8</v>
      </c>
      <c r="W36" s="1573">
        <f t="shared" si="14"/>
        <v>100</v>
      </c>
      <c r="X36" s="1566"/>
      <c r="Y36" s="3467"/>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67"/>
      <c r="Q37" s="1571" t="str">
        <f t="shared" si="11"/>
        <v>内部装修状况</v>
      </c>
      <c r="R37" s="1572" t="s">
        <v>8</v>
      </c>
      <c r="S37" s="1573">
        <f t="shared" si="12"/>
        <v>100</v>
      </c>
      <c r="T37" s="1572" t="s">
        <v>8</v>
      </c>
      <c r="U37" s="1573">
        <f t="shared" si="13"/>
        <v>100</v>
      </c>
      <c r="V37" s="1572" t="s">
        <v>8</v>
      </c>
      <c r="W37" s="1573">
        <f t="shared" si="14"/>
        <v>100</v>
      </c>
      <c r="X37" s="1566"/>
      <c r="Y37" s="3467"/>
      <c r="Z37" s="1574" t="str">
        <f t="shared" si="15"/>
        <v>内部装修状况</v>
      </c>
      <c r="AA37" s="1575">
        <f t="shared" si="3"/>
        <v>1</v>
      </c>
      <c r="AB37" s="1575">
        <f t="shared" si="4"/>
        <v>1</v>
      </c>
      <c r="AC37" s="1575">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67"/>
      <c r="Q38" s="1604">
        <f t="shared" si="11"/>
        <v>111</v>
      </c>
      <c r="R38" s="1576" t="s">
        <v>8</v>
      </c>
      <c r="S38" s="1577">
        <f t="shared" si="12"/>
        <v>100</v>
      </c>
      <c r="T38" s="1576" t="s">
        <v>8</v>
      </c>
      <c r="U38" s="1577">
        <f t="shared" si="13"/>
        <v>100</v>
      </c>
      <c r="V38" s="1576" t="s">
        <v>8</v>
      </c>
      <c r="W38" s="1577">
        <f t="shared" si="14"/>
        <v>100</v>
      </c>
      <c r="X38" s="1578"/>
      <c r="Y38" s="3467"/>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67"/>
      <c r="Q39" s="1571">
        <f t="shared" si="11"/>
        <v>111</v>
      </c>
      <c r="R39" s="1572" t="s">
        <v>8</v>
      </c>
      <c r="S39" s="1573">
        <f t="shared" si="12"/>
        <v>100</v>
      </c>
      <c r="T39" s="1572" t="s">
        <v>8</v>
      </c>
      <c r="U39" s="1573">
        <f t="shared" si="13"/>
        <v>100</v>
      </c>
      <c r="V39" s="1572" t="s">
        <v>8</v>
      </c>
      <c r="W39" s="1573">
        <f t="shared" si="14"/>
        <v>100</v>
      </c>
      <c r="X39" s="1566"/>
      <c r="Y39" s="3467"/>
      <c r="Z39" s="1574">
        <f t="shared" si="15"/>
        <v>111</v>
      </c>
      <c r="AA39" s="1575">
        <f t="shared" si="3"/>
        <v>1</v>
      </c>
      <c r="AB39" s="1575">
        <f t="shared" si="4"/>
        <v>1</v>
      </c>
      <c r="AC39" s="1575">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47"/>
      <c r="Q40" s="1571">
        <f t="shared" si="11"/>
        <v>111</v>
      </c>
      <c r="R40" s="1572" t="s">
        <v>8</v>
      </c>
      <c r="S40" s="1573">
        <f t="shared" si="12"/>
        <v>100</v>
      </c>
      <c r="T40" s="1572" t="s">
        <v>8</v>
      </c>
      <c r="U40" s="1573">
        <f t="shared" si="13"/>
        <v>100</v>
      </c>
      <c r="V40" s="1572" t="s">
        <v>8</v>
      </c>
      <c r="W40" s="1573">
        <f t="shared" si="14"/>
        <v>100</v>
      </c>
      <c r="X40" s="1566"/>
      <c r="Y40" s="3547"/>
      <c r="Z40" s="1574">
        <f t="shared" si="15"/>
        <v>111</v>
      </c>
      <c r="AA40" s="1575">
        <f t="shared" si="3"/>
        <v>1</v>
      </c>
      <c r="AB40" s="1575">
        <f t="shared" si="4"/>
        <v>1</v>
      </c>
      <c r="AC40" s="1575">
        <f t="shared" si="5"/>
        <v>1</v>
      </c>
    </row>
    <row r="41" spans="1:29" ht="14.4">
      <c r="A41" s="607" t="s">
        <v>735</v>
      </c>
      <c r="B41" s="887"/>
      <c r="C41" s="2627" t="s">
        <v>1</v>
      </c>
      <c r="D41" s="2628"/>
      <c r="E41" s="2629"/>
      <c r="F41" s="2630"/>
      <c r="G41" s="2631"/>
      <c r="H41" s="2632"/>
      <c r="I41" s="2629"/>
      <c r="J41" s="2632"/>
      <c r="K41" s="1610"/>
      <c r="L41" s="2144"/>
      <c r="M41" s="2145"/>
      <c r="N41" s="2134"/>
      <c r="O41" s="2145"/>
      <c r="P41" s="3462" t="str">
        <f>A41</f>
        <v>成交单价（元/平方米）</v>
      </c>
      <c r="Q41" s="3462"/>
      <c r="R41" s="3548">
        <f>E41</f>
        <v>0</v>
      </c>
      <c r="S41" s="3548"/>
      <c r="T41" s="3548">
        <f>G41</f>
        <v>0</v>
      </c>
      <c r="U41" s="3548"/>
      <c r="V41" s="3548">
        <f>I41</f>
        <v>0</v>
      </c>
      <c r="W41" s="3548"/>
      <c r="X41" s="1558"/>
      <c r="Y41" s="1580"/>
      <c r="Z41" s="1558"/>
      <c r="AA41" s="1558"/>
      <c r="AB41" s="1558"/>
      <c r="AC41" s="1558"/>
    </row>
    <row r="42" spans="1:29" ht="15" thickBot="1">
      <c r="A42" s="615" t="s">
        <v>2757</v>
      </c>
      <c r="B42" s="888"/>
      <c r="C42" s="2633" t="e">
        <f>R43</f>
        <v>#DIV/0!</v>
      </c>
      <c r="D42" s="2634"/>
      <c r="E42" s="2635" t="e">
        <f>R42</f>
        <v>#DIV/0!</v>
      </c>
      <c r="F42" s="2635"/>
      <c r="G42" s="2633" t="e">
        <f>T42</f>
        <v>#DIV/0!</v>
      </c>
      <c r="H42" s="2634"/>
      <c r="I42" s="2635" t="e">
        <f>V42</f>
        <v>#DIV/0!</v>
      </c>
      <c r="J42" s="2634"/>
      <c r="K42" s="1611"/>
      <c r="L42" s="2144"/>
      <c r="M42" s="2145"/>
      <c r="N42" s="2134"/>
      <c r="O42" s="2145"/>
      <c r="P42" s="3462" t="str">
        <f>A42</f>
        <v>比较价格（元/平方米）</v>
      </c>
      <c r="Q42" s="3462"/>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58"/>
      <c r="Y42" s="1558"/>
      <c r="Z42" s="1558"/>
      <c r="AA42" s="1558"/>
      <c r="AB42" s="1558"/>
      <c r="AC42" s="1558"/>
    </row>
    <row r="43" spans="1:29" ht="15" thickBot="1">
      <c r="A43" s="621" t="s">
        <v>2930</v>
      </c>
      <c r="B43" s="622"/>
      <c r="C43" s="2636" t="e">
        <f>R43</f>
        <v>#DIV/0!</v>
      </c>
      <c r="D43" s="2636"/>
      <c r="E43" s="2636"/>
      <c r="F43" s="2636"/>
      <c r="G43" s="2636"/>
      <c r="H43" s="2636"/>
      <c r="I43" s="2636"/>
      <c r="J43" s="2636"/>
      <c r="K43" s="1612"/>
      <c r="L43" s="2144"/>
      <c r="M43" s="2145"/>
      <c r="N43" s="2145"/>
      <c r="O43" s="2145"/>
      <c r="P43" s="3485" t="str">
        <f>A43</f>
        <v>估价对象XX用房的比较价格（楼面单价，元/平方米）</v>
      </c>
      <c r="Q43" s="3486"/>
      <c r="R43" s="3549" t="e">
        <f>IF(F1="售价",ROUND(AVERAGE(R42:V42),0),ROUND(AVERAGE(R42:V42),1))</f>
        <v>#DIV/0!</v>
      </c>
      <c r="S43" s="3549"/>
      <c r="T43" s="3549"/>
      <c r="U43" s="3549"/>
      <c r="V43" s="3549"/>
      <c r="W43" s="354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2.2"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7" customFormat="1" ht="14.4">
      <c r="A52" s="645" t="s">
        <v>528</v>
      </c>
      <c r="B52" s="646"/>
      <c r="C52" s="2802" t="str">
        <f>YEAR(C7)&amp;"-"&amp;MONTH(C7)</f>
        <v>2019-6</v>
      </c>
      <c r="D52" s="2804">
        <f>EDATE(C52,-1)</f>
        <v>43586</v>
      </c>
      <c r="E52" s="2804">
        <f t="shared" ref="E52:O52" si="16">EDATE(D52,-1)</f>
        <v>43556</v>
      </c>
      <c r="F52" s="2804">
        <f t="shared" si="16"/>
        <v>43525</v>
      </c>
      <c r="G52" s="2804">
        <f t="shared" si="16"/>
        <v>43497</v>
      </c>
      <c r="H52" s="2804">
        <f t="shared" si="16"/>
        <v>43466</v>
      </c>
      <c r="I52" s="2804">
        <f t="shared" si="16"/>
        <v>43435</v>
      </c>
      <c r="J52" s="2804">
        <f t="shared" si="16"/>
        <v>43405</v>
      </c>
      <c r="K52" s="2804">
        <f t="shared" si="16"/>
        <v>43374</v>
      </c>
      <c r="L52" s="2804">
        <f t="shared" si="16"/>
        <v>43344</v>
      </c>
      <c r="M52" s="2804">
        <f t="shared" si="16"/>
        <v>43313</v>
      </c>
      <c r="N52" s="2804">
        <f t="shared" si="16"/>
        <v>43282</v>
      </c>
      <c r="O52" s="2804">
        <f t="shared" si="16"/>
        <v>43252</v>
      </c>
      <c r="P52" s="2160"/>
      <c r="Q52" s="2161"/>
      <c r="R52" s="2161"/>
      <c r="S52" s="2161"/>
      <c r="T52" s="2161"/>
      <c r="U52" s="2161"/>
      <c r="V52" s="2161"/>
      <c r="W52" s="2161"/>
      <c r="X52" s="2161"/>
      <c r="Y52" s="2161"/>
      <c r="Z52" s="2161"/>
      <c r="AA52" s="2161"/>
      <c r="AB52" s="2161"/>
      <c r="AC52" s="2161"/>
    </row>
    <row r="53" spans="1:29" s="1220" customFormat="1">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4.4">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4.4"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ht="14.4">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4.4"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4.4"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4.4"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4.4"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4.4"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4.4"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ht="14.4">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 thickTop="1">
      <c r="A74" s="669"/>
      <c r="B74" s="1896" t="s">
        <v>2555</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 thickTop="1">
      <c r="A76" s="669"/>
      <c r="B76" s="2597" t="s">
        <v>2556</v>
      </c>
      <c r="C76" s="2598" t="s">
        <v>2557</v>
      </c>
      <c r="D76" s="2598" t="s">
        <v>2558</v>
      </c>
      <c r="E76" s="2598" t="s">
        <v>2559</v>
      </c>
      <c r="F76" s="2598" t="s">
        <v>2560</v>
      </c>
      <c r="G76" s="2598" t="s">
        <v>2561</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4.4"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4.4"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4.4"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4.4"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4.4"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4.4"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4.4"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4.4"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ht="14.4">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2554</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9.4"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4.4"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4.4"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4.4"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4.4"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4.4"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4.4"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8" t="s">
        <v>797</v>
      </c>
      <c r="D4" s="3469"/>
      <c r="E4" s="3468" t="s">
        <v>798</v>
      </c>
      <c r="F4" s="3469"/>
      <c r="G4" s="3468" t="s">
        <v>799</v>
      </c>
      <c r="H4" s="3469"/>
      <c r="I4" s="3468" t="s">
        <v>800</v>
      </c>
      <c r="J4" s="3469"/>
      <c r="K4" s="514" t="s">
        <v>801</v>
      </c>
      <c r="L4" s="2133"/>
      <c r="M4" s="2134"/>
      <c r="N4" s="2134"/>
      <c r="O4" s="2134"/>
      <c r="P4" s="3470" t="s">
        <v>802</v>
      </c>
      <c r="Q4" s="3471"/>
      <c r="R4" s="3456" t="s">
        <v>798</v>
      </c>
      <c r="S4" s="3457"/>
      <c r="T4" s="3456" t="s">
        <v>799</v>
      </c>
      <c r="U4" s="3457"/>
      <c r="V4" s="3476" t="s">
        <v>800</v>
      </c>
      <c r="W4" s="3476"/>
      <c r="X4" s="1566"/>
      <c r="Y4" s="3456" t="s">
        <v>802</v>
      </c>
      <c r="Z4" s="3457"/>
      <c r="AA4" s="3451" t="s">
        <v>798</v>
      </c>
      <c r="AB4" s="3452" t="s">
        <v>799</v>
      </c>
      <c r="AC4" s="3451" t="s">
        <v>800</v>
      </c>
    </row>
    <row r="5" spans="1:29">
      <c r="A5" s="515"/>
      <c r="B5" s="516"/>
      <c r="C5" s="3479" t="s">
        <v>2924</v>
      </c>
      <c r="D5" s="3480"/>
      <c r="E5" s="3479" t="s">
        <v>2925</v>
      </c>
      <c r="F5" s="3480"/>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484" t="s">
        <v>2928</v>
      </c>
      <c r="F6" s="3483"/>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54" t="s">
        <v>529</v>
      </c>
      <c r="Q7" s="3463"/>
      <c r="R7" s="1567" t="s">
        <v>8</v>
      </c>
      <c r="S7" s="1568">
        <f t="shared" ref="S7:S14" si="0">F7</f>
        <v>0</v>
      </c>
      <c r="T7" s="1567" t="s">
        <v>8</v>
      </c>
      <c r="U7" s="1568">
        <f t="shared" ref="U7:U14" si="1">H7</f>
        <v>0</v>
      </c>
      <c r="V7" s="1567" t="s">
        <v>8</v>
      </c>
      <c r="W7" s="1568">
        <f t="shared" ref="W7:W14"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36" si="3">D8/F8</f>
        <v>#DIV/0!</v>
      </c>
      <c r="AB8" s="1570" t="e">
        <f t="shared" ref="AB8:AB36" si="4">D8/H8</f>
        <v>#DIV/0!</v>
      </c>
      <c r="AC8" s="1570" t="e">
        <f t="shared" ref="AC8:AC36" si="5">D8/J8</f>
        <v>#DIV/0!</v>
      </c>
    </row>
    <row r="9" spans="1:29" s="1220" customFormat="1" ht="14.4">
      <c r="A9" s="2914"/>
      <c r="B9" s="2921" t="s">
        <v>2753</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62" t="s">
        <v>534</v>
      </c>
      <c r="Q9" s="1151" t="str">
        <f t="shared" ref="Q9:Q14" si="6">B9</f>
        <v>用途</v>
      </c>
      <c r="R9" s="1567" t="s">
        <v>8</v>
      </c>
      <c r="S9" s="1568">
        <f t="shared" si="0"/>
        <v>100</v>
      </c>
      <c r="T9" s="1567" t="s">
        <v>8</v>
      </c>
      <c r="U9" s="1568">
        <f t="shared" si="1"/>
        <v>100</v>
      </c>
      <c r="V9" s="1567" t="s">
        <v>8</v>
      </c>
      <c r="W9" s="1568">
        <f t="shared" si="2"/>
        <v>100</v>
      </c>
      <c r="X9" s="1569"/>
      <c r="Y9" s="3419"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62"/>
      <c r="Q11" s="1151">
        <f t="shared" si="6"/>
        <v>111</v>
      </c>
      <c r="R11" s="1567" t="s">
        <v>8</v>
      </c>
      <c r="S11" s="1568">
        <f t="shared" si="0"/>
        <v>100</v>
      </c>
      <c r="T11" s="1567" t="s">
        <v>8</v>
      </c>
      <c r="U11" s="1568">
        <f t="shared" si="1"/>
        <v>100</v>
      </c>
      <c r="V11" s="1567" t="s">
        <v>8</v>
      </c>
      <c r="W11" s="1568">
        <f t="shared" si="2"/>
        <v>100</v>
      </c>
      <c r="X11" s="1569"/>
      <c r="Y11" s="3419"/>
      <c r="Z11" s="1150">
        <f t="shared" si="7"/>
        <v>111</v>
      </c>
      <c r="AA11" s="1570">
        <f t="shared" si="3"/>
        <v>1</v>
      </c>
      <c r="AB11" s="1570">
        <f t="shared" si="4"/>
        <v>1</v>
      </c>
      <c r="AC11" s="1570">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6"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10.4">
      <c r="A14" s="2910" t="s">
        <v>2751</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64" t="s">
        <v>539</v>
      </c>
      <c r="Q14" s="1571" t="str">
        <f t="shared" si="6"/>
        <v>交通便捷度</v>
      </c>
      <c r="R14" s="1572" t="s">
        <v>8</v>
      </c>
      <c r="S14" s="1573">
        <f t="shared" si="0"/>
        <v>100</v>
      </c>
      <c r="T14" s="1572" t="s">
        <v>8</v>
      </c>
      <c r="U14" s="1573">
        <f t="shared" si="1"/>
        <v>100</v>
      </c>
      <c r="V14" s="1572" t="s">
        <v>8</v>
      </c>
      <c r="W14" s="1573">
        <f t="shared" si="2"/>
        <v>100</v>
      </c>
      <c r="X14" s="1566"/>
      <c r="Y14" s="3464"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65"/>
      <c r="Q15" s="1571"/>
      <c r="R15" s="1572"/>
      <c r="S15" s="1573"/>
      <c r="T15" s="1572"/>
      <c r="U15" s="1573"/>
      <c r="V15" s="1572"/>
      <c r="W15" s="1573"/>
      <c r="X15" s="1566"/>
      <c r="Y15" s="3465"/>
      <c r="Z15" s="1574"/>
      <c r="AA15" s="1575">
        <v>1</v>
      </c>
      <c r="AB15" s="1575">
        <v>1</v>
      </c>
      <c r="AC15" s="1575">
        <v>1</v>
      </c>
    </row>
    <row r="16" spans="1:29" ht="55.2">
      <c r="A16" s="515"/>
      <c r="B16" s="2603"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65"/>
      <c r="Q16" s="1571" t="str">
        <f>B16</f>
        <v>公共配套设施</v>
      </c>
      <c r="R16" s="1572" t="s">
        <v>8</v>
      </c>
      <c r="S16" s="1573">
        <f>F16</f>
        <v>100</v>
      </c>
      <c r="T16" s="1572" t="s">
        <v>8</v>
      </c>
      <c r="U16" s="1573">
        <f>H16</f>
        <v>100</v>
      </c>
      <c r="V16" s="1572" t="s">
        <v>8</v>
      </c>
      <c r="W16" s="1573">
        <f>J16</f>
        <v>100</v>
      </c>
      <c r="X16" s="1566"/>
      <c r="Y16" s="3465"/>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65"/>
      <c r="Q17" s="1571"/>
      <c r="R17" s="1572"/>
      <c r="S17" s="1573"/>
      <c r="T17" s="1572"/>
      <c r="U17" s="1573"/>
      <c r="V17" s="1572"/>
      <c r="W17" s="1573"/>
      <c r="X17" s="1566"/>
      <c r="Y17" s="3465"/>
      <c r="Z17" s="1574"/>
      <c r="AA17" s="1575">
        <v>1</v>
      </c>
      <c r="AB17" s="1575">
        <v>1</v>
      </c>
      <c r="AC17" s="1575">
        <v>1</v>
      </c>
    </row>
    <row r="18" spans="1:29" ht="41.4">
      <c r="A18" s="515"/>
      <c r="B18" s="2591"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65"/>
      <c r="Q18" s="2579" t="str">
        <f>B18</f>
        <v>基础设施水平</v>
      </c>
      <c r="R18" s="1572" t="s">
        <v>8</v>
      </c>
      <c r="S18" s="1573">
        <f>F18</f>
        <v>100</v>
      </c>
      <c r="T18" s="1572" t="s">
        <v>8</v>
      </c>
      <c r="U18" s="1573">
        <f>H18</f>
        <v>100</v>
      </c>
      <c r="V18" s="1572" t="s">
        <v>8</v>
      </c>
      <c r="W18" s="1573">
        <f>J18</f>
        <v>100</v>
      </c>
      <c r="X18" s="2581"/>
      <c r="Y18" s="3465"/>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65"/>
      <c r="Q19" s="2579"/>
      <c r="R19" s="1572"/>
      <c r="S19" s="1573"/>
      <c r="T19" s="1572"/>
      <c r="U19" s="1573"/>
      <c r="V19" s="1572"/>
      <c r="W19" s="1573"/>
      <c r="X19" s="2581"/>
      <c r="Y19" s="3465"/>
      <c r="Z19" s="2580"/>
      <c r="AA19" s="1575">
        <v>1</v>
      </c>
      <c r="AB19" s="1575">
        <v>1</v>
      </c>
      <c r="AC19" s="1575">
        <v>1</v>
      </c>
    </row>
    <row r="20" spans="1:29" ht="69">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65"/>
      <c r="Q20" s="1571" t="str">
        <f>B20</f>
        <v>自然及人文环境</v>
      </c>
      <c r="R20" s="1572" t="s">
        <v>8</v>
      </c>
      <c r="S20" s="1573">
        <f>F20</f>
        <v>100</v>
      </c>
      <c r="T20" s="1572" t="s">
        <v>8</v>
      </c>
      <c r="U20" s="1573">
        <f>H20</f>
        <v>100</v>
      </c>
      <c r="V20" s="1572" t="s">
        <v>8</v>
      </c>
      <c r="W20" s="1573">
        <f>J20</f>
        <v>100</v>
      </c>
      <c r="X20" s="1566"/>
      <c r="Y20" s="3465"/>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65"/>
      <c r="Q21" s="1571"/>
      <c r="R21" s="1572"/>
      <c r="S21" s="1573"/>
      <c r="T21" s="1572"/>
      <c r="U21" s="1573"/>
      <c r="V21" s="1572"/>
      <c r="W21" s="1573"/>
      <c r="X21" s="1566"/>
      <c r="Y21" s="3465"/>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65"/>
      <c r="Q22" s="1571" t="str">
        <f>B22</f>
        <v>楼层</v>
      </c>
      <c r="R22" s="1572" t="s">
        <v>8</v>
      </c>
      <c r="S22" s="1573">
        <f>F22</f>
        <v>100</v>
      </c>
      <c r="T22" s="1572" t="s">
        <v>8</v>
      </c>
      <c r="U22" s="1573">
        <f>H22</f>
        <v>100</v>
      </c>
      <c r="V22" s="1572" t="s">
        <v>8</v>
      </c>
      <c r="W22" s="1573">
        <f>J22</f>
        <v>100</v>
      </c>
      <c r="X22" s="1566"/>
      <c r="Y22" s="3465"/>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65"/>
      <c r="Q23" s="1571">
        <f>B23</f>
        <v>111</v>
      </c>
      <c r="R23" s="1572" t="s">
        <v>8</v>
      </c>
      <c r="S23" s="1573">
        <f>F23</f>
        <v>100</v>
      </c>
      <c r="T23" s="1572" t="s">
        <v>8</v>
      </c>
      <c r="U23" s="1573">
        <f>H23</f>
        <v>100</v>
      </c>
      <c r="V23" s="1572" t="s">
        <v>8</v>
      </c>
      <c r="W23" s="1573">
        <f>J23</f>
        <v>100</v>
      </c>
      <c r="X23" s="1566"/>
      <c r="Y23" s="3465"/>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65"/>
      <c r="Q24" s="1571">
        <f t="shared" ref="Q24:Q36" si="11">B24</f>
        <v>111</v>
      </c>
      <c r="R24" s="1572" t="s">
        <v>8</v>
      </c>
      <c r="S24" s="1573">
        <f>F24</f>
        <v>100</v>
      </c>
      <c r="T24" s="1572" t="s">
        <v>8</v>
      </c>
      <c r="U24" s="1573">
        <f>H24</f>
        <v>100</v>
      </c>
      <c r="V24" s="1572" t="s">
        <v>8</v>
      </c>
      <c r="W24" s="1573">
        <f>J24</f>
        <v>100</v>
      </c>
      <c r="X24" s="1566"/>
      <c r="Y24" s="3465"/>
      <c r="Z24" s="1574">
        <f>Q24</f>
        <v>111</v>
      </c>
      <c r="AA24" s="1575">
        <f t="shared" si="3"/>
        <v>1</v>
      </c>
      <c r="AB24" s="1575">
        <f t="shared" si="4"/>
        <v>1</v>
      </c>
      <c r="AC24" s="1575">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65"/>
      <c r="Q25" s="1151">
        <f t="shared" si="11"/>
        <v>111</v>
      </c>
      <c r="R25" s="1567" t="s">
        <v>8</v>
      </c>
      <c r="S25" s="1568">
        <f>F25</f>
        <v>100</v>
      </c>
      <c r="T25" s="1567" t="s">
        <v>8</v>
      </c>
      <c r="U25" s="1568">
        <f>H25</f>
        <v>100</v>
      </c>
      <c r="V25" s="1567" t="s">
        <v>8</v>
      </c>
      <c r="W25" s="1568">
        <f>J25</f>
        <v>100</v>
      </c>
      <c r="X25" s="1569"/>
      <c r="Y25" s="3465"/>
      <c r="Z25" s="1150">
        <f>Q25</f>
        <v>111</v>
      </c>
      <c r="AA25" s="1575">
        <f>D25/F25</f>
        <v>1</v>
      </c>
      <c r="AB25" s="1575">
        <f>D25/H25</f>
        <v>1</v>
      </c>
      <c r="AC25" s="1575">
        <f>D25/J25</f>
        <v>1</v>
      </c>
    </row>
    <row r="26" spans="1:29" ht="15">
      <c r="A26" s="2907"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6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7" t="s">
        <v>549</v>
      </c>
      <c r="Z26" s="1574" t="str">
        <f t="shared" ref="Z26:Z36" si="15">Q26</f>
        <v>配套类型</v>
      </c>
      <c r="AA26" s="1575">
        <f t="shared" si="3"/>
        <v>1</v>
      </c>
      <c r="AB26" s="1575">
        <f t="shared" si="4"/>
        <v>1</v>
      </c>
      <c r="AC26" s="1575">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67"/>
      <c r="Q27" s="1604" t="str">
        <f t="shared" si="11"/>
        <v>项目停车位配比</v>
      </c>
      <c r="R27" s="1576" t="s">
        <v>8</v>
      </c>
      <c r="S27" s="1577">
        <f t="shared" si="12"/>
        <v>100</v>
      </c>
      <c r="T27" s="1576" t="s">
        <v>8</v>
      </c>
      <c r="U27" s="1577">
        <f t="shared" si="13"/>
        <v>100</v>
      </c>
      <c r="V27" s="1576" t="s">
        <v>8</v>
      </c>
      <c r="W27" s="1577">
        <f t="shared" si="14"/>
        <v>100</v>
      </c>
      <c r="X27" s="1578"/>
      <c r="Y27" s="3467"/>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67"/>
      <c r="Q28" s="1571" t="str">
        <f t="shared" si="11"/>
        <v>公共部分装修</v>
      </c>
      <c r="R28" s="1572" t="s">
        <v>8</v>
      </c>
      <c r="S28" s="1573">
        <f t="shared" si="12"/>
        <v>100</v>
      </c>
      <c r="T28" s="1572" t="s">
        <v>8</v>
      </c>
      <c r="U28" s="1573">
        <f t="shared" si="13"/>
        <v>100</v>
      </c>
      <c r="V28" s="1572" t="s">
        <v>8</v>
      </c>
      <c r="W28" s="1573">
        <f t="shared" si="14"/>
        <v>100</v>
      </c>
      <c r="X28" s="1566"/>
      <c r="Y28" s="3467"/>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67"/>
      <c r="Q29" s="1571" t="str">
        <f t="shared" si="11"/>
        <v>成新率</v>
      </c>
      <c r="R29" s="1572" t="s">
        <v>8</v>
      </c>
      <c r="S29" s="1573" t="e">
        <f t="shared" si="12"/>
        <v>#N/A</v>
      </c>
      <c r="T29" s="1572" t="s">
        <v>8</v>
      </c>
      <c r="U29" s="1573" t="e">
        <f t="shared" si="13"/>
        <v>#N/A</v>
      </c>
      <c r="V29" s="1572" t="s">
        <v>8</v>
      </c>
      <c r="W29" s="1573" t="e">
        <f t="shared" si="14"/>
        <v>#N/A</v>
      </c>
      <c r="X29" s="1566"/>
      <c r="Y29" s="3467"/>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67"/>
      <c r="Q30" s="1571" t="str">
        <f t="shared" si="11"/>
        <v>物业等级</v>
      </c>
      <c r="R30" s="1572" t="s">
        <v>8</v>
      </c>
      <c r="S30" s="1573">
        <f t="shared" si="12"/>
        <v>100</v>
      </c>
      <c r="T30" s="1572" t="s">
        <v>8</v>
      </c>
      <c r="U30" s="1573">
        <f t="shared" si="13"/>
        <v>100</v>
      </c>
      <c r="V30" s="1572" t="s">
        <v>8</v>
      </c>
      <c r="W30" s="1573">
        <f t="shared" si="14"/>
        <v>100</v>
      </c>
      <c r="X30" s="1566"/>
      <c r="Y30" s="3467"/>
      <c r="Z30" s="1574" t="str">
        <f t="shared" si="15"/>
        <v>物业等级</v>
      </c>
      <c r="AA30" s="1575">
        <f t="shared" si="3"/>
        <v>1</v>
      </c>
      <c r="AB30" s="1575">
        <f t="shared" si="4"/>
        <v>1</v>
      </c>
      <c r="AC30" s="1575">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67"/>
      <c r="Q31" s="1151" t="str">
        <f t="shared" si="11"/>
        <v>停车位面积</v>
      </c>
      <c r="R31" s="1567" t="s">
        <v>8</v>
      </c>
      <c r="S31" s="1568" t="e">
        <f t="shared" si="12"/>
        <v>#N/A</v>
      </c>
      <c r="T31" s="1567" t="s">
        <v>8</v>
      </c>
      <c r="U31" s="1568" t="e">
        <f t="shared" si="13"/>
        <v>#N/A</v>
      </c>
      <c r="V31" s="1567" t="s">
        <v>8</v>
      </c>
      <c r="W31" s="1568" t="e">
        <f t="shared" si="14"/>
        <v>#N/A</v>
      </c>
      <c r="X31" s="1569"/>
      <c r="Y31" s="3467"/>
      <c r="Z31" s="1150"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67" t="s">
        <v>549</v>
      </c>
      <c r="Q32" s="1571" t="str">
        <f t="shared" si="11"/>
        <v>车位类型</v>
      </c>
      <c r="R32" s="1572" t="s">
        <v>8</v>
      </c>
      <c r="S32" s="1573">
        <f t="shared" si="12"/>
        <v>100</v>
      </c>
      <c r="T32" s="1572" t="s">
        <v>8</v>
      </c>
      <c r="U32" s="1573">
        <f t="shared" si="13"/>
        <v>100</v>
      </c>
      <c r="V32" s="1572" t="s">
        <v>8</v>
      </c>
      <c r="W32" s="1573">
        <f t="shared" si="14"/>
        <v>100</v>
      </c>
      <c r="X32" s="1566"/>
      <c r="Y32" s="3467"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67"/>
      <c r="Q33" s="1571" t="str">
        <f t="shared" si="11"/>
        <v>是否直接入户</v>
      </c>
      <c r="R33" s="1572" t="s">
        <v>8</v>
      </c>
      <c r="S33" s="1573">
        <f t="shared" si="12"/>
        <v>100</v>
      </c>
      <c r="T33" s="1572" t="s">
        <v>8</v>
      </c>
      <c r="U33" s="1573">
        <f t="shared" si="13"/>
        <v>100</v>
      </c>
      <c r="V33" s="1572" t="s">
        <v>8</v>
      </c>
      <c r="W33" s="1573">
        <f t="shared" si="14"/>
        <v>100</v>
      </c>
      <c r="X33" s="1566"/>
      <c r="Y33" s="3467"/>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67"/>
      <c r="Q34" s="1571">
        <f t="shared" si="11"/>
        <v>111</v>
      </c>
      <c r="R34" s="1572" t="s">
        <v>8</v>
      </c>
      <c r="S34" s="1573">
        <f t="shared" si="12"/>
        <v>100</v>
      </c>
      <c r="T34" s="1572" t="s">
        <v>8</v>
      </c>
      <c r="U34" s="1573">
        <f t="shared" si="13"/>
        <v>100</v>
      </c>
      <c r="V34" s="1572" t="s">
        <v>8</v>
      </c>
      <c r="W34" s="1573">
        <f t="shared" si="14"/>
        <v>100</v>
      </c>
      <c r="X34" s="1566"/>
      <c r="Y34" s="3467"/>
      <c r="Z34" s="1574">
        <f t="shared" si="15"/>
        <v>111</v>
      </c>
      <c r="AA34" s="1575">
        <f t="shared" si="3"/>
        <v>1</v>
      </c>
      <c r="AB34" s="1575">
        <f t="shared" si="4"/>
        <v>1</v>
      </c>
      <c r="AC34" s="1575">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67"/>
      <c r="Q35" s="1604">
        <f t="shared" si="11"/>
        <v>111</v>
      </c>
      <c r="R35" s="1576" t="s">
        <v>8</v>
      </c>
      <c r="S35" s="1577">
        <f t="shared" si="12"/>
        <v>100</v>
      </c>
      <c r="T35" s="1576" t="s">
        <v>8</v>
      </c>
      <c r="U35" s="1577">
        <f t="shared" si="13"/>
        <v>100</v>
      </c>
      <c r="V35" s="1576" t="s">
        <v>8</v>
      </c>
      <c r="W35" s="1577">
        <f t="shared" si="14"/>
        <v>100</v>
      </c>
      <c r="X35" s="1578"/>
      <c r="Y35" s="3467"/>
      <c r="Z35" s="1579">
        <f t="shared" si="15"/>
        <v>111</v>
      </c>
      <c r="AA35" s="1575">
        <f t="shared" si="3"/>
        <v>1</v>
      </c>
      <c r="AB35" s="1575">
        <f t="shared" si="4"/>
        <v>1</v>
      </c>
      <c r="AC35" s="1575">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67"/>
      <c r="Q36" s="1571">
        <f t="shared" si="11"/>
        <v>111</v>
      </c>
      <c r="R36" s="1572" t="s">
        <v>8</v>
      </c>
      <c r="S36" s="1573">
        <f t="shared" si="12"/>
        <v>100</v>
      </c>
      <c r="T36" s="1572" t="s">
        <v>8</v>
      </c>
      <c r="U36" s="1573">
        <f t="shared" si="13"/>
        <v>100</v>
      </c>
      <c r="V36" s="1572" t="s">
        <v>8</v>
      </c>
      <c r="W36" s="1573">
        <f t="shared" si="14"/>
        <v>100</v>
      </c>
      <c r="X36" s="1566"/>
      <c r="Y36" s="3467"/>
      <c r="Z36" s="1574">
        <f t="shared" si="15"/>
        <v>111</v>
      </c>
      <c r="AA36" s="1575">
        <f t="shared" si="3"/>
        <v>1</v>
      </c>
      <c r="AB36" s="1575">
        <f t="shared" si="4"/>
        <v>1</v>
      </c>
      <c r="AC36" s="1575">
        <f t="shared" si="5"/>
        <v>1</v>
      </c>
    </row>
    <row r="37" spans="1:29" ht="14.4">
      <c r="A37" s="1846" t="s">
        <v>2078</v>
      </c>
      <c r="B37" s="1847" t="s">
        <v>2079</v>
      </c>
      <c r="C37" s="2627" t="s">
        <v>1</v>
      </c>
      <c r="D37" s="2628"/>
      <c r="E37" s="2629"/>
      <c r="F37" s="2630"/>
      <c r="G37" s="2631"/>
      <c r="H37" s="2632"/>
      <c r="I37" s="2629"/>
      <c r="J37" s="2632"/>
      <c r="K37" s="1610"/>
      <c r="L37" s="2144"/>
      <c r="M37" s="2145"/>
      <c r="N37" s="2134"/>
      <c r="O37" s="2145"/>
      <c r="P37" s="3462" t="str">
        <f>A37</f>
        <v>成交单价</v>
      </c>
      <c r="Q37" s="3462"/>
      <c r="R37" s="3548">
        <f>E37</f>
        <v>0</v>
      </c>
      <c r="S37" s="3548"/>
      <c r="T37" s="3548">
        <f>G37</f>
        <v>0</v>
      </c>
      <c r="U37" s="3548"/>
      <c r="V37" s="3548">
        <f>I37</f>
        <v>0</v>
      </c>
      <c r="W37" s="3548"/>
      <c r="X37" s="1558"/>
      <c r="Y37" s="1580"/>
      <c r="Z37" s="1558"/>
      <c r="AA37" s="1558"/>
      <c r="AB37" s="1558"/>
      <c r="AC37" s="1558"/>
    </row>
    <row r="38" spans="1:29" ht="15" thickBot="1">
      <c r="A38" s="615" t="s">
        <v>2757</v>
      </c>
      <c r="B38" s="888"/>
      <c r="C38" s="2633" t="e">
        <f>R39</f>
        <v>#DIV/0!</v>
      </c>
      <c r="D38" s="2634"/>
      <c r="E38" s="2635" t="e">
        <f>R38</f>
        <v>#DIV/0!</v>
      </c>
      <c r="F38" s="2635"/>
      <c r="G38" s="2633" t="e">
        <f>T38</f>
        <v>#DIV/0!</v>
      </c>
      <c r="H38" s="2634"/>
      <c r="I38" s="2635" t="e">
        <f>V38</f>
        <v>#DIV/0!</v>
      </c>
      <c r="J38" s="2634"/>
      <c r="K38" s="1611"/>
      <c r="L38" s="2144"/>
      <c r="M38" s="2145"/>
      <c r="N38" s="2145"/>
      <c r="O38" s="2145"/>
      <c r="P38" s="3462" t="str">
        <f>A38</f>
        <v>比较价格（元/平方米）</v>
      </c>
      <c r="Q38" s="3462"/>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558"/>
      <c r="Y38" s="1558"/>
      <c r="Z38" s="1558"/>
      <c r="AA38" s="1558"/>
      <c r="AB38" s="1558"/>
      <c r="AC38" s="1558"/>
    </row>
    <row r="39" spans="1:29" ht="15" thickBot="1">
      <c r="A39" s="621" t="s">
        <v>2930</v>
      </c>
      <c r="B39" s="622"/>
      <c r="C39" s="2636" t="e">
        <f>R39</f>
        <v>#DIV/0!</v>
      </c>
      <c r="D39" s="2636"/>
      <c r="E39" s="2636"/>
      <c r="F39" s="2636"/>
      <c r="G39" s="2636"/>
      <c r="H39" s="2636"/>
      <c r="I39" s="2636"/>
      <c r="J39" s="2636"/>
      <c r="K39" s="1612"/>
      <c r="L39" s="2144"/>
      <c r="M39" s="2145"/>
      <c r="N39" s="2145"/>
      <c r="O39" s="2145"/>
      <c r="P39" s="3485" t="str">
        <f>A39</f>
        <v>估价对象XX用房的比较价格（楼面单价，元/平方米）</v>
      </c>
      <c r="Q39" s="3486"/>
      <c r="R39" s="3549" t="e">
        <f>IF(F1="售价",ROUND(AVERAGE(R38:V38),0),ROUND(AVERAGE(R38:V38),1))</f>
        <v>#DIV/0!</v>
      </c>
      <c r="S39" s="3549"/>
      <c r="T39" s="3549"/>
      <c r="U39" s="3549"/>
      <c r="V39" s="3549"/>
      <c r="W39" s="354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2.2"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4.4">
      <c r="A48" s="645" t="s">
        <v>528</v>
      </c>
      <c r="B48" s="646"/>
      <c r="C48" s="2802" t="str">
        <f>YEAR(C7)&amp;"-"&amp;MONTH(C7)</f>
        <v>2019-6</v>
      </c>
      <c r="D48" s="2804">
        <f>EDATE(C48,-1)</f>
        <v>43586</v>
      </c>
      <c r="E48" s="2804">
        <f t="shared" ref="E48:O48" si="16">EDATE(D48,-1)</f>
        <v>43556</v>
      </c>
      <c r="F48" s="2804">
        <f t="shared" si="16"/>
        <v>43525</v>
      </c>
      <c r="G48" s="2804">
        <f t="shared" si="16"/>
        <v>43497</v>
      </c>
      <c r="H48" s="2804">
        <f t="shared" si="16"/>
        <v>43466</v>
      </c>
      <c r="I48" s="2804">
        <f t="shared" si="16"/>
        <v>43435</v>
      </c>
      <c r="J48" s="2804">
        <f t="shared" si="16"/>
        <v>43405</v>
      </c>
      <c r="K48" s="2804">
        <f t="shared" si="16"/>
        <v>43374</v>
      </c>
      <c r="L48" s="2804">
        <f t="shared" si="16"/>
        <v>43344</v>
      </c>
      <c r="M48" s="2804">
        <f t="shared" si="16"/>
        <v>43313</v>
      </c>
      <c r="N48" s="2804">
        <f t="shared" si="16"/>
        <v>43282</v>
      </c>
      <c r="O48" s="2804">
        <f t="shared" si="16"/>
        <v>43252</v>
      </c>
      <c r="P48" s="2160"/>
      <c r="Q48" s="2161"/>
      <c r="R48" s="2161"/>
      <c r="S48" s="2161"/>
      <c r="T48" s="2161"/>
      <c r="U48" s="2161"/>
      <c r="V48" s="2161"/>
      <c r="W48" s="2161"/>
      <c r="X48" s="2161"/>
      <c r="Y48" s="2161"/>
      <c r="Z48" s="2161"/>
      <c r="AA48" s="2161"/>
      <c r="AB48" s="2161"/>
      <c r="AC48" s="2161"/>
    </row>
    <row r="49" spans="1:29" s="1220" customFormat="1">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4.4">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4.4"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ht="14.4">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4.4"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4.4"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4.4"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4.4"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4.4"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4.4"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4.4"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1896" t="s">
        <v>2555</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 thickTop="1">
      <c r="A67" s="669"/>
      <c r="B67" s="2597" t="s">
        <v>2556</v>
      </c>
      <c r="C67" s="2598" t="s">
        <v>2557</v>
      </c>
      <c r="D67" s="2598" t="s">
        <v>2558</v>
      </c>
      <c r="E67" s="2598" t="s">
        <v>2559</v>
      </c>
      <c r="F67" s="2598" t="s">
        <v>2560</v>
      </c>
      <c r="G67" s="2598" t="s">
        <v>2561</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4.4"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4.4"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4.4"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4.4"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4.4"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9.4"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4.4"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4.4"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4.4"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4.4"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4.4"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4.4"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4.4"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4.4"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4.4"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6"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6"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4.4">
      <c r="A4" s="512" t="s">
        <v>796</v>
      </c>
      <c r="B4" s="513"/>
      <c r="C4" s="3468" t="s">
        <v>797</v>
      </c>
      <c r="D4" s="3469"/>
      <c r="E4" s="3499" t="s">
        <v>798</v>
      </c>
      <c r="F4" s="3500"/>
      <c r="G4" s="3468" t="s">
        <v>799</v>
      </c>
      <c r="H4" s="3469"/>
      <c r="I4" s="3468" t="s">
        <v>800</v>
      </c>
      <c r="J4" s="3469"/>
      <c r="K4" s="514" t="s">
        <v>801</v>
      </c>
      <c r="L4" s="2133"/>
      <c r="M4" s="2134"/>
      <c r="N4" s="2134"/>
      <c r="O4" s="2134"/>
      <c r="P4" s="3470" t="s">
        <v>802</v>
      </c>
      <c r="Q4" s="3471"/>
      <c r="R4" s="3456" t="s">
        <v>798</v>
      </c>
      <c r="S4" s="3457"/>
      <c r="T4" s="3456" t="s">
        <v>799</v>
      </c>
      <c r="U4" s="3457"/>
      <c r="V4" s="3476" t="s">
        <v>800</v>
      </c>
      <c r="W4" s="3476"/>
      <c r="X4" s="1566"/>
      <c r="Y4" s="3456" t="s">
        <v>802</v>
      </c>
      <c r="Z4" s="3457"/>
      <c r="AA4" s="3451" t="s">
        <v>798</v>
      </c>
      <c r="AB4" s="3452" t="s">
        <v>799</v>
      </c>
      <c r="AC4" s="3451" t="s">
        <v>800</v>
      </c>
    </row>
    <row r="5" spans="1:29">
      <c r="A5" s="515"/>
      <c r="B5" s="516"/>
      <c r="C5" s="3479" t="s">
        <v>2924</v>
      </c>
      <c r="D5" s="3480"/>
      <c r="E5" s="3501" t="s">
        <v>2925</v>
      </c>
      <c r="F5" s="3502"/>
      <c r="G5" s="3479" t="s">
        <v>2926</v>
      </c>
      <c r="H5" s="3480"/>
      <c r="I5" s="3479" t="s">
        <v>2927</v>
      </c>
      <c r="J5" s="3480"/>
      <c r="K5" s="514"/>
      <c r="L5" s="2133"/>
      <c r="M5" s="2134"/>
      <c r="N5" s="2134"/>
      <c r="O5" s="2134"/>
      <c r="P5" s="3472"/>
      <c r="Q5" s="3473"/>
      <c r="R5" s="3458"/>
      <c r="S5" s="3459"/>
      <c r="T5" s="3458"/>
      <c r="U5" s="3459"/>
      <c r="V5" s="3476"/>
      <c r="W5" s="3476"/>
      <c r="X5" s="1566"/>
      <c r="Y5" s="3458"/>
      <c r="Z5" s="3459"/>
      <c r="AA5" s="3452"/>
      <c r="AB5" s="3452"/>
      <c r="AC5" s="3452"/>
    </row>
    <row r="6" spans="1:29" ht="15" thickBot="1">
      <c r="A6" s="517"/>
      <c r="B6" s="518"/>
      <c r="C6" s="3477" t="s">
        <v>2928</v>
      </c>
      <c r="D6" s="3478"/>
      <c r="E6" s="3503" t="s">
        <v>2928</v>
      </c>
      <c r="F6" s="3504"/>
      <c r="G6" s="3477" t="s">
        <v>2928</v>
      </c>
      <c r="H6" s="3478"/>
      <c r="I6" s="3477" t="s">
        <v>2928</v>
      </c>
      <c r="J6" s="3478"/>
      <c r="K6" s="514" t="s">
        <v>527</v>
      </c>
      <c r="L6" s="2133"/>
      <c r="M6" s="2134"/>
      <c r="N6" s="2134"/>
      <c r="O6" s="2134"/>
      <c r="P6" s="3474"/>
      <c r="Q6" s="3475"/>
      <c r="R6" s="3458"/>
      <c r="S6" s="3459"/>
      <c r="T6" s="3460"/>
      <c r="U6" s="3461"/>
      <c r="V6" s="3476"/>
      <c r="W6" s="3476"/>
      <c r="X6" s="1566"/>
      <c r="Y6" s="3460"/>
      <c r="Z6" s="3461"/>
      <c r="AA6" s="3453"/>
      <c r="AB6" s="3453"/>
      <c r="AC6" s="3453"/>
    </row>
    <row r="7" spans="1:29" s="1220" customFormat="1" ht="15" thickBot="1">
      <c r="A7" s="2912"/>
      <c r="B7" s="2919" t="s">
        <v>528</v>
      </c>
      <c r="C7" s="519">
        <f>'数据-取费表'!B2</f>
        <v>43626</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54" t="s">
        <v>529</v>
      </c>
      <c r="Q7" s="3463"/>
      <c r="R7" s="1567" t="s">
        <v>8</v>
      </c>
      <c r="S7" s="1568">
        <f t="shared" ref="S7:S14" si="0">F7</f>
        <v>0</v>
      </c>
      <c r="T7" s="1567" t="s">
        <v>8</v>
      </c>
      <c r="U7" s="1568">
        <f t="shared" ref="U7:U14" si="1">H7</f>
        <v>0</v>
      </c>
      <c r="V7" s="1567" t="s">
        <v>8</v>
      </c>
      <c r="W7" s="1568">
        <f t="shared" ref="W7:W14" si="2">J7</f>
        <v>0</v>
      </c>
      <c r="X7" s="1569"/>
      <c r="Y7" s="3454" t="s">
        <v>529</v>
      </c>
      <c r="Z7" s="3455"/>
      <c r="AA7" s="1570" t="e">
        <f>D7/F7</f>
        <v>#DIV/0!</v>
      </c>
      <c r="AB7" s="1570" t="e">
        <f>D7/H7</f>
        <v>#DIV/0!</v>
      </c>
      <c r="AC7" s="1570" t="e">
        <f>D7/J7</f>
        <v>#DIV/0!</v>
      </c>
    </row>
    <row r="8" spans="1:29" s="1220" customFormat="1" ht="1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54" t="s">
        <v>532</v>
      </c>
      <c r="Q8" s="3455"/>
      <c r="R8" s="1567" t="s">
        <v>8</v>
      </c>
      <c r="S8" s="1568">
        <f t="shared" si="0"/>
        <v>0</v>
      </c>
      <c r="T8" s="1567" t="s">
        <v>8</v>
      </c>
      <c r="U8" s="1568">
        <f t="shared" si="1"/>
        <v>0</v>
      </c>
      <c r="V8" s="1567" t="s">
        <v>8</v>
      </c>
      <c r="W8" s="1568">
        <f t="shared" si="2"/>
        <v>0</v>
      </c>
      <c r="X8" s="1569"/>
      <c r="Y8" s="3454" t="s">
        <v>532</v>
      </c>
      <c r="Z8" s="3455"/>
      <c r="AA8" s="1570" t="e">
        <f t="shared" ref="AA8:AA34" si="3">D8/F8</f>
        <v>#DIV/0!</v>
      </c>
      <c r="AB8" s="1570" t="e">
        <f t="shared" ref="AB8:AB34" si="4">D8/H8</f>
        <v>#DIV/0!</v>
      </c>
      <c r="AC8" s="1570" t="e">
        <f t="shared" ref="AC8:AC34" si="5">D8/J8</f>
        <v>#DIV/0!</v>
      </c>
    </row>
    <row r="9" spans="1:29" s="1220" customFormat="1" ht="14.4">
      <c r="A9" s="2914"/>
      <c r="B9" s="2921" t="s">
        <v>2753</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62" t="s">
        <v>534</v>
      </c>
      <c r="Q9" s="1151" t="str">
        <f t="shared" ref="Q9:Q14" si="6">B9</f>
        <v>用途</v>
      </c>
      <c r="R9" s="1567" t="s">
        <v>8</v>
      </c>
      <c r="S9" s="1568">
        <f t="shared" si="0"/>
        <v>100</v>
      </c>
      <c r="T9" s="1567" t="s">
        <v>8</v>
      </c>
      <c r="U9" s="1568">
        <f t="shared" si="1"/>
        <v>100</v>
      </c>
      <c r="V9" s="1567" t="s">
        <v>8</v>
      </c>
      <c r="W9" s="1568">
        <f t="shared" si="2"/>
        <v>100</v>
      </c>
      <c r="X9" s="1569"/>
      <c r="Y9" s="3419" t="s">
        <v>535</v>
      </c>
      <c r="Z9" s="1150" t="str">
        <f t="shared" ref="Z9:Z14" si="7">Q9</f>
        <v>用途</v>
      </c>
      <c r="AA9" s="1570">
        <f t="shared" si="3"/>
        <v>1</v>
      </c>
      <c r="AB9" s="1570">
        <f t="shared" si="4"/>
        <v>1</v>
      </c>
      <c r="AC9" s="1570">
        <f t="shared" si="5"/>
        <v>1</v>
      </c>
    </row>
    <row r="10" spans="1:29" s="1338" customFormat="1" ht="28.8">
      <c r="A10" s="2915"/>
      <c r="B10" s="2920" t="s">
        <v>2754</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62"/>
      <c r="Q10" s="1151" t="str">
        <f t="shared" si="6"/>
        <v>土地使用年限（年）</v>
      </c>
      <c r="R10" s="1567" t="s">
        <v>8</v>
      </c>
      <c r="S10" s="1568">
        <f t="shared" si="0"/>
        <v>100</v>
      </c>
      <c r="T10" s="1567" t="s">
        <v>8</v>
      </c>
      <c r="U10" s="1568">
        <f t="shared" si="1"/>
        <v>100</v>
      </c>
      <c r="V10" s="1567" t="s">
        <v>8</v>
      </c>
      <c r="W10" s="1568">
        <f t="shared" si="2"/>
        <v>100</v>
      </c>
      <c r="X10" s="1569"/>
      <c r="Y10" s="3419"/>
      <c r="Z10" s="1150"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62"/>
      <c r="Q11" s="1151">
        <f t="shared" si="6"/>
        <v>111</v>
      </c>
      <c r="R11" s="1567" t="s">
        <v>8</v>
      </c>
      <c r="S11" s="1568">
        <f t="shared" si="0"/>
        <v>100</v>
      </c>
      <c r="T11" s="1567" t="s">
        <v>8</v>
      </c>
      <c r="U11" s="1568">
        <f t="shared" si="1"/>
        <v>100</v>
      </c>
      <c r="V11" s="1567" t="s">
        <v>8</v>
      </c>
      <c r="W11" s="1568">
        <f t="shared" si="2"/>
        <v>100</v>
      </c>
      <c r="X11" s="1569"/>
      <c r="Y11" s="3419"/>
      <c r="Z11" s="1150">
        <f t="shared" si="7"/>
        <v>111</v>
      </c>
      <c r="AA11" s="1570">
        <f t="shared" si="3"/>
        <v>1</v>
      </c>
      <c r="AB11" s="1570">
        <f t="shared" si="4"/>
        <v>1</v>
      </c>
      <c r="AC11" s="1570">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62"/>
      <c r="Q12" s="1151">
        <f t="shared" si="6"/>
        <v>111</v>
      </c>
      <c r="R12" s="1567" t="s">
        <v>8</v>
      </c>
      <c r="S12" s="1568">
        <f t="shared" si="0"/>
        <v>100</v>
      </c>
      <c r="T12" s="1567" t="s">
        <v>8</v>
      </c>
      <c r="U12" s="1568">
        <f t="shared" si="1"/>
        <v>100</v>
      </c>
      <c r="V12" s="1567" t="s">
        <v>8</v>
      </c>
      <c r="W12" s="1568">
        <f t="shared" si="2"/>
        <v>100</v>
      </c>
      <c r="X12" s="1569"/>
      <c r="Y12" s="3419"/>
      <c r="Z12" s="1150">
        <f t="shared" si="7"/>
        <v>111</v>
      </c>
      <c r="AA12" s="1570">
        <f>D12/F12</f>
        <v>1</v>
      </c>
      <c r="AB12" s="1570">
        <f>D12/H12</f>
        <v>1</v>
      </c>
      <c r="AC12" s="1570">
        <f>D12/J12</f>
        <v>1</v>
      </c>
    </row>
    <row r="13" spans="1:29" ht="15.6"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62"/>
      <c r="Q13" s="1151">
        <f t="shared" si="6"/>
        <v>111</v>
      </c>
      <c r="R13" s="1567" t="s">
        <v>8</v>
      </c>
      <c r="S13" s="1568">
        <f t="shared" si="0"/>
        <v>100</v>
      </c>
      <c r="T13" s="1567" t="s">
        <v>8</v>
      </c>
      <c r="U13" s="1568">
        <f t="shared" si="1"/>
        <v>100</v>
      </c>
      <c r="V13" s="1567" t="s">
        <v>8</v>
      </c>
      <c r="W13" s="1568">
        <f t="shared" si="2"/>
        <v>100</v>
      </c>
      <c r="X13" s="1569"/>
      <c r="Y13" s="3419"/>
      <c r="Z13" s="1150">
        <f t="shared" si="7"/>
        <v>111</v>
      </c>
      <c r="AA13" s="1570">
        <f t="shared" si="3"/>
        <v>1</v>
      </c>
      <c r="AB13" s="1570">
        <f t="shared" si="4"/>
        <v>1</v>
      </c>
      <c r="AC13" s="1570">
        <f t="shared" si="5"/>
        <v>1</v>
      </c>
    </row>
    <row r="14" spans="1:29" ht="110.4">
      <c r="A14" s="2910" t="s">
        <v>2751</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64" t="s">
        <v>539</v>
      </c>
      <c r="Q14" s="1571" t="str">
        <f t="shared" si="6"/>
        <v>交通便捷度</v>
      </c>
      <c r="R14" s="1572" t="s">
        <v>8</v>
      </c>
      <c r="S14" s="1573">
        <f t="shared" si="0"/>
        <v>100</v>
      </c>
      <c r="T14" s="1572" t="s">
        <v>8</v>
      </c>
      <c r="U14" s="1573">
        <f t="shared" si="1"/>
        <v>100</v>
      </c>
      <c r="V14" s="1572" t="s">
        <v>8</v>
      </c>
      <c r="W14" s="1573">
        <f t="shared" si="2"/>
        <v>100</v>
      </c>
      <c r="X14" s="1566"/>
      <c r="Y14" s="3464"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65"/>
      <c r="Q15" s="1571"/>
      <c r="R15" s="1572"/>
      <c r="S15" s="1573"/>
      <c r="T15" s="1572"/>
      <c r="U15" s="1573"/>
      <c r="V15" s="1572"/>
      <c r="W15" s="1573"/>
      <c r="X15" s="1566"/>
      <c r="Y15" s="3465"/>
      <c r="Z15" s="1574"/>
      <c r="AA15" s="1575">
        <v>1</v>
      </c>
      <c r="AB15" s="1575">
        <v>1</v>
      </c>
      <c r="AC15" s="1575">
        <v>1</v>
      </c>
    </row>
    <row r="16" spans="1:29" ht="55.2">
      <c r="A16" s="532"/>
      <c r="B16" s="2603"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65"/>
      <c r="Q16" s="1571" t="str">
        <f>B16</f>
        <v>公共配套设施</v>
      </c>
      <c r="R16" s="1572" t="s">
        <v>8</v>
      </c>
      <c r="S16" s="1573">
        <f>F16</f>
        <v>100</v>
      </c>
      <c r="T16" s="1572" t="s">
        <v>8</v>
      </c>
      <c r="U16" s="1573">
        <f>H16</f>
        <v>100</v>
      </c>
      <c r="V16" s="1572" t="s">
        <v>8</v>
      </c>
      <c r="W16" s="1573">
        <f>J16</f>
        <v>100</v>
      </c>
      <c r="X16" s="1566"/>
      <c r="Y16" s="346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65"/>
      <c r="Q17" s="1571"/>
      <c r="R17" s="1572"/>
      <c r="S17" s="1573"/>
      <c r="T17" s="1572"/>
      <c r="U17" s="1573"/>
      <c r="V17" s="1572"/>
      <c r="W17" s="1573"/>
      <c r="X17" s="1566"/>
      <c r="Y17" s="3465"/>
      <c r="Z17" s="1574"/>
      <c r="AA17" s="1575">
        <v>1</v>
      </c>
      <c r="AB17" s="1575">
        <v>1</v>
      </c>
      <c r="AC17" s="1575">
        <v>1</v>
      </c>
    </row>
    <row r="18" spans="1:29" ht="41.4">
      <c r="A18" s="532"/>
      <c r="B18" s="2591"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65"/>
      <c r="Q18" s="2579" t="str">
        <f>B18</f>
        <v>基础设施水平</v>
      </c>
      <c r="R18" s="1572" t="s">
        <v>8</v>
      </c>
      <c r="S18" s="1573">
        <f>F18</f>
        <v>100</v>
      </c>
      <c r="T18" s="1572" t="s">
        <v>8</v>
      </c>
      <c r="U18" s="1573">
        <f>H18</f>
        <v>100</v>
      </c>
      <c r="V18" s="1572" t="s">
        <v>8</v>
      </c>
      <c r="W18" s="1573">
        <f>J18</f>
        <v>100</v>
      </c>
      <c r="X18" s="2581"/>
      <c r="Y18" s="3465"/>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65"/>
      <c r="Q19" s="2579"/>
      <c r="R19" s="1572"/>
      <c r="S19" s="1573"/>
      <c r="T19" s="1572"/>
      <c r="U19" s="1573"/>
      <c r="V19" s="1572"/>
      <c r="W19" s="1573"/>
      <c r="X19" s="2581"/>
      <c r="Y19" s="3465"/>
      <c r="Z19" s="2580"/>
      <c r="AA19" s="1575">
        <v>1</v>
      </c>
      <c r="AB19" s="1575">
        <v>1</v>
      </c>
      <c r="AC19" s="1575">
        <v>1</v>
      </c>
    </row>
    <row r="20" spans="1:29" ht="69">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65"/>
      <c r="Q20" s="1571" t="str">
        <f>B20</f>
        <v>自然及人文环境</v>
      </c>
      <c r="R20" s="1572" t="s">
        <v>8</v>
      </c>
      <c r="S20" s="1573">
        <f>F20</f>
        <v>100</v>
      </c>
      <c r="T20" s="1572" t="s">
        <v>8</v>
      </c>
      <c r="U20" s="1573">
        <f>H20</f>
        <v>100</v>
      </c>
      <c r="V20" s="1572" t="s">
        <v>8</v>
      </c>
      <c r="W20" s="1573">
        <f>J20</f>
        <v>100</v>
      </c>
      <c r="X20" s="1566"/>
      <c r="Y20" s="346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65"/>
      <c r="Q21" s="1571"/>
      <c r="R21" s="1572"/>
      <c r="S21" s="1573"/>
      <c r="T21" s="1572"/>
      <c r="U21" s="1573"/>
      <c r="V21" s="1572"/>
      <c r="W21" s="1573"/>
      <c r="X21" s="1566"/>
      <c r="Y21" s="3465"/>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65"/>
      <c r="Q22" s="1571" t="str">
        <f>B22</f>
        <v>楼层</v>
      </c>
      <c r="R22" s="1572" t="s">
        <v>8</v>
      </c>
      <c r="S22" s="1573">
        <f>F22</f>
        <v>100</v>
      </c>
      <c r="T22" s="1572" t="s">
        <v>8</v>
      </c>
      <c r="U22" s="1573">
        <f>H22</f>
        <v>100</v>
      </c>
      <c r="V22" s="1572" t="s">
        <v>8</v>
      </c>
      <c r="W22" s="1573">
        <f>J22</f>
        <v>100</v>
      </c>
      <c r="X22" s="1566"/>
      <c r="Y22" s="346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65"/>
      <c r="Q23" s="1571">
        <f>B23</f>
        <v>111</v>
      </c>
      <c r="R23" s="1572" t="s">
        <v>8</v>
      </c>
      <c r="S23" s="1573">
        <f>F23</f>
        <v>100</v>
      </c>
      <c r="T23" s="1572" t="s">
        <v>8</v>
      </c>
      <c r="U23" s="1573">
        <f>H23</f>
        <v>100</v>
      </c>
      <c r="V23" s="1572" t="s">
        <v>8</v>
      </c>
      <c r="W23" s="1573">
        <f>J23</f>
        <v>100</v>
      </c>
      <c r="X23" s="1566"/>
      <c r="Y23" s="346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65"/>
      <c r="Q24" s="1571">
        <f t="shared" ref="Q24:Q34" si="11">B24</f>
        <v>111</v>
      </c>
      <c r="R24" s="1572" t="s">
        <v>8</v>
      </c>
      <c r="S24" s="1573">
        <f>F24</f>
        <v>100</v>
      </c>
      <c r="T24" s="1572" t="s">
        <v>8</v>
      </c>
      <c r="U24" s="1573">
        <f>H24</f>
        <v>100</v>
      </c>
      <c r="V24" s="1572" t="s">
        <v>8</v>
      </c>
      <c r="W24" s="1573">
        <f>J24</f>
        <v>100</v>
      </c>
      <c r="X24" s="1566"/>
      <c r="Y24" s="3465"/>
      <c r="Z24" s="1574">
        <f>Q24</f>
        <v>111</v>
      </c>
      <c r="AA24" s="1575">
        <f t="shared" si="3"/>
        <v>1</v>
      </c>
      <c r="AB24" s="1575">
        <f t="shared" si="4"/>
        <v>1</v>
      </c>
      <c r="AC24" s="1575">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65"/>
      <c r="Q25" s="1151">
        <f t="shared" si="11"/>
        <v>111</v>
      </c>
      <c r="R25" s="1567" t="s">
        <v>8</v>
      </c>
      <c r="S25" s="1568">
        <f>F25</f>
        <v>100</v>
      </c>
      <c r="T25" s="1567" t="s">
        <v>8</v>
      </c>
      <c r="U25" s="1568">
        <f>H25</f>
        <v>100</v>
      </c>
      <c r="V25" s="1567" t="s">
        <v>8</v>
      </c>
      <c r="W25" s="1568">
        <f>J25</f>
        <v>100</v>
      </c>
      <c r="X25" s="1569"/>
      <c r="Y25" s="3465"/>
      <c r="Z25" s="1150">
        <f>Q25</f>
        <v>111</v>
      </c>
      <c r="AA25" s="1575">
        <f>D25/F25</f>
        <v>1</v>
      </c>
      <c r="AB25" s="1575">
        <f>D25/H25</f>
        <v>1</v>
      </c>
      <c r="AC25" s="1575">
        <f>D25/J25</f>
        <v>1</v>
      </c>
    </row>
    <row r="26" spans="1:29" ht="15">
      <c r="A26" s="2907"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6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7" t="s">
        <v>820</v>
      </c>
      <c r="Z26" s="1574" t="str">
        <f t="shared" ref="Z26:Z34" si="15">Q26</f>
        <v>公共部分装修</v>
      </c>
      <c r="AA26" s="1575">
        <f t="shared" si="3"/>
        <v>1</v>
      </c>
      <c r="AB26" s="1575">
        <f t="shared" si="4"/>
        <v>1</v>
      </c>
      <c r="AC26" s="1575">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67"/>
      <c r="Q27" s="1604" t="str">
        <f t="shared" si="11"/>
        <v>成新率</v>
      </c>
      <c r="R27" s="1576" t="s">
        <v>8</v>
      </c>
      <c r="S27" s="1577" t="e">
        <f t="shared" si="12"/>
        <v>#N/A</v>
      </c>
      <c r="T27" s="1576" t="s">
        <v>8</v>
      </c>
      <c r="U27" s="1577" t="e">
        <f t="shared" si="13"/>
        <v>#N/A</v>
      </c>
      <c r="V27" s="1576" t="s">
        <v>8</v>
      </c>
      <c r="W27" s="1577" t="e">
        <f t="shared" si="14"/>
        <v>#N/A</v>
      </c>
      <c r="X27" s="1578"/>
      <c r="Y27" s="3467"/>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67"/>
      <c r="Q28" s="1571" t="str">
        <f t="shared" si="11"/>
        <v>物业等级</v>
      </c>
      <c r="R28" s="1572" t="s">
        <v>8</v>
      </c>
      <c r="S28" s="1573">
        <f t="shared" si="12"/>
        <v>100</v>
      </c>
      <c r="T28" s="1572" t="s">
        <v>8</v>
      </c>
      <c r="U28" s="1573">
        <f t="shared" si="13"/>
        <v>100</v>
      </c>
      <c r="V28" s="1572" t="s">
        <v>8</v>
      </c>
      <c r="W28" s="1573">
        <f t="shared" si="14"/>
        <v>100</v>
      </c>
      <c r="X28" s="1566"/>
      <c r="Y28" s="3467"/>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67"/>
      <c r="Q29" s="1571" t="str">
        <f t="shared" si="11"/>
        <v>有无电梯</v>
      </c>
      <c r="R29" s="1572" t="s">
        <v>8</v>
      </c>
      <c r="S29" s="1573">
        <f t="shared" si="12"/>
        <v>100</v>
      </c>
      <c r="T29" s="1572" t="s">
        <v>8</v>
      </c>
      <c r="U29" s="1573">
        <f t="shared" si="13"/>
        <v>100</v>
      </c>
      <c r="V29" s="1572" t="s">
        <v>8</v>
      </c>
      <c r="W29" s="1573">
        <f t="shared" si="14"/>
        <v>100</v>
      </c>
      <c r="X29" s="1566"/>
      <c r="Y29" s="3467"/>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67"/>
      <c r="Q30" s="1571" t="str">
        <f t="shared" si="11"/>
        <v>建筑面积</v>
      </c>
      <c r="R30" s="1572" t="s">
        <v>8</v>
      </c>
      <c r="S30" s="1573" t="e">
        <f t="shared" si="12"/>
        <v>#N/A</v>
      </c>
      <c r="T30" s="1572" t="s">
        <v>8</v>
      </c>
      <c r="U30" s="1573" t="e">
        <f t="shared" si="13"/>
        <v>#N/A</v>
      </c>
      <c r="V30" s="1572" t="s">
        <v>8</v>
      </c>
      <c r="W30" s="1573" t="e">
        <f t="shared" si="14"/>
        <v>#N/A</v>
      </c>
      <c r="X30" s="1566"/>
      <c r="Y30" s="3467"/>
      <c r="Z30" s="1574" t="str">
        <f t="shared" si="15"/>
        <v>建筑面积</v>
      </c>
      <c r="AA30" s="1575" t="e">
        <f t="shared" si="3"/>
        <v>#N/A</v>
      </c>
      <c r="AB30" s="1575" t="e">
        <f t="shared" si="4"/>
        <v>#N/A</v>
      </c>
      <c r="AC30" s="1575"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67"/>
      <c r="Q31" s="1151" t="str">
        <f t="shared" si="11"/>
        <v>是否封闭</v>
      </c>
      <c r="R31" s="1567" t="s">
        <v>8</v>
      </c>
      <c r="S31" s="1568">
        <f t="shared" si="12"/>
        <v>100</v>
      </c>
      <c r="T31" s="1567" t="s">
        <v>8</v>
      </c>
      <c r="U31" s="1568">
        <f t="shared" si="13"/>
        <v>100</v>
      </c>
      <c r="V31" s="1567" t="s">
        <v>8</v>
      </c>
      <c r="W31" s="1568">
        <f t="shared" si="14"/>
        <v>100</v>
      </c>
      <c r="X31" s="1569"/>
      <c r="Y31" s="3467"/>
      <c r="Z31" s="1150"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67" t="s">
        <v>549</v>
      </c>
      <c r="Q32" s="1571">
        <f t="shared" si="11"/>
        <v>111</v>
      </c>
      <c r="R32" s="1572" t="s">
        <v>8</v>
      </c>
      <c r="S32" s="1573">
        <f t="shared" si="12"/>
        <v>100</v>
      </c>
      <c r="T32" s="1572" t="s">
        <v>8</v>
      </c>
      <c r="U32" s="1573">
        <f t="shared" si="13"/>
        <v>100</v>
      </c>
      <c r="V32" s="1572" t="s">
        <v>8</v>
      </c>
      <c r="W32" s="1573">
        <f t="shared" si="14"/>
        <v>100</v>
      </c>
      <c r="X32" s="1566"/>
      <c r="Y32" s="3467"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67"/>
      <c r="Q33" s="1571">
        <f t="shared" si="11"/>
        <v>111</v>
      </c>
      <c r="R33" s="1572" t="s">
        <v>8</v>
      </c>
      <c r="S33" s="1573">
        <f t="shared" si="12"/>
        <v>100</v>
      </c>
      <c r="T33" s="1572" t="s">
        <v>8</v>
      </c>
      <c r="U33" s="1573">
        <f t="shared" si="13"/>
        <v>100</v>
      </c>
      <c r="V33" s="1572" t="s">
        <v>8</v>
      </c>
      <c r="W33" s="1573">
        <f t="shared" si="14"/>
        <v>100</v>
      </c>
      <c r="X33" s="1566"/>
      <c r="Y33" s="3467"/>
      <c r="Z33" s="1574">
        <f t="shared" si="15"/>
        <v>111</v>
      </c>
      <c r="AA33" s="1575">
        <f t="shared" si="3"/>
        <v>1</v>
      </c>
      <c r="AB33" s="1575">
        <f t="shared" si="4"/>
        <v>1</v>
      </c>
      <c r="AC33" s="1575">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67"/>
      <c r="Q34" s="1571">
        <f t="shared" si="11"/>
        <v>111</v>
      </c>
      <c r="R34" s="1572" t="s">
        <v>8</v>
      </c>
      <c r="S34" s="1573">
        <f t="shared" si="12"/>
        <v>100</v>
      </c>
      <c r="T34" s="1572" t="s">
        <v>8</v>
      </c>
      <c r="U34" s="1573">
        <f t="shared" si="13"/>
        <v>100</v>
      </c>
      <c r="V34" s="1572" t="s">
        <v>8</v>
      </c>
      <c r="W34" s="1573">
        <f t="shared" si="14"/>
        <v>100</v>
      </c>
      <c r="X34" s="1566"/>
      <c r="Y34" s="3467"/>
      <c r="Z34" s="1574">
        <f t="shared" si="15"/>
        <v>111</v>
      </c>
      <c r="AA34" s="1575">
        <f t="shared" si="3"/>
        <v>1</v>
      </c>
      <c r="AB34" s="1575">
        <f t="shared" si="4"/>
        <v>1</v>
      </c>
      <c r="AC34" s="1575">
        <f t="shared" si="5"/>
        <v>1</v>
      </c>
    </row>
    <row r="35" spans="1:29" ht="14.4">
      <c r="A35" s="607" t="s">
        <v>735</v>
      </c>
      <c r="B35" s="887"/>
      <c r="C35" s="2627" t="s">
        <v>1</v>
      </c>
      <c r="D35" s="2628"/>
      <c r="E35" s="2629"/>
      <c r="F35" s="2630"/>
      <c r="G35" s="2631"/>
      <c r="H35" s="2632"/>
      <c r="I35" s="2629"/>
      <c r="J35" s="2632"/>
      <c r="K35" s="1610"/>
      <c r="L35" s="2144"/>
      <c r="M35" s="2145"/>
      <c r="N35" s="2134"/>
      <c r="O35" s="2145"/>
      <c r="P35" s="3462" t="str">
        <f>A35</f>
        <v>成交单价（元/平方米）</v>
      </c>
      <c r="Q35" s="3462"/>
      <c r="R35" s="3548">
        <f>E35</f>
        <v>0</v>
      </c>
      <c r="S35" s="3548"/>
      <c r="T35" s="3548">
        <f>G35</f>
        <v>0</v>
      </c>
      <c r="U35" s="3548"/>
      <c r="V35" s="3548">
        <f>I35</f>
        <v>0</v>
      </c>
      <c r="W35" s="3548"/>
      <c r="X35" s="1558"/>
      <c r="Y35" s="1580"/>
      <c r="Z35" s="1558"/>
      <c r="AA35" s="1558"/>
      <c r="AB35" s="1558"/>
      <c r="AC35" s="1558"/>
    </row>
    <row r="36" spans="1:29" ht="15" thickBot="1">
      <c r="A36" s="615" t="s">
        <v>2757</v>
      </c>
      <c r="B36" s="888"/>
      <c r="C36" s="2633" t="e">
        <f>R37</f>
        <v>#DIV/0!</v>
      </c>
      <c r="D36" s="2634"/>
      <c r="E36" s="2635" t="e">
        <f>R36</f>
        <v>#DIV/0!</v>
      </c>
      <c r="F36" s="2635"/>
      <c r="G36" s="2633" t="e">
        <f>T36</f>
        <v>#DIV/0!</v>
      </c>
      <c r="H36" s="2634"/>
      <c r="I36" s="2635" t="e">
        <f>V36</f>
        <v>#DIV/0!</v>
      </c>
      <c r="J36" s="2634"/>
      <c r="K36" s="1611"/>
      <c r="L36" s="2144"/>
      <c r="M36" s="2145"/>
      <c r="N36" s="2134"/>
      <c r="O36" s="2145"/>
      <c r="P36" s="3462" t="str">
        <f>A36</f>
        <v>比较价格（元/平方米）</v>
      </c>
      <c r="Q36" s="3462"/>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58"/>
      <c r="Y36" s="1558"/>
      <c r="Z36" s="1558"/>
      <c r="AA36" s="1558"/>
      <c r="AB36" s="1558"/>
      <c r="AC36" s="1558"/>
    </row>
    <row r="37" spans="1:29" ht="15" thickBot="1">
      <c r="A37" s="621" t="s">
        <v>2930</v>
      </c>
      <c r="B37" s="622"/>
      <c r="C37" s="2636" t="e">
        <f>R37</f>
        <v>#DIV/0!</v>
      </c>
      <c r="D37" s="2636"/>
      <c r="E37" s="2636"/>
      <c r="F37" s="2636"/>
      <c r="G37" s="2636"/>
      <c r="H37" s="2636"/>
      <c r="I37" s="2636"/>
      <c r="J37" s="2636"/>
      <c r="K37" s="1612"/>
      <c r="L37" s="2144"/>
      <c r="M37" s="2145"/>
      <c r="N37" s="2145"/>
      <c r="O37" s="2145"/>
      <c r="P37" s="3485" t="str">
        <f>A37</f>
        <v>估价对象XX用房的比较价格（楼面单价，元/平方米）</v>
      </c>
      <c r="Q37" s="3486"/>
      <c r="R37" s="3549" t="e">
        <f>IF(F1="售价",ROUND(AVERAGE(R36:V36),0),ROUND(AVERAGE(R36:V36),1))</f>
        <v>#DIV/0!</v>
      </c>
      <c r="S37" s="3549"/>
      <c r="T37" s="3549"/>
      <c r="U37" s="3549"/>
      <c r="V37" s="3549"/>
      <c r="W37" s="354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2.2"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7" customFormat="1" ht="14.4">
      <c r="A46" s="645" t="s">
        <v>528</v>
      </c>
      <c r="B46" s="646"/>
      <c r="C46" s="2802" t="str">
        <f>YEAR(C7)&amp;"-"&amp;MONTH(C7)</f>
        <v>2019-6</v>
      </c>
      <c r="D46" s="2804">
        <f>EDATE(C46,-1)</f>
        <v>43586</v>
      </c>
      <c r="E46" s="2804">
        <f t="shared" ref="E46:O46" si="16">EDATE(D46,-1)</f>
        <v>43556</v>
      </c>
      <c r="F46" s="2804">
        <f t="shared" si="16"/>
        <v>43525</v>
      </c>
      <c r="G46" s="2804">
        <f t="shared" si="16"/>
        <v>43497</v>
      </c>
      <c r="H46" s="2804">
        <f t="shared" si="16"/>
        <v>43466</v>
      </c>
      <c r="I46" s="2804">
        <f t="shared" si="16"/>
        <v>43435</v>
      </c>
      <c r="J46" s="2804">
        <f t="shared" si="16"/>
        <v>43405</v>
      </c>
      <c r="K46" s="2804">
        <f t="shared" si="16"/>
        <v>43374</v>
      </c>
      <c r="L46" s="2804">
        <f t="shared" si="16"/>
        <v>43344</v>
      </c>
      <c r="M46" s="2804">
        <f t="shared" si="16"/>
        <v>43313</v>
      </c>
      <c r="N46" s="2804">
        <f t="shared" si="16"/>
        <v>43282</v>
      </c>
      <c r="O46" s="2804">
        <f t="shared" si="16"/>
        <v>43252</v>
      </c>
      <c r="P46" s="2160"/>
      <c r="Q46" s="2161"/>
      <c r="R46" s="2161"/>
      <c r="S46" s="2161"/>
      <c r="T46" s="2161"/>
      <c r="U46" s="2161"/>
      <c r="V46" s="2161"/>
      <c r="W46" s="2161"/>
      <c r="X46" s="2161"/>
      <c r="Y46" s="2161"/>
      <c r="Z46" s="2161"/>
      <c r="AA46" s="2161"/>
      <c r="AB46" s="2161"/>
      <c r="AC46" s="2161"/>
    </row>
    <row r="47" spans="1:29" s="1220" customFormat="1">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4.4">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4.4"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ht="14.4">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4.4"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4.4"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4.4"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4.4"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4.4"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4.4"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4.4"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 thickTop="1">
      <c r="A63" s="669"/>
      <c r="B63" s="1896" t="s">
        <v>2555</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 thickTop="1">
      <c r="A65" s="669"/>
      <c r="B65" s="2597" t="s">
        <v>2556</v>
      </c>
      <c r="C65" s="2598" t="s">
        <v>2557</v>
      </c>
      <c r="D65" s="2598" t="s">
        <v>2558</v>
      </c>
      <c r="E65" s="2598" t="s">
        <v>2559</v>
      </c>
      <c r="F65" s="2598" t="s">
        <v>2560</v>
      </c>
      <c r="G65" s="2598" t="s">
        <v>2561</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4.4"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4.4"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4.4"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4.4"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4.4"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4.4"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4.4"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4.4"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4.4"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4.4"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4.4"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4.4"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4.4"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4.4"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4.4"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4.4"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5"/>
    <col min="19" max="19" width="9" style="1250"/>
    <col min="20" max="35" width="9" style="257"/>
    <col min="36" max="16384" width="9" style="1250"/>
  </cols>
  <sheetData>
    <row r="1" spans="1:45" s="257" customFormat="1" ht="14.25" customHeight="1" thickBot="1">
      <c r="A1" s="365"/>
      <c r="B1" s="2234" t="s">
        <v>2303</v>
      </c>
      <c r="C1" s="3581" t="s">
        <v>2304</v>
      </c>
      <c r="D1" s="3582"/>
      <c r="E1" s="3582"/>
      <c r="F1" s="3582"/>
      <c r="G1" s="3582"/>
      <c r="H1" s="3582"/>
      <c r="I1" s="3582"/>
      <c r="J1" s="3582"/>
      <c r="K1" s="3582"/>
      <c r="L1" s="3582"/>
      <c r="M1" s="3582"/>
      <c r="N1" s="3582"/>
      <c r="O1" s="3582"/>
      <c r="P1" s="3582"/>
      <c r="Q1" s="3582"/>
      <c r="R1" s="3582"/>
      <c r="S1" s="3583"/>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8"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6"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8"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8"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8"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8"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8" thickBot="1">
      <c r="A10" s="2251"/>
      <c r="B10" s="3087"/>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6"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8"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6"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8"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6"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8"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8"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6">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6">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78" t="s">
        <v>20</v>
      </c>
      <c r="D22" s="3579"/>
      <c r="E22" s="3579"/>
      <c r="F22" s="3579"/>
      <c r="G22" s="3579"/>
      <c r="H22" s="3579"/>
      <c r="I22" s="3579"/>
      <c r="J22" s="3579"/>
      <c r="K22" s="3579"/>
      <c r="L22" s="3579"/>
      <c r="M22" s="3579"/>
      <c r="N22" s="3579"/>
      <c r="O22" s="3579"/>
      <c r="P22" s="3579"/>
      <c r="Q22" s="3580"/>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1" customWidth="1"/>
    <col min="2" max="2" width="13.21875" style="2947" customWidth="1"/>
    <col min="3" max="3" width="15.6640625" style="2947" customWidth="1"/>
    <col min="4" max="4" width="9.33203125" style="2947" bestFit="1" customWidth="1"/>
    <col min="5" max="5" width="13.44140625" style="2947" customWidth="1"/>
    <col min="6" max="6" width="9" style="2947"/>
    <col min="7" max="7" width="9.33203125" style="2947" bestFit="1" customWidth="1"/>
    <col min="8" max="9" width="9" style="2947"/>
    <col min="10" max="10" width="9.33203125" style="2947" bestFit="1" customWidth="1"/>
    <col min="11" max="11" width="4" style="2941" customWidth="1"/>
    <col min="12" max="12" width="5.109375" style="2947" customWidth="1"/>
    <col min="13" max="13" width="13.77734375" style="2947" customWidth="1"/>
    <col min="14" max="256" width="9" style="2947"/>
    <col min="257" max="257" width="4.88671875" style="2939" customWidth="1"/>
    <col min="258" max="258" width="13.21875" style="2939" customWidth="1"/>
    <col min="259" max="259" width="15.6640625" style="2939" customWidth="1"/>
    <col min="260" max="260" width="9.33203125" style="2939" bestFit="1" customWidth="1"/>
    <col min="261" max="261" width="13.44140625" style="2939" customWidth="1"/>
    <col min="262" max="262" width="9" style="2939"/>
    <col min="263" max="263" width="9.33203125" style="2939" bestFit="1" customWidth="1"/>
    <col min="264" max="265" width="9" style="2939"/>
    <col min="266" max="266" width="9.33203125" style="2939" bestFit="1" customWidth="1"/>
    <col min="267" max="267" width="4" style="2939" customWidth="1"/>
    <col min="268" max="268" width="5.109375" style="2939" customWidth="1"/>
    <col min="269" max="269" width="13.77734375" style="2939" customWidth="1"/>
    <col min="270" max="512" width="9" style="2939"/>
    <col min="513" max="513" width="4.88671875" style="2939" customWidth="1"/>
    <col min="514" max="514" width="13.21875" style="2939" customWidth="1"/>
    <col min="515" max="515" width="15.6640625" style="2939" customWidth="1"/>
    <col min="516" max="516" width="9.33203125" style="2939" bestFit="1" customWidth="1"/>
    <col min="517" max="517" width="13.44140625" style="2939" customWidth="1"/>
    <col min="518" max="518" width="9" style="2939"/>
    <col min="519" max="519" width="9.33203125" style="2939" bestFit="1" customWidth="1"/>
    <col min="520" max="521" width="9" style="2939"/>
    <col min="522" max="522" width="9.33203125" style="2939" bestFit="1" customWidth="1"/>
    <col min="523" max="523" width="4" style="2939" customWidth="1"/>
    <col min="524" max="524" width="5.109375" style="2939" customWidth="1"/>
    <col min="525" max="525" width="13.77734375" style="2939" customWidth="1"/>
    <col min="526" max="768" width="9" style="2939"/>
    <col min="769" max="769" width="4.88671875" style="2939" customWidth="1"/>
    <col min="770" max="770" width="13.21875" style="2939" customWidth="1"/>
    <col min="771" max="771" width="15.6640625" style="2939" customWidth="1"/>
    <col min="772" max="772" width="9.33203125" style="2939" bestFit="1" customWidth="1"/>
    <col min="773" max="773" width="13.44140625" style="2939" customWidth="1"/>
    <col min="774" max="774" width="9" style="2939"/>
    <col min="775" max="775" width="9.33203125" style="2939" bestFit="1" customWidth="1"/>
    <col min="776" max="777" width="9" style="2939"/>
    <col min="778" max="778" width="9.33203125" style="2939" bestFit="1" customWidth="1"/>
    <col min="779" max="779" width="4" style="2939" customWidth="1"/>
    <col min="780" max="780" width="5.109375" style="2939" customWidth="1"/>
    <col min="781" max="781" width="13.77734375" style="2939" customWidth="1"/>
    <col min="782" max="1024" width="9" style="2939"/>
    <col min="1025" max="1025" width="4.88671875" style="2939" customWidth="1"/>
    <col min="1026" max="1026" width="13.21875" style="2939" customWidth="1"/>
    <col min="1027" max="1027" width="15.6640625" style="2939" customWidth="1"/>
    <col min="1028" max="1028" width="9.33203125" style="2939" bestFit="1" customWidth="1"/>
    <col min="1029" max="1029" width="13.44140625" style="2939" customWidth="1"/>
    <col min="1030" max="1030" width="9" style="2939"/>
    <col min="1031" max="1031" width="9.33203125" style="2939" bestFit="1" customWidth="1"/>
    <col min="1032" max="1033" width="9" style="2939"/>
    <col min="1034" max="1034" width="9.33203125" style="2939" bestFit="1" customWidth="1"/>
    <col min="1035" max="1035" width="4" style="2939" customWidth="1"/>
    <col min="1036" max="1036" width="5.109375" style="2939" customWidth="1"/>
    <col min="1037" max="1037" width="13.77734375" style="2939" customWidth="1"/>
    <col min="1038" max="1280" width="9" style="2939"/>
    <col min="1281" max="1281" width="4.88671875" style="2939" customWidth="1"/>
    <col min="1282" max="1282" width="13.21875" style="2939" customWidth="1"/>
    <col min="1283" max="1283" width="15.6640625" style="2939" customWidth="1"/>
    <col min="1284" max="1284" width="9.33203125" style="2939" bestFit="1" customWidth="1"/>
    <col min="1285" max="1285" width="13.44140625" style="2939" customWidth="1"/>
    <col min="1286" max="1286" width="9" style="2939"/>
    <col min="1287" max="1287" width="9.33203125" style="2939" bestFit="1" customWidth="1"/>
    <col min="1288" max="1289" width="9" style="2939"/>
    <col min="1290" max="1290" width="9.33203125" style="2939" bestFit="1" customWidth="1"/>
    <col min="1291" max="1291" width="4" style="2939" customWidth="1"/>
    <col min="1292" max="1292" width="5.109375" style="2939" customWidth="1"/>
    <col min="1293" max="1293" width="13.77734375" style="2939" customWidth="1"/>
    <col min="1294" max="1536" width="9" style="2939"/>
    <col min="1537" max="1537" width="4.88671875" style="2939" customWidth="1"/>
    <col min="1538" max="1538" width="13.21875" style="2939" customWidth="1"/>
    <col min="1539" max="1539" width="15.6640625" style="2939" customWidth="1"/>
    <col min="1540" max="1540" width="9.33203125" style="2939" bestFit="1" customWidth="1"/>
    <col min="1541" max="1541" width="13.44140625" style="2939" customWidth="1"/>
    <col min="1542" max="1542" width="9" style="2939"/>
    <col min="1543" max="1543" width="9.33203125" style="2939" bestFit="1" customWidth="1"/>
    <col min="1544" max="1545" width="9" style="2939"/>
    <col min="1546" max="1546" width="9.33203125" style="2939" bestFit="1" customWidth="1"/>
    <col min="1547" max="1547" width="4" style="2939" customWidth="1"/>
    <col min="1548" max="1548" width="5.109375" style="2939" customWidth="1"/>
    <col min="1549" max="1549" width="13.77734375" style="2939" customWidth="1"/>
    <col min="1550" max="1792" width="9" style="2939"/>
    <col min="1793" max="1793" width="4.88671875" style="2939" customWidth="1"/>
    <col min="1794" max="1794" width="13.21875" style="2939" customWidth="1"/>
    <col min="1795" max="1795" width="15.6640625" style="2939" customWidth="1"/>
    <col min="1796" max="1796" width="9.33203125" style="2939" bestFit="1" customWidth="1"/>
    <col min="1797" max="1797" width="13.44140625" style="2939" customWidth="1"/>
    <col min="1798" max="1798" width="9" style="2939"/>
    <col min="1799" max="1799" width="9.33203125" style="2939" bestFit="1" customWidth="1"/>
    <col min="1800" max="1801" width="9" style="2939"/>
    <col min="1802" max="1802" width="9.33203125" style="2939" bestFit="1" customWidth="1"/>
    <col min="1803" max="1803" width="4" style="2939" customWidth="1"/>
    <col min="1804" max="1804" width="5.109375" style="2939" customWidth="1"/>
    <col min="1805" max="1805" width="13.77734375" style="2939" customWidth="1"/>
    <col min="1806" max="2048" width="9" style="2939"/>
    <col min="2049" max="2049" width="4.88671875" style="2939" customWidth="1"/>
    <col min="2050" max="2050" width="13.21875" style="2939" customWidth="1"/>
    <col min="2051" max="2051" width="15.6640625" style="2939" customWidth="1"/>
    <col min="2052" max="2052" width="9.33203125" style="2939" bestFit="1" customWidth="1"/>
    <col min="2053" max="2053" width="13.44140625" style="2939" customWidth="1"/>
    <col min="2054" max="2054" width="9" style="2939"/>
    <col min="2055" max="2055" width="9.33203125" style="2939" bestFit="1" customWidth="1"/>
    <col min="2056" max="2057" width="9" style="2939"/>
    <col min="2058" max="2058" width="9.33203125" style="2939" bestFit="1" customWidth="1"/>
    <col min="2059" max="2059" width="4" style="2939" customWidth="1"/>
    <col min="2060" max="2060" width="5.109375" style="2939" customWidth="1"/>
    <col min="2061" max="2061" width="13.77734375" style="2939" customWidth="1"/>
    <col min="2062" max="2304" width="9" style="2939"/>
    <col min="2305" max="2305" width="4.88671875" style="2939" customWidth="1"/>
    <col min="2306" max="2306" width="13.21875" style="2939" customWidth="1"/>
    <col min="2307" max="2307" width="15.6640625" style="2939" customWidth="1"/>
    <col min="2308" max="2308" width="9.33203125" style="2939" bestFit="1" customWidth="1"/>
    <col min="2309" max="2309" width="13.44140625" style="2939" customWidth="1"/>
    <col min="2310" max="2310" width="9" style="2939"/>
    <col min="2311" max="2311" width="9.33203125" style="2939" bestFit="1" customWidth="1"/>
    <col min="2312" max="2313" width="9" style="2939"/>
    <col min="2314" max="2314" width="9.33203125" style="2939" bestFit="1" customWidth="1"/>
    <col min="2315" max="2315" width="4" style="2939" customWidth="1"/>
    <col min="2316" max="2316" width="5.109375" style="2939" customWidth="1"/>
    <col min="2317" max="2317" width="13.77734375" style="2939" customWidth="1"/>
    <col min="2318" max="2560" width="9" style="2939"/>
    <col min="2561" max="2561" width="4.88671875" style="2939" customWidth="1"/>
    <col min="2562" max="2562" width="13.21875" style="2939" customWidth="1"/>
    <col min="2563" max="2563" width="15.6640625" style="2939" customWidth="1"/>
    <col min="2564" max="2564" width="9.33203125" style="2939" bestFit="1" customWidth="1"/>
    <col min="2565" max="2565" width="13.44140625" style="2939" customWidth="1"/>
    <col min="2566" max="2566" width="9" style="2939"/>
    <col min="2567" max="2567" width="9.33203125" style="2939" bestFit="1" customWidth="1"/>
    <col min="2568" max="2569" width="9" style="2939"/>
    <col min="2570" max="2570" width="9.33203125" style="2939" bestFit="1" customWidth="1"/>
    <col min="2571" max="2571" width="4" style="2939" customWidth="1"/>
    <col min="2572" max="2572" width="5.109375" style="2939" customWidth="1"/>
    <col min="2573" max="2573" width="13.77734375" style="2939" customWidth="1"/>
    <col min="2574" max="2816" width="9" style="2939"/>
    <col min="2817" max="2817" width="4.88671875" style="2939" customWidth="1"/>
    <col min="2818" max="2818" width="13.21875" style="2939" customWidth="1"/>
    <col min="2819" max="2819" width="15.6640625" style="2939" customWidth="1"/>
    <col min="2820" max="2820" width="9.33203125" style="2939" bestFit="1" customWidth="1"/>
    <col min="2821" max="2821" width="13.44140625" style="2939" customWidth="1"/>
    <col min="2822" max="2822" width="9" style="2939"/>
    <col min="2823" max="2823" width="9.33203125" style="2939" bestFit="1" customWidth="1"/>
    <col min="2824" max="2825" width="9" style="2939"/>
    <col min="2826" max="2826" width="9.33203125" style="2939" bestFit="1" customWidth="1"/>
    <col min="2827" max="2827" width="4" style="2939" customWidth="1"/>
    <col min="2828" max="2828" width="5.109375" style="2939" customWidth="1"/>
    <col min="2829" max="2829" width="13.77734375" style="2939" customWidth="1"/>
    <col min="2830" max="3072" width="9" style="2939"/>
    <col min="3073" max="3073" width="4.88671875" style="2939" customWidth="1"/>
    <col min="3074" max="3074" width="13.21875" style="2939" customWidth="1"/>
    <col min="3075" max="3075" width="15.6640625" style="2939" customWidth="1"/>
    <col min="3076" max="3076" width="9.33203125" style="2939" bestFit="1" customWidth="1"/>
    <col min="3077" max="3077" width="13.44140625" style="2939" customWidth="1"/>
    <col min="3078" max="3078" width="9" style="2939"/>
    <col min="3079" max="3079" width="9.33203125" style="2939" bestFit="1" customWidth="1"/>
    <col min="3080" max="3081" width="9" style="2939"/>
    <col min="3082" max="3082" width="9.33203125" style="2939" bestFit="1" customWidth="1"/>
    <col min="3083" max="3083" width="4" style="2939" customWidth="1"/>
    <col min="3084" max="3084" width="5.109375" style="2939" customWidth="1"/>
    <col min="3085" max="3085" width="13.77734375" style="2939" customWidth="1"/>
    <col min="3086" max="3328" width="9" style="2939"/>
    <col min="3329" max="3329" width="4.88671875" style="2939" customWidth="1"/>
    <col min="3330" max="3330" width="13.21875" style="2939" customWidth="1"/>
    <col min="3331" max="3331" width="15.6640625" style="2939" customWidth="1"/>
    <col min="3332" max="3332" width="9.33203125" style="2939" bestFit="1" customWidth="1"/>
    <col min="3333" max="3333" width="13.44140625" style="2939" customWidth="1"/>
    <col min="3334" max="3334" width="9" style="2939"/>
    <col min="3335" max="3335" width="9.33203125" style="2939" bestFit="1" customWidth="1"/>
    <col min="3336" max="3337" width="9" style="2939"/>
    <col min="3338" max="3338" width="9.33203125" style="2939" bestFit="1" customWidth="1"/>
    <col min="3339" max="3339" width="4" style="2939" customWidth="1"/>
    <col min="3340" max="3340" width="5.109375" style="2939" customWidth="1"/>
    <col min="3341" max="3341" width="13.77734375" style="2939" customWidth="1"/>
    <col min="3342" max="3584" width="9" style="2939"/>
    <col min="3585" max="3585" width="4.88671875" style="2939" customWidth="1"/>
    <col min="3586" max="3586" width="13.21875" style="2939" customWidth="1"/>
    <col min="3587" max="3587" width="15.6640625" style="2939" customWidth="1"/>
    <col min="3588" max="3588" width="9.33203125" style="2939" bestFit="1" customWidth="1"/>
    <col min="3589" max="3589" width="13.44140625" style="2939" customWidth="1"/>
    <col min="3590" max="3590" width="9" style="2939"/>
    <col min="3591" max="3591" width="9.33203125" style="2939" bestFit="1" customWidth="1"/>
    <col min="3592" max="3593" width="9" style="2939"/>
    <col min="3594" max="3594" width="9.33203125" style="2939" bestFit="1" customWidth="1"/>
    <col min="3595" max="3595" width="4" style="2939" customWidth="1"/>
    <col min="3596" max="3596" width="5.109375" style="2939" customWidth="1"/>
    <col min="3597" max="3597" width="13.77734375" style="2939" customWidth="1"/>
    <col min="3598" max="3840" width="9" style="2939"/>
    <col min="3841" max="3841" width="4.88671875" style="2939" customWidth="1"/>
    <col min="3842" max="3842" width="13.21875" style="2939" customWidth="1"/>
    <col min="3843" max="3843" width="15.6640625" style="2939" customWidth="1"/>
    <col min="3844" max="3844" width="9.33203125" style="2939" bestFit="1" customWidth="1"/>
    <col min="3845" max="3845" width="13.44140625" style="2939" customWidth="1"/>
    <col min="3846" max="3846" width="9" style="2939"/>
    <col min="3847" max="3847" width="9.33203125" style="2939" bestFit="1" customWidth="1"/>
    <col min="3848" max="3849" width="9" style="2939"/>
    <col min="3850" max="3850" width="9.33203125" style="2939" bestFit="1" customWidth="1"/>
    <col min="3851" max="3851" width="4" style="2939" customWidth="1"/>
    <col min="3852" max="3852" width="5.109375" style="2939" customWidth="1"/>
    <col min="3853" max="3853" width="13.77734375" style="2939" customWidth="1"/>
    <col min="3854" max="4096" width="9" style="2939"/>
    <col min="4097" max="4097" width="4.88671875" style="2939" customWidth="1"/>
    <col min="4098" max="4098" width="13.21875" style="2939" customWidth="1"/>
    <col min="4099" max="4099" width="15.6640625" style="2939" customWidth="1"/>
    <col min="4100" max="4100" width="9.33203125" style="2939" bestFit="1" customWidth="1"/>
    <col min="4101" max="4101" width="13.44140625" style="2939" customWidth="1"/>
    <col min="4102" max="4102" width="9" style="2939"/>
    <col min="4103" max="4103" width="9.33203125" style="2939" bestFit="1" customWidth="1"/>
    <col min="4104" max="4105" width="9" style="2939"/>
    <col min="4106" max="4106" width="9.33203125" style="2939" bestFit="1" customWidth="1"/>
    <col min="4107" max="4107" width="4" style="2939" customWidth="1"/>
    <col min="4108" max="4108" width="5.109375" style="2939" customWidth="1"/>
    <col min="4109" max="4109" width="13.77734375" style="2939" customWidth="1"/>
    <col min="4110" max="4352" width="9" style="2939"/>
    <col min="4353" max="4353" width="4.88671875" style="2939" customWidth="1"/>
    <col min="4354" max="4354" width="13.21875" style="2939" customWidth="1"/>
    <col min="4355" max="4355" width="15.6640625" style="2939" customWidth="1"/>
    <col min="4356" max="4356" width="9.33203125" style="2939" bestFit="1" customWidth="1"/>
    <col min="4357" max="4357" width="13.44140625" style="2939" customWidth="1"/>
    <col min="4358" max="4358" width="9" style="2939"/>
    <col min="4359" max="4359" width="9.33203125" style="2939" bestFit="1" customWidth="1"/>
    <col min="4360" max="4361" width="9" style="2939"/>
    <col min="4362" max="4362" width="9.33203125" style="2939" bestFit="1" customWidth="1"/>
    <col min="4363" max="4363" width="4" style="2939" customWidth="1"/>
    <col min="4364" max="4364" width="5.109375" style="2939" customWidth="1"/>
    <col min="4365" max="4365" width="13.77734375" style="2939" customWidth="1"/>
    <col min="4366" max="4608" width="9" style="2939"/>
    <col min="4609" max="4609" width="4.88671875" style="2939" customWidth="1"/>
    <col min="4610" max="4610" width="13.21875" style="2939" customWidth="1"/>
    <col min="4611" max="4611" width="15.6640625" style="2939" customWidth="1"/>
    <col min="4612" max="4612" width="9.33203125" style="2939" bestFit="1" customWidth="1"/>
    <col min="4613" max="4613" width="13.44140625" style="2939" customWidth="1"/>
    <col min="4614" max="4614" width="9" style="2939"/>
    <col min="4615" max="4615" width="9.33203125" style="2939" bestFit="1" customWidth="1"/>
    <col min="4616" max="4617" width="9" style="2939"/>
    <col min="4618" max="4618" width="9.33203125" style="2939" bestFit="1" customWidth="1"/>
    <col min="4619" max="4619" width="4" style="2939" customWidth="1"/>
    <col min="4620" max="4620" width="5.109375" style="2939" customWidth="1"/>
    <col min="4621" max="4621" width="13.77734375" style="2939" customWidth="1"/>
    <col min="4622" max="4864" width="9" style="2939"/>
    <col min="4865" max="4865" width="4.88671875" style="2939" customWidth="1"/>
    <col min="4866" max="4866" width="13.21875" style="2939" customWidth="1"/>
    <col min="4867" max="4867" width="15.6640625" style="2939" customWidth="1"/>
    <col min="4868" max="4868" width="9.33203125" style="2939" bestFit="1" customWidth="1"/>
    <col min="4869" max="4869" width="13.44140625" style="2939" customWidth="1"/>
    <col min="4870" max="4870" width="9" style="2939"/>
    <col min="4871" max="4871" width="9.33203125" style="2939" bestFit="1" customWidth="1"/>
    <col min="4872" max="4873" width="9" style="2939"/>
    <col min="4874" max="4874" width="9.33203125" style="2939" bestFit="1" customWidth="1"/>
    <col min="4875" max="4875" width="4" style="2939" customWidth="1"/>
    <col min="4876" max="4876" width="5.109375" style="2939" customWidth="1"/>
    <col min="4877" max="4877" width="13.77734375" style="2939" customWidth="1"/>
    <col min="4878" max="5120" width="9" style="2939"/>
    <col min="5121" max="5121" width="4.88671875" style="2939" customWidth="1"/>
    <col min="5122" max="5122" width="13.21875" style="2939" customWidth="1"/>
    <col min="5123" max="5123" width="15.6640625" style="2939" customWidth="1"/>
    <col min="5124" max="5124" width="9.33203125" style="2939" bestFit="1" customWidth="1"/>
    <col min="5125" max="5125" width="13.44140625" style="2939" customWidth="1"/>
    <col min="5126" max="5126" width="9" style="2939"/>
    <col min="5127" max="5127" width="9.33203125" style="2939" bestFit="1" customWidth="1"/>
    <col min="5128" max="5129" width="9" style="2939"/>
    <col min="5130" max="5130" width="9.33203125" style="2939" bestFit="1" customWidth="1"/>
    <col min="5131" max="5131" width="4" style="2939" customWidth="1"/>
    <col min="5132" max="5132" width="5.109375" style="2939" customWidth="1"/>
    <col min="5133" max="5133" width="13.77734375" style="2939" customWidth="1"/>
    <col min="5134" max="5376" width="9" style="2939"/>
    <col min="5377" max="5377" width="4.88671875" style="2939" customWidth="1"/>
    <col min="5378" max="5378" width="13.21875" style="2939" customWidth="1"/>
    <col min="5379" max="5379" width="15.6640625" style="2939" customWidth="1"/>
    <col min="5380" max="5380" width="9.33203125" style="2939" bestFit="1" customWidth="1"/>
    <col min="5381" max="5381" width="13.44140625" style="2939" customWidth="1"/>
    <col min="5382" max="5382" width="9" style="2939"/>
    <col min="5383" max="5383" width="9.33203125" style="2939" bestFit="1" customWidth="1"/>
    <col min="5384" max="5385" width="9" style="2939"/>
    <col min="5386" max="5386" width="9.33203125" style="2939" bestFit="1" customWidth="1"/>
    <col min="5387" max="5387" width="4" style="2939" customWidth="1"/>
    <col min="5388" max="5388" width="5.109375" style="2939" customWidth="1"/>
    <col min="5389" max="5389" width="13.77734375" style="2939" customWidth="1"/>
    <col min="5390" max="5632" width="9" style="2939"/>
    <col min="5633" max="5633" width="4.88671875" style="2939" customWidth="1"/>
    <col min="5634" max="5634" width="13.21875" style="2939" customWidth="1"/>
    <col min="5635" max="5635" width="15.6640625" style="2939" customWidth="1"/>
    <col min="5636" max="5636" width="9.33203125" style="2939" bestFit="1" customWidth="1"/>
    <col min="5637" max="5637" width="13.44140625" style="2939" customWidth="1"/>
    <col min="5638" max="5638" width="9" style="2939"/>
    <col min="5639" max="5639" width="9.33203125" style="2939" bestFit="1" customWidth="1"/>
    <col min="5640" max="5641" width="9" style="2939"/>
    <col min="5642" max="5642" width="9.33203125" style="2939" bestFit="1" customWidth="1"/>
    <col min="5643" max="5643" width="4" style="2939" customWidth="1"/>
    <col min="5644" max="5644" width="5.109375" style="2939" customWidth="1"/>
    <col min="5645" max="5645" width="13.77734375" style="2939" customWidth="1"/>
    <col min="5646" max="5888" width="9" style="2939"/>
    <col min="5889" max="5889" width="4.88671875" style="2939" customWidth="1"/>
    <col min="5890" max="5890" width="13.21875" style="2939" customWidth="1"/>
    <col min="5891" max="5891" width="15.6640625" style="2939" customWidth="1"/>
    <col min="5892" max="5892" width="9.33203125" style="2939" bestFit="1" customWidth="1"/>
    <col min="5893" max="5893" width="13.44140625" style="2939" customWidth="1"/>
    <col min="5894" max="5894" width="9" style="2939"/>
    <col min="5895" max="5895" width="9.33203125" style="2939" bestFit="1" customWidth="1"/>
    <col min="5896" max="5897" width="9" style="2939"/>
    <col min="5898" max="5898" width="9.33203125" style="2939" bestFit="1" customWidth="1"/>
    <col min="5899" max="5899" width="4" style="2939" customWidth="1"/>
    <col min="5900" max="5900" width="5.109375" style="2939" customWidth="1"/>
    <col min="5901" max="5901" width="13.77734375" style="2939" customWidth="1"/>
    <col min="5902" max="6144" width="9" style="2939"/>
    <col min="6145" max="6145" width="4.88671875" style="2939" customWidth="1"/>
    <col min="6146" max="6146" width="13.21875" style="2939" customWidth="1"/>
    <col min="6147" max="6147" width="15.6640625" style="2939" customWidth="1"/>
    <col min="6148" max="6148" width="9.33203125" style="2939" bestFit="1" customWidth="1"/>
    <col min="6149" max="6149" width="13.44140625" style="2939" customWidth="1"/>
    <col min="6150" max="6150" width="9" style="2939"/>
    <col min="6151" max="6151" width="9.33203125" style="2939" bestFit="1" customWidth="1"/>
    <col min="6152" max="6153" width="9" style="2939"/>
    <col min="6154" max="6154" width="9.33203125" style="2939" bestFit="1" customWidth="1"/>
    <col min="6155" max="6155" width="4" style="2939" customWidth="1"/>
    <col min="6156" max="6156" width="5.109375" style="2939" customWidth="1"/>
    <col min="6157" max="6157" width="13.77734375" style="2939" customWidth="1"/>
    <col min="6158" max="6400" width="9" style="2939"/>
    <col min="6401" max="6401" width="4.88671875" style="2939" customWidth="1"/>
    <col min="6402" max="6402" width="13.21875" style="2939" customWidth="1"/>
    <col min="6403" max="6403" width="15.6640625" style="2939" customWidth="1"/>
    <col min="6404" max="6404" width="9.33203125" style="2939" bestFit="1" customWidth="1"/>
    <col min="6405" max="6405" width="13.44140625" style="2939" customWidth="1"/>
    <col min="6406" max="6406" width="9" style="2939"/>
    <col min="6407" max="6407" width="9.33203125" style="2939" bestFit="1" customWidth="1"/>
    <col min="6408" max="6409" width="9" style="2939"/>
    <col min="6410" max="6410" width="9.33203125" style="2939" bestFit="1" customWidth="1"/>
    <col min="6411" max="6411" width="4" style="2939" customWidth="1"/>
    <col min="6412" max="6412" width="5.109375" style="2939" customWidth="1"/>
    <col min="6413" max="6413" width="13.77734375" style="2939" customWidth="1"/>
    <col min="6414" max="6656" width="9" style="2939"/>
    <col min="6657" max="6657" width="4.88671875" style="2939" customWidth="1"/>
    <col min="6658" max="6658" width="13.21875" style="2939" customWidth="1"/>
    <col min="6659" max="6659" width="15.6640625" style="2939" customWidth="1"/>
    <col min="6660" max="6660" width="9.33203125" style="2939" bestFit="1" customWidth="1"/>
    <col min="6661" max="6661" width="13.44140625" style="2939" customWidth="1"/>
    <col min="6662" max="6662" width="9" style="2939"/>
    <col min="6663" max="6663" width="9.33203125" style="2939" bestFit="1" customWidth="1"/>
    <col min="6664" max="6665" width="9" style="2939"/>
    <col min="6666" max="6666" width="9.33203125" style="2939" bestFit="1" customWidth="1"/>
    <col min="6667" max="6667" width="4" style="2939" customWidth="1"/>
    <col min="6668" max="6668" width="5.109375" style="2939" customWidth="1"/>
    <col min="6669" max="6669" width="13.77734375" style="2939" customWidth="1"/>
    <col min="6670" max="6912" width="9" style="2939"/>
    <col min="6913" max="6913" width="4.88671875" style="2939" customWidth="1"/>
    <col min="6914" max="6914" width="13.21875" style="2939" customWidth="1"/>
    <col min="6915" max="6915" width="15.6640625" style="2939" customWidth="1"/>
    <col min="6916" max="6916" width="9.33203125" style="2939" bestFit="1" customWidth="1"/>
    <col min="6917" max="6917" width="13.44140625" style="2939" customWidth="1"/>
    <col min="6918" max="6918" width="9" style="2939"/>
    <col min="6919" max="6919" width="9.33203125" style="2939" bestFit="1" customWidth="1"/>
    <col min="6920" max="6921" width="9" style="2939"/>
    <col min="6922" max="6922" width="9.33203125" style="2939" bestFit="1" customWidth="1"/>
    <col min="6923" max="6923" width="4" style="2939" customWidth="1"/>
    <col min="6924" max="6924" width="5.109375" style="2939" customWidth="1"/>
    <col min="6925" max="6925" width="13.77734375" style="2939" customWidth="1"/>
    <col min="6926" max="7168" width="9" style="2939"/>
    <col min="7169" max="7169" width="4.88671875" style="2939" customWidth="1"/>
    <col min="7170" max="7170" width="13.21875" style="2939" customWidth="1"/>
    <col min="7171" max="7171" width="15.6640625" style="2939" customWidth="1"/>
    <col min="7172" max="7172" width="9.33203125" style="2939" bestFit="1" customWidth="1"/>
    <col min="7173" max="7173" width="13.44140625" style="2939" customWidth="1"/>
    <col min="7174" max="7174" width="9" style="2939"/>
    <col min="7175" max="7175" width="9.33203125" style="2939" bestFit="1" customWidth="1"/>
    <col min="7176" max="7177" width="9" style="2939"/>
    <col min="7178" max="7178" width="9.33203125" style="2939" bestFit="1" customWidth="1"/>
    <col min="7179" max="7179" width="4" style="2939" customWidth="1"/>
    <col min="7180" max="7180" width="5.109375" style="2939" customWidth="1"/>
    <col min="7181" max="7181" width="13.77734375" style="2939" customWidth="1"/>
    <col min="7182" max="7424" width="9" style="2939"/>
    <col min="7425" max="7425" width="4.88671875" style="2939" customWidth="1"/>
    <col min="7426" max="7426" width="13.21875" style="2939" customWidth="1"/>
    <col min="7427" max="7427" width="15.6640625" style="2939" customWidth="1"/>
    <col min="7428" max="7428" width="9.33203125" style="2939" bestFit="1" customWidth="1"/>
    <col min="7429" max="7429" width="13.44140625" style="2939" customWidth="1"/>
    <col min="7430" max="7430" width="9" style="2939"/>
    <col min="7431" max="7431" width="9.33203125" style="2939" bestFit="1" customWidth="1"/>
    <col min="7432" max="7433" width="9" style="2939"/>
    <col min="7434" max="7434" width="9.33203125" style="2939" bestFit="1" customWidth="1"/>
    <col min="7435" max="7435" width="4" style="2939" customWidth="1"/>
    <col min="7436" max="7436" width="5.109375" style="2939" customWidth="1"/>
    <col min="7437" max="7437" width="13.77734375" style="2939" customWidth="1"/>
    <col min="7438" max="7680" width="9" style="2939"/>
    <col min="7681" max="7681" width="4.88671875" style="2939" customWidth="1"/>
    <col min="7682" max="7682" width="13.21875" style="2939" customWidth="1"/>
    <col min="7683" max="7683" width="15.6640625" style="2939" customWidth="1"/>
    <col min="7684" max="7684" width="9.33203125" style="2939" bestFit="1" customWidth="1"/>
    <col min="7685" max="7685" width="13.44140625" style="2939" customWidth="1"/>
    <col min="7686" max="7686" width="9" style="2939"/>
    <col min="7687" max="7687" width="9.33203125" style="2939" bestFit="1" customWidth="1"/>
    <col min="7688" max="7689" width="9" style="2939"/>
    <col min="7690" max="7690" width="9.33203125" style="2939" bestFit="1" customWidth="1"/>
    <col min="7691" max="7691" width="4" style="2939" customWidth="1"/>
    <col min="7692" max="7692" width="5.109375" style="2939" customWidth="1"/>
    <col min="7693" max="7693" width="13.77734375" style="2939" customWidth="1"/>
    <col min="7694" max="7936" width="9" style="2939"/>
    <col min="7937" max="7937" width="4.88671875" style="2939" customWidth="1"/>
    <col min="7938" max="7938" width="13.21875" style="2939" customWidth="1"/>
    <col min="7939" max="7939" width="15.6640625" style="2939" customWidth="1"/>
    <col min="7940" max="7940" width="9.33203125" style="2939" bestFit="1" customWidth="1"/>
    <col min="7941" max="7941" width="13.44140625" style="2939" customWidth="1"/>
    <col min="7942" max="7942" width="9" style="2939"/>
    <col min="7943" max="7943" width="9.33203125" style="2939" bestFit="1" customWidth="1"/>
    <col min="7944" max="7945" width="9" style="2939"/>
    <col min="7946" max="7946" width="9.33203125" style="2939" bestFit="1" customWidth="1"/>
    <col min="7947" max="7947" width="4" style="2939" customWidth="1"/>
    <col min="7948" max="7948" width="5.109375" style="2939" customWidth="1"/>
    <col min="7949" max="7949" width="13.77734375" style="2939" customWidth="1"/>
    <col min="7950" max="8192" width="9" style="2939"/>
    <col min="8193" max="8193" width="4.88671875" style="2939" customWidth="1"/>
    <col min="8194" max="8194" width="13.21875" style="2939" customWidth="1"/>
    <col min="8195" max="8195" width="15.6640625" style="2939" customWidth="1"/>
    <col min="8196" max="8196" width="9.33203125" style="2939" bestFit="1" customWidth="1"/>
    <col min="8197" max="8197" width="13.44140625" style="2939" customWidth="1"/>
    <col min="8198" max="8198" width="9" style="2939"/>
    <col min="8199" max="8199" width="9.33203125" style="2939" bestFit="1" customWidth="1"/>
    <col min="8200" max="8201" width="9" style="2939"/>
    <col min="8202" max="8202" width="9.33203125" style="2939" bestFit="1" customWidth="1"/>
    <col min="8203" max="8203" width="4" style="2939" customWidth="1"/>
    <col min="8204" max="8204" width="5.109375" style="2939" customWidth="1"/>
    <col min="8205" max="8205" width="13.77734375" style="2939" customWidth="1"/>
    <col min="8206" max="8448" width="9" style="2939"/>
    <col min="8449" max="8449" width="4.88671875" style="2939" customWidth="1"/>
    <col min="8450" max="8450" width="13.21875" style="2939" customWidth="1"/>
    <col min="8451" max="8451" width="15.6640625" style="2939" customWidth="1"/>
    <col min="8452" max="8452" width="9.33203125" style="2939" bestFit="1" customWidth="1"/>
    <col min="8453" max="8453" width="13.44140625" style="2939" customWidth="1"/>
    <col min="8454" max="8454" width="9" style="2939"/>
    <col min="8455" max="8455" width="9.33203125" style="2939" bestFit="1" customWidth="1"/>
    <col min="8456" max="8457" width="9" style="2939"/>
    <col min="8458" max="8458" width="9.33203125" style="2939" bestFit="1" customWidth="1"/>
    <col min="8459" max="8459" width="4" style="2939" customWidth="1"/>
    <col min="8460" max="8460" width="5.109375" style="2939" customWidth="1"/>
    <col min="8461" max="8461" width="13.77734375" style="2939" customWidth="1"/>
    <col min="8462" max="8704" width="9" style="2939"/>
    <col min="8705" max="8705" width="4.88671875" style="2939" customWidth="1"/>
    <col min="8706" max="8706" width="13.21875" style="2939" customWidth="1"/>
    <col min="8707" max="8707" width="15.6640625" style="2939" customWidth="1"/>
    <col min="8708" max="8708" width="9.33203125" style="2939" bestFit="1" customWidth="1"/>
    <col min="8709" max="8709" width="13.44140625" style="2939" customWidth="1"/>
    <col min="8710" max="8710" width="9" style="2939"/>
    <col min="8711" max="8711" width="9.33203125" style="2939" bestFit="1" customWidth="1"/>
    <col min="8712" max="8713" width="9" style="2939"/>
    <col min="8714" max="8714" width="9.33203125" style="2939" bestFit="1" customWidth="1"/>
    <col min="8715" max="8715" width="4" style="2939" customWidth="1"/>
    <col min="8716" max="8716" width="5.109375" style="2939" customWidth="1"/>
    <col min="8717" max="8717" width="13.77734375" style="2939" customWidth="1"/>
    <col min="8718" max="8960" width="9" style="2939"/>
    <col min="8961" max="8961" width="4.88671875" style="2939" customWidth="1"/>
    <col min="8962" max="8962" width="13.21875" style="2939" customWidth="1"/>
    <col min="8963" max="8963" width="15.6640625" style="2939" customWidth="1"/>
    <col min="8964" max="8964" width="9.33203125" style="2939" bestFit="1" customWidth="1"/>
    <col min="8965" max="8965" width="13.44140625" style="2939" customWidth="1"/>
    <col min="8966" max="8966" width="9" style="2939"/>
    <col min="8967" max="8967" width="9.33203125" style="2939" bestFit="1" customWidth="1"/>
    <col min="8968" max="8969" width="9" style="2939"/>
    <col min="8970" max="8970" width="9.33203125" style="2939" bestFit="1" customWidth="1"/>
    <col min="8971" max="8971" width="4" style="2939" customWidth="1"/>
    <col min="8972" max="8972" width="5.109375" style="2939" customWidth="1"/>
    <col min="8973" max="8973" width="13.77734375" style="2939" customWidth="1"/>
    <col min="8974" max="9216" width="9" style="2939"/>
    <col min="9217" max="9217" width="4.88671875" style="2939" customWidth="1"/>
    <col min="9218" max="9218" width="13.21875" style="2939" customWidth="1"/>
    <col min="9219" max="9219" width="15.6640625" style="2939" customWidth="1"/>
    <col min="9220" max="9220" width="9.33203125" style="2939" bestFit="1" customWidth="1"/>
    <col min="9221" max="9221" width="13.44140625" style="2939" customWidth="1"/>
    <col min="9222" max="9222" width="9" style="2939"/>
    <col min="9223" max="9223" width="9.33203125" style="2939" bestFit="1" customWidth="1"/>
    <col min="9224" max="9225" width="9" style="2939"/>
    <col min="9226" max="9226" width="9.33203125" style="2939" bestFit="1" customWidth="1"/>
    <col min="9227" max="9227" width="4" style="2939" customWidth="1"/>
    <col min="9228" max="9228" width="5.109375" style="2939" customWidth="1"/>
    <col min="9229" max="9229" width="13.77734375" style="2939" customWidth="1"/>
    <col min="9230" max="9472" width="9" style="2939"/>
    <col min="9473" max="9473" width="4.88671875" style="2939" customWidth="1"/>
    <col min="9474" max="9474" width="13.21875" style="2939" customWidth="1"/>
    <col min="9475" max="9475" width="15.6640625" style="2939" customWidth="1"/>
    <col min="9476" max="9476" width="9.33203125" style="2939" bestFit="1" customWidth="1"/>
    <col min="9477" max="9477" width="13.44140625" style="2939" customWidth="1"/>
    <col min="9478" max="9478" width="9" style="2939"/>
    <col min="9479" max="9479" width="9.33203125" style="2939" bestFit="1" customWidth="1"/>
    <col min="9480" max="9481" width="9" style="2939"/>
    <col min="9482" max="9482" width="9.33203125" style="2939" bestFit="1" customWidth="1"/>
    <col min="9483" max="9483" width="4" style="2939" customWidth="1"/>
    <col min="9484" max="9484" width="5.109375" style="2939" customWidth="1"/>
    <col min="9485" max="9485" width="13.77734375" style="2939" customWidth="1"/>
    <col min="9486" max="9728" width="9" style="2939"/>
    <col min="9729" max="9729" width="4.88671875" style="2939" customWidth="1"/>
    <col min="9730" max="9730" width="13.21875" style="2939" customWidth="1"/>
    <col min="9731" max="9731" width="15.6640625" style="2939" customWidth="1"/>
    <col min="9732" max="9732" width="9.33203125" style="2939" bestFit="1" customWidth="1"/>
    <col min="9733" max="9733" width="13.44140625" style="2939" customWidth="1"/>
    <col min="9734" max="9734" width="9" style="2939"/>
    <col min="9735" max="9735" width="9.33203125" style="2939" bestFit="1" customWidth="1"/>
    <col min="9736" max="9737" width="9" style="2939"/>
    <col min="9738" max="9738" width="9.33203125" style="2939" bestFit="1" customWidth="1"/>
    <col min="9739" max="9739" width="4" style="2939" customWidth="1"/>
    <col min="9740" max="9740" width="5.109375" style="2939" customWidth="1"/>
    <col min="9741" max="9741" width="13.77734375" style="2939" customWidth="1"/>
    <col min="9742" max="9984" width="9" style="2939"/>
    <col min="9985" max="9985" width="4.88671875" style="2939" customWidth="1"/>
    <col min="9986" max="9986" width="13.21875" style="2939" customWidth="1"/>
    <col min="9987" max="9987" width="15.6640625" style="2939" customWidth="1"/>
    <col min="9988" max="9988" width="9.33203125" style="2939" bestFit="1" customWidth="1"/>
    <col min="9989" max="9989" width="13.44140625" style="2939" customWidth="1"/>
    <col min="9990" max="9990" width="9" style="2939"/>
    <col min="9991" max="9991" width="9.33203125" style="2939" bestFit="1" customWidth="1"/>
    <col min="9992" max="9993" width="9" style="2939"/>
    <col min="9994" max="9994" width="9.33203125" style="2939" bestFit="1" customWidth="1"/>
    <col min="9995" max="9995" width="4" style="2939" customWidth="1"/>
    <col min="9996" max="9996" width="5.109375" style="2939" customWidth="1"/>
    <col min="9997" max="9997" width="13.77734375" style="2939" customWidth="1"/>
    <col min="9998" max="10240" width="9" style="2939"/>
    <col min="10241" max="10241" width="4.88671875" style="2939" customWidth="1"/>
    <col min="10242" max="10242" width="13.21875" style="2939" customWidth="1"/>
    <col min="10243" max="10243" width="15.6640625" style="2939" customWidth="1"/>
    <col min="10244" max="10244" width="9.33203125" style="2939" bestFit="1" customWidth="1"/>
    <col min="10245" max="10245" width="13.44140625" style="2939" customWidth="1"/>
    <col min="10246" max="10246" width="9" style="2939"/>
    <col min="10247" max="10247" width="9.33203125" style="2939" bestFit="1" customWidth="1"/>
    <col min="10248" max="10249" width="9" style="2939"/>
    <col min="10250" max="10250" width="9.33203125" style="2939" bestFit="1" customWidth="1"/>
    <col min="10251" max="10251" width="4" style="2939" customWidth="1"/>
    <col min="10252" max="10252" width="5.109375" style="2939" customWidth="1"/>
    <col min="10253" max="10253" width="13.77734375" style="2939" customWidth="1"/>
    <col min="10254" max="10496" width="9" style="2939"/>
    <col min="10497" max="10497" width="4.88671875" style="2939" customWidth="1"/>
    <col min="10498" max="10498" width="13.21875" style="2939" customWidth="1"/>
    <col min="10499" max="10499" width="15.6640625" style="2939" customWidth="1"/>
    <col min="10500" max="10500" width="9.33203125" style="2939" bestFit="1" customWidth="1"/>
    <col min="10501" max="10501" width="13.44140625" style="2939" customWidth="1"/>
    <col min="10502" max="10502" width="9" style="2939"/>
    <col min="10503" max="10503" width="9.33203125" style="2939" bestFit="1" customWidth="1"/>
    <col min="10504" max="10505" width="9" style="2939"/>
    <col min="10506" max="10506" width="9.33203125" style="2939" bestFit="1" customWidth="1"/>
    <col min="10507" max="10507" width="4" style="2939" customWidth="1"/>
    <col min="10508" max="10508" width="5.109375" style="2939" customWidth="1"/>
    <col min="10509" max="10509" width="13.77734375" style="2939" customWidth="1"/>
    <col min="10510" max="10752" width="9" style="2939"/>
    <col min="10753" max="10753" width="4.88671875" style="2939" customWidth="1"/>
    <col min="10754" max="10754" width="13.21875" style="2939" customWidth="1"/>
    <col min="10755" max="10755" width="15.6640625" style="2939" customWidth="1"/>
    <col min="10756" max="10756" width="9.33203125" style="2939" bestFit="1" customWidth="1"/>
    <col min="10757" max="10757" width="13.44140625" style="2939" customWidth="1"/>
    <col min="10758" max="10758" width="9" style="2939"/>
    <col min="10759" max="10759" width="9.33203125" style="2939" bestFit="1" customWidth="1"/>
    <col min="10760" max="10761" width="9" style="2939"/>
    <col min="10762" max="10762" width="9.33203125" style="2939" bestFit="1" customWidth="1"/>
    <col min="10763" max="10763" width="4" style="2939" customWidth="1"/>
    <col min="10764" max="10764" width="5.109375" style="2939" customWidth="1"/>
    <col min="10765" max="10765" width="13.77734375" style="2939" customWidth="1"/>
    <col min="10766" max="11008" width="9" style="2939"/>
    <col min="11009" max="11009" width="4.88671875" style="2939" customWidth="1"/>
    <col min="11010" max="11010" width="13.21875" style="2939" customWidth="1"/>
    <col min="11011" max="11011" width="15.6640625" style="2939" customWidth="1"/>
    <col min="11012" max="11012" width="9.33203125" style="2939" bestFit="1" customWidth="1"/>
    <col min="11013" max="11013" width="13.44140625" style="2939" customWidth="1"/>
    <col min="11014" max="11014" width="9" style="2939"/>
    <col min="11015" max="11015" width="9.33203125" style="2939" bestFit="1" customWidth="1"/>
    <col min="11016" max="11017" width="9" style="2939"/>
    <col min="11018" max="11018" width="9.33203125" style="2939" bestFit="1" customWidth="1"/>
    <col min="11019" max="11019" width="4" style="2939" customWidth="1"/>
    <col min="11020" max="11020" width="5.109375" style="2939" customWidth="1"/>
    <col min="11021" max="11021" width="13.77734375" style="2939" customWidth="1"/>
    <col min="11022" max="11264" width="9" style="2939"/>
    <col min="11265" max="11265" width="4.88671875" style="2939" customWidth="1"/>
    <col min="11266" max="11266" width="13.21875" style="2939" customWidth="1"/>
    <col min="11267" max="11267" width="15.6640625" style="2939" customWidth="1"/>
    <col min="11268" max="11268" width="9.33203125" style="2939" bestFit="1" customWidth="1"/>
    <col min="11269" max="11269" width="13.44140625" style="2939" customWidth="1"/>
    <col min="11270" max="11270" width="9" style="2939"/>
    <col min="11271" max="11271" width="9.33203125" style="2939" bestFit="1" customWidth="1"/>
    <col min="11272" max="11273" width="9" style="2939"/>
    <col min="11274" max="11274" width="9.33203125" style="2939" bestFit="1" customWidth="1"/>
    <col min="11275" max="11275" width="4" style="2939" customWidth="1"/>
    <col min="11276" max="11276" width="5.109375" style="2939" customWidth="1"/>
    <col min="11277" max="11277" width="13.77734375" style="2939" customWidth="1"/>
    <col min="11278" max="11520" width="9" style="2939"/>
    <col min="11521" max="11521" width="4.88671875" style="2939" customWidth="1"/>
    <col min="11522" max="11522" width="13.21875" style="2939" customWidth="1"/>
    <col min="11523" max="11523" width="15.6640625" style="2939" customWidth="1"/>
    <col min="11524" max="11524" width="9.33203125" style="2939" bestFit="1" customWidth="1"/>
    <col min="11525" max="11525" width="13.44140625" style="2939" customWidth="1"/>
    <col min="11526" max="11526" width="9" style="2939"/>
    <col min="11527" max="11527" width="9.33203125" style="2939" bestFit="1" customWidth="1"/>
    <col min="11528" max="11529" width="9" style="2939"/>
    <col min="11530" max="11530" width="9.33203125" style="2939" bestFit="1" customWidth="1"/>
    <col min="11531" max="11531" width="4" style="2939" customWidth="1"/>
    <col min="11532" max="11532" width="5.109375" style="2939" customWidth="1"/>
    <col min="11533" max="11533" width="13.77734375" style="2939" customWidth="1"/>
    <col min="11534" max="11776" width="9" style="2939"/>
    <col min="11777" max="11777" width="4.88671875" style="2939" customWidth="1"/>
    <col min="11778" max="11778" width="13.21875" style="2939" customWidth="1"/>
    <col min="11779" max="11779" width="15.6640625" style="2939" customWidth="1"/>
    <col min="11780" max="11780" width="9.33203125" style="2939" bestFit="1" customWidth="1"/>
    <col min="11781" max="11781" width="13.44140625" style="2939" customWidth="1"/>
    <col min="11782" max="11782" width="9" style="2939"/>
    <col min="11783" max="11783" width="9.33203125" style="2939" bestFit="1" customWidth="1"/>
    <col min="11784" max="11785" width="9" style="2939"/>
    <col min="11786" max="11786" width="9.33203125" style="2939" bestFit="1" customWidth="1"/>
    <col min="11787" max="11787" width="4" style="2939" customWidth="1"/>
    <col min="11788" max="11788" width="5.109375" style="2939" customWidth="1"/>
    <col min="11789" max="11789" width="13.77734375" style="2939" customWidth="1"/>
    <col min="11790" max="12032" width="9" style="2939"/>
    <col min="12033" max="12033" width="4.88671875" style="2939" customWidth="1"/>
    <col min="12034" max="12034" width="13.21875" style="2939" customWidth="1"/>
    <col min="12035" max="12035" width="15.6640625" style="2939" customWidth="1"/>
    <col min="12036" max="12036" width="9.33203125" style="2939" bestFit="1" customWidth="1"/>
    <col min="12037" max="12037" width="13.44140625" style="2939" customWidth="1"/>
    <col min="12038" max="12038" width="9" style="2939"/>
    <col min="12039" max="12039" width="9.33203125" style="2939" bestFit="1" customWidth="1"/>
    <col min="12040" max="12041" width="9" style="2939"/>
    <col min="12042" max="12042" width="9.33203125" style="2939" bestFit="1" customWidth="1"/>
    <col min="12043" max="12043" width="4" style="2939" customWidth="1"/>
    <col min="12044" max="12044" width="5.109375" style="2939" customWidth="1"/>
    <col min="12045" max="12045" width="13.77734375" style="2939" customWidth="1"/>
    <col min="12046" max="12288" width="9" style="2939"/>
    <col min="12289" max="12289" width="4.88671875" style="2939" customWidth="1"/>
    <col min="12290" max="12290" width="13.21875" style="2939" customWidth="1"/>
    <col min="12291" max="12291" width="15.6640625" style="2939" customWidth="1"/>
    <col min="12292" max="12292" width="9.33203125" style="2939" bestFit="1" customWidth="1"/>
    <col min="12293" max="12293" width="13.44140625" style="2939" customWidth="1"/>
    <col min="12294" max="12294" width="9" style="2939"/>
    <col min="12295" max="12295" width="9.33203125" style="2939" bestFit="1" customWidth="1"/>
    <col min="12296" max="12297" width="9" style="2939"/>
    <col min="12298" max="12298" width="9.33203125" style="2939" bestFit="1" customWidth="1"/>
    <col min="12299" max="12299" width="4" style="2939" customWidth="1"/>
    <col min="12300" max="12300" width="5.109375" style="2939" customWidth="1"/>
    <col min="12301" max="12301" width="13.77734375" style="2939" customWidth="1"/>
    <col min="12302" max="12544" width="9" style="2939"/>
    <col min="12545" max="12545" width="4.88671875" style="2939" customWidth="1"/>
    <col min="12546" max="12546" width="13.21875" style="2939" customWidth="1"/>
    <col min="12547" max="12547" width="15.6640625" style="2939" customWidth="1"/>
    <col min="12548" max="12548" width="9.33203125" style="2939" bestFit="1" customWidth="1"/>
    <col min="12549" max="12549" width="13.44140625" style="2939" customWidth="1"/>
    <col min="12550" max="12550" width="9" style="2939"/>
    <col min="12551" max="12551" width="9.33203125" style="2939" bestFit="1" customWidth="1"/>
    <col min="12552" max="12553" width="9" style="2939"/>
    <col min="12554" max="12554" width="9.33203125" style="2939" bestFit="1" customWidth="1"/>
    <col min="12555" max="12555" width="4" style="2939" customWidth="1"/>
    <col min="12556" max="12556" width="5.109375" style="2939" customWidth="1"/>
    <col min="12557" max="12557" width="13.77734375" style="2939" customWidth="1"/>
    <col min="12558" max="12800" width="9" style="2939"/>
    <col min="12801" max="12801" width="4.88671875" style="2939" customWidth="1"/>
    <col min="12802" max="12802" width="13.21875" style="2939" customWidth="1"/>
    <col min="12803" max="12803" width="15.6640625" style="2939" customWidth="1"/>
    <col min="12804" max="12804" width="9.33203125" style="2939" bestFit="1" customWidth="1"/>
    <col min="12805" max="12805" width="13.44140625" style="2939" customWidth="1"/>
    <col min="12806" max="12806" width="9" style="2939"/>
    <col min="12807" max="12807" width="9.33203125" style="2939" bestFit="1" customWidth="1"/>
    <col min="12808" max="12809" width="9" style="2939"/>
    <col min="12810" max="12810" width="9.33203125" style="2939" bestFit="1" customWidth="1"/>
    <col min="12811" max="12811" width="4" style="2939" customWidth="1"/>
    <col min="12812" max="12812" width="5.109375" style="2939" customWidth="1"/>
    <col min="12813" max="12813" width="13.77734375" style="2939" customWidth="1"/>
    <col min="12814" max="13056" width="9" style="2939"/>
    <col min="13057" max="13057" width="4.88671875" style="2939" customWidth="1"/>
    <col min="13058" max="13058" width="13.21875" style="2939" customWidth="1"/>
    <col min="13059" max="13059" width="15.6640625" style="2939" customWidth="1"/>
    <col min="13060" max="13060" width="9.33203125" style="2939" bestFit="1" customWidth="1"/>
    <col min="13061" max="13061" width="13.44140625" style="2939" customWidth="1"/>
    <col min="13062" max="13062" width="9" style="2939"/>
    <col min="13063" max="13063" width="9.33203125" style="2939" bestFit="1" customWidth="1"/>
    <col min="13064" max="13065" width="9" style="2939"/>
    <col min="13066" max="13066" width="9.33203125" style="2939" bestFit="1" customWidth="1"/>
    <col min="13067" max="13067" width="4" style="2939" customWidth="1"/>
    <col min="13068" max="13068" width="5.109375" style="2939" customWidth="1"/>
    <col min="13069" max="13069" width="13.77734375" style="2939" customWidth="1"/>
    <col min="13070" max="13312" width="9" style="2939"/>
    <col min="13313" max="13313" width="4.88671875" style="2939" customWidth="1"/>
    <col min="13314" max="13314" width="13.21875" style="2939" customWidth="1"/>
    <col min="13315" max="13315" width="15.6640625" style="2939" customWidth="1"/>
    <col min="13316" max="13316" width="9.33203125" style="2939" bestFit="1" customWidth="1"/>
    <col min="13317" max="13317" width="13.44140625" style="2939" customWidth="1"/>
    <col min="13318" max="13318" width="9" style="2939"/>
    <col min="13319" max="13319" width="9.33203125" style="2939" bestFit="1" customWidth="1"/>
    <col min="13320" max="13321" width="9" style="2939"/>
    <col min="13322" max="13322" width="9.33203125" style="2939" bestFit="1" customWidth="1"/>
    <col min="13323" max="13323" width="4" style="2939" customWidth="1"/>
    <col min="13324" max="13324" width="5.109375" style="2939" customWidth="1"/>
    <col min="13325" max="13325" width="13.77734375" style="2939" customWidth="1"/>
    <col min="13326" max="13568" width="9" style="2939"/>
    <col min="13569" max="13569" width="4.88671875" style="2939" customWidth="1"/>
    <col min="13570" max="13570" width="13.21875" style="2939" customWidth="1"/>
    <col min="13571" max="13571" width="15.6640625" style="2939" customWidth="1"/>
    <col min="13572" max="13572" width="9.33203125" style="2939" bestFit="1" customWidth="1"/>
    <col min="13573" max="13573" width="13.44140625" style="2939" customWidth="1"/>
    <col min="13574" max="13574" width="9" style="2939"/>
    <col min="13575" max="13575" width="9.33203125" style="2939" bestFit="1" customWidth="1"/>
    <col min="13576" max="13577" width="9" style="2939"/>
    <col min="13578" max="13578" width="9.33203125" style="2939" bestFit="1" customWidth="1"/>
    <col min="13579" max="13579" width="4" style="2939" customWidth="1"/>
    <col min="13580" max="13580" width="5.109375" style="2939" customWidth="1"/>
    <col min="13581" max="13581" width="13.77734375" style="2939" customWidth="1"/>
    <col min="13582" max="13824" width="9" style="2939"/>
    <col min="13825" max="13825" width="4.88671875" style="2939" customWidth="1"/>
    <col min="13826" max="13826" width="13.21875" style="2939" customWidth="1"/>
    <col min="13827" max="13827" width="15.6640625" style="2939" customWidth="1"/>
    <col min="13828" max="13828" width="9.33203125" style="2939" bestFit="1" customWidth="1"/>
    <col min="13829" max="13829" width="13.44140625" style="2939" customWidth="1"/>
    <col min="13830" max="13830" width="9" style="2939"/>
    <col min="13831" max="13831" width="9.33203125" style="2939" bestFit="1" customWidth="1"/>
    <col min="13832" max="13833" width="9" style="2939"/>
    <col min="13834" max="13834" width="9.33203125" style="2939" bestFit="1" customWidth="1"/>
    <col min="13835" max="13835" width="4" style="2939" customWidth="1"/>
    <col min="13836" max="13836" width="5.109375" style="2939" customWidth="1"/>
    <col min="13837" max="13837" width="13.77734375" style="2939" customWidth="1"/>
    <col min="13838" max="14080" width="9" style="2939"/>
    <col min="14081" max="14081" width="4.88671875" style="2939" customWidth="1"/>
    <col min="14082" max="14082" width="13.21875" style="2939" customWidth="1"/>
    <col min="14083" max="14083" width="15.6640625" style="2939" customWidth="1"/>
    <col min="14084" max="14084" width="9.33203125" style="2939" bestFit="1" customWidth="1"/>
    <col min="14085" max="14085" width="13.44140625" style="2939" customWidth="1"/>
    <col min="14086" max="14086" width="9" style="2939"/>
    <col min="14087" max="14087" width="9.33203125" style="2939" bestFit="1" customWidth="1"/>
    <col min="14088" max="14089" width="9" style="2939"/>
    <col min="14090" max="14090" width="9.33203125" style="2939" bestFit="1" customWidth="1"/>
    <col min="14091" max="14091" width="4" style="2939" customWidth="1"/>
    <col min="14092" max="14092" width="5.109375" style="2939" customWidth="1"/>
    <col min="14093" max="14093" width="13.77734375" style="2939" customWidth="1"/>
    <col min="14094" max="14336" width="9" style="2939"/>
    <col min="14337" max="14337" width="4.88671875" style="2939" customWidth="1"/>
    <col min="14338" max="14338" width="13.21875" style="2939" customWidth="1"/>
    <col min="14339" max="14339" width="15.6640625" style="2939" customWidth="1"/>
    <col min="14340" max="14340" width="9.33203125" style="2939" bestFit="1" customWidth="1"/>
    <col min="14341" max="14341" width="13.44140625" style="2939" customWidth="1"/>
    <col min="14342" max="14342" width="9" style="2939"/>
    <col min="14343" max="14343" width="9.33203125" style="2939" bestFit="1" customWidth="1"/>
    <col min="14344" max="14345" width="9" style="2939"/>
    <col min="14346" max="14346" width="9.33203125" style="2939" bestFit="1" customWidth="1"/>
    <col min="14347" max="14347" width="4" style="2939" customWidth="1"/>
    <col min="14348" max="14348" width="5.109375" style="2939" customWidth="1"/>
    <col min="14349" max="14349" width="13.77734375" style="2939" customWidth="1"/>
    <col min="14350" max="14592" width="9" style="2939"/>
    <col min="14593" max="14593" width="4.88671875" style="2939" customWidth="1"/>
    <col min="14594" max="14594" width="13.21875" style="2939" customWidth="1"/>
    <col min="14595" max="14595" width="15.6640625" style="2939" customWidth="1"/>
    <col min="14596" max="14596" width="9.33203125" style="2939" bestFit="1" customWidth="1"/>
    <col min="14597" max="14597" width="13.44140625" style="2939" customWidth="1"/>
    <col min="14598" max="14598" width="9" style="2939"/>
    <col min="14599" max="14599" width="9.33203125" style="2939" bestFit="1" customWidth="1"/>
    <col min="14600" max="14601" width="9" style="2939"/>
    <col min="14602" max="14602" width="9.33203125" style="2939" bestFit="1" customWidth="1"/>
    <col min="14603" max="14603" width="4" style="2939" customWidth="1"/>
    <col min="14604" max="14604" width="5.109375" style="2939" customWidth="1"/>
    <col min="14605" max="14605" width="13.77734375" style="2939" customWidth="1"/>
    <col min="14606" max="14848" width="9" style="2939"/>
    <col min="14849" max="14849" width="4.88671875" style="2939" customWidth="1"/>
    <col min="14850" max="14850" width="13.21875" style="2939" customWidth="1"/>
    <col min="14851" max="14851" width="15.6640625" style="2939" customWidth="1"/>
    <col min="14852" max="14852" width="9.33203125" style="2939" bestFit="1" customWidth="1"/>
    <col min="14853" max="14853" width="13.44140625" style="2939" customWidth="1"/>
    <col min="14854" max="14854" width="9" style="2939"/>
    <col min="14855" max="14855" width="9.33203125" style="2939" bestFit="1" customWidth="1"/>
    <col min="14856" max="14857" width="9" style="2939"/>
    <col min="14858" max="14858" width="9.33203125" style="2939" bestFit="1" customWidth="1"/>
    <col min="14859" max="14859" width="4" style="2939" customWidth="1"/>
    <col min="14860" max="14860" width="5.109375" style="2939" customWidth="1"/>
    <col min="14861" max="14861" width="13.77734375" style="2939" customWidth="1"/>
    <col min="14862" max="15104" width="9" style="2939"/>
    <col min="15105" max="15105" width="4.88671875" style="2939" customWidth="1"/>
    <col min="15106" max="15106" width="13.21875" style="2939" customWidth="1"/>
    <col min="15107" max="15107" width="15.6640625" style="2939" customWidth="1"/>
    <col min="15108" max="15108" width="9.33203125" style="2939" bestFit="1" customWidth="1"/>
    <col min="15109" max="15109" width="13.44140625" style="2939" customWidth="1"/>
    <col min="15110" max="15110" width="9" style="2939"/>
    <col min="15111" max="15111" width="9.33203125" style="2939" bestFit="1" customWidth="1"/>
    <col min="15112" max="15113" width="9" style="2939"/>
    <col min="15114" max="15114" width="9.33203125" style="2939" bestFit="1" customWidth="1"/>
    <col min="15115" max="15115" width="4" style="2939" customWidth="1"/>
    <col min="15116" max="15116" width="5.109375" style="2939" customWidth="1"/>
    <col min="15117" max="15117" width="13.77734375" style="2939" customWidth="1"/>
    <col min="15118" max="15360" width="9" style="2939"/>
    <col min="15361" max="15361" width="4.88671875" style="2939" customWidth="1"/>
    <col min="15362" max="15362" width="13.21875" style="2939" customWidth="1"/>
    <col min="15363" max="15363" width="15.6640625" style="2939" customWidth="1"/>
    <col min="15364" max="15364" width="9.33203125" style="2939" bestFit="1" customWidth="1"/>
    <col min="15365" max="15365" width="13.44140625" style="2939" customWidth="1"/>
    <col min="15366" max="15366" width="9" style="2939"/>
    <col min="15367" max="15367" width="9.33203125" style="2939" bestFit="1" customWidth="1"/>
    <col min="15368" max="15369" width="9" style="2939"/>
    <col min="15370" max="15370" width="9.33203125" style="2939" bestFit="1" customWidth="1"/>
    <col min="15371" max="15371" width="4" style="2939" customWidth="1"/>
    <col min="15372" max="15372" width="5.109375" style="2939" customWidth="1"/>
    <col min="15373" max="15373" width="13.77734375" style="2939" customWidth="1"/>
    <col min="15374" max="15616" width="9" style="2939"/>
    <col min="15617" max="15617" width="4.88671875" style="2939" customWidth="1"/>
    <col min="15618" max="15618" width="13.21875" style="2939" customWidth="1"/>
    <col min="15619" max="15619" width="15.6640625" style="2939" customWidth="1"/>
    <col min="15620" max="15620" width="9.33203125" style="2939" bestFit="1" customWidth="1"/>
    <col min="15621" max="15621" width="13.44140625" style="2939" customWidth="1"/>
    <col min="15622" max="15622" width="9" style="2939"/>
    <col min="15623" max="15623" width="9.33203125" style="2939" bestFit="1" customWidth="1"/>
    <col min="15624" max="15625" width="9" style="2939"/>
    <col min="15626" max="15626" width="9.33203125" style="2939" bestFit="1" customWidth="1"/>
    <col min="15627" max="15627" width="4" style="2939" customWidth="1"/>
    <col min="15628" max="15628" width="5.109375" style="2939" customWidth="1"/>
    <col min="15629" max="15629" width="13.77734375" style="2939" customWidth="1"/>
    <col min="15630" max="15872" width="9" style="2939"/>
    <col min="15873" max="15873" width="4.88671875" style="2939" customWidth="1"/>
    <col min="15874" max="15874" width="13.21875" style="2939" customWidth="1"/>
    <col min="15875" max="15875" width="15.6640625" style="2939" customWidth="1"/>
    <col min="15876" max="15876" width="9.33203125" style="2939" bestFit="1" customWidth="1"/>
    <col min="15877" max="15877" width="13.44140625" style="2939" customWidth="1"/>
    <col min="15878" max="15878" width="9" style="2939"/>
    <col min="15879" max="15879" width="9.33203125" style="2939" bestFit="1" customWidth="1"/>
    <col min="15880" max="15881" width="9" style="2939"/>
    <col min="15882" max="15882" width="9.33203125" style="2939" bestFit="1" customWidth="1"/>
    <col min="15883" max="15883" width="4" style="2939" customWidth="1"/>
    <col min="15884" max="15884" width="5.109375" style="2939" customWidth="1"/>
    <col min="15885" max="15885" width="13.77734375" style="2939" customWidth="1"/>
    <col min="15886" max="16128" width="9" style="2939"/>
    <col min="16129" max="16129" width="4.88671875" style="2939" customWidth="1"/>
    <col min="16130" max="16130" width="13.21875" style="2939" customWidth="1"/>
    <col min="16131" max="16131" width="15.6640625" style="2939" customWidth="1"/>
    <col min="16132" max="16132" width="9.33203125" style="2939" bestFit="1" customWidth="1"/>
    <col min="16133" max="16133" width="13.44140625" style="2939" customWidth="1"/>
    <col min="16134" max="16134" width="9" style="2939"/>
    <col min="16135" max="16135" width="9.33203125" style="2939" bestFit="1" customWidth="1"/>
    <col min="16136" max="16137" width="9" style="2939"/>
    <col min="16138" max="16138" width="9.33203125" style="2939" bestFit="1" customWidth="1"/>
    <col min="16139" max="16139" width="4" style="2939" customWidth="1"/>
    <col min="16140" max="16140" width="5.109375" style="2939" customWidth="1"/>
    <col min="16141" max="16141" width="13.77734375" style="2939" customWidth="1"/>
    <col min="16142" max="16384" width="9" style="2939"/>
  </cols>
  <sheetData>
    <row r="1" spans="1:257" s="2999" customFormat="1" ht="15" thickBot="1">
      <c r="A1" s="2998"/>
      <c r="B1" s="3000" t="s">
        <v>2785</v>
      </c>
      <c r="C1" s="3004">
        <f>项目基本情况!D3</f>
        <v>43626</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6" thickTop="1" thickBot="1">
      <c r="A2" s="2940"/>
      <c r="B2" s="3001" t="s">
        <v>2816</v>
      </c>
      <c r="C2" s="3005">
        <f>'数据-取费表'!B22</f>
        <v>3</v>
      </c>
      <c r="D2" s="3000" t="s">
        <v>2786</v>
      </c>
      <c r="E2" s="3003">
        <f ca="1">INDIRECT("I"&amp;$I$1)/100</f>
        <v>4.7500000000000001E-2</v>
      </c>
      <c r="G2" s="2940"/>
      <c r="H2" s="2940"/>
      <c r="I2" s="2940" t="s">
        <v>2787</v>
      </c>
      <c r="K2" s="2940"/>
      <c r="L2" s="2940"/>
      <c r="M2" s="2940"/>
      <c r="N2" s="2940" t="s">
        <v>2788</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2818</v>
      </c>
      <c r="C3" s="3002">
        <f>'数据-取费表'!B19</f>
        <v>0</v>
      </c>
      <c r="D3" s="3000" t="s">
        <v>2786</v>
      </c>
      <c r="E3" s="3003">
        <f ca="1">INDIRECT("J"&amp;$J$1)/100</f>
        <v>0</v>
      </c>
      <c r="G3" s="2942" t="s">
        <v>2789</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2817</v>
      </c>
      <c r="C4" s="3003">
        <f ca="1">N4/100</f>
        <v>1.4999999999999999E-2</v>
      </c>
      <c r="G4" s="2948" t="s">
        <v>2790</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2791</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2792</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5" thickBot="1">
      <c r="A7" s="2941"/>
      <c r="G7" s="2953" t="s">
        <v>2793</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399999999999999">
      <c r="A9" s="2961"/>
      <c r="B9" s="2962" t="s">
        <v>2794</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2">
      <c r="A10" s="2967"/>
      <c r="B10" s="2968" t="s">
        <v>2795</v>
      </c>
      <c r="C10" s="2967"/>
      <c r="D10" s="2967"/>
      <c r="E10" s="2967"/>
      <c r="F10" s="2967"/>
      <c r="G10" s="2967"/>
      <c r="H10" s="2967"/>
      <c r="I10" s="2941"/>
      <c r="J10" s="2941"/>
      <c r="K10" s="2967"/>
      <c r="L10" s="2968" t="s">
        <v>2796</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2797</v>
      </c>
      <c r="C11" s="2972" t="s">
        <v>2798</v>
      </c>
      <c r="D11" s="2973" t="s">
        <v>2799</v>
      </c>
      <c r="E11" s="2974"/>
      <c r="F11" s="2973" t="s">
        <v>2800</v>
      </c>
      <c r="G11" s="2975"/>
      <c r="H11" s="2974"/>
      <c r="I11" s="2973" t="s">
        <v>2801</v>
      </c>
      <c r="J11" s="2974"/>
      <c r="K11" s="2970"/>
      <c r="L11" s="2971" t="s">
        <v>2797</v>
      </c>
      <c r="M11" s="2972" t="s">
        <v>2798</v>
      </c>
      <c r="N11" s="2971" t="s">
        <v>2802</v>
      </c>
      <c r="O11" s="2973" t="s">
        <v>2803</v>
      </c>
      <c r="P11" s="2975"/>
      <c r="Q11" s="2975"/>
      <c r="R11" s="2975"/>
      <c r="S11" s="2975"/>
      <c r="T11" s="2974"/>
      <c r="U11" s="2973" t="s">
        <v>2804</v>
      </c>
      <c r="V11" s="2975"/>
      <c r="W11" s="2974"/>
      <c r="X11" s="2971" t="s">
        <v>2805</v>
      </c>
      <c r="Y11" s="2971" t="s">
        <v>2806</v>
      </c>
      <c r="Z11" s="2971" t="s">
        <v>2807</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2808</v>
      </c>
      <c r="E12" s="2980" t="s">
        <v>2809</v>
      </c>
      <c r="F12" s="2980" t="s">
        <v>2810</v>
      </c>
      <c r="G12" s="2980" t="s">
        <v>2811</v>
      </c>
      <c r="H12" s="2980" t="s">
        <v>2793</v>
      </c>
      <c r="I12" s="2981" t="s">
        <v>2812</v>
      </c>
      <c r="J12" s="2981" t="s">
        <v>2812</v>
      </c>
      <c r="K12" s="2977"/>
      <c r="L12" s="2978"/>
      <c r="M12" s="2979"/>
      <c r="N12" s="2978"/>
      <c r="O12" s="2981" t="s">
        <v>2813</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31.2">
      <c r="A13" s="2983"/>
      <c r="B13" s="2984" t="s">
        <v>2814</v>
      </c>
      <c r="C13" s="2985">
        <v>42301</v>
      </c>
      <c r="D13" s="2986">
        <v>4.3499999999999996</v>
      </c>
      <c r="E13" s="2986">
        <v>4.3499999999999996</v>
      </c>
      <c r="F13" s="2986">
        <v>4.75</v>
      </c>
      <c r="G13" s="2986">
        <v>4.75</v>
      </c>
      <c r="H13" s="2986">
        <v>4.9000000000000004</v>
      </c>
      <c r="I13" s="2986">
        <v>2.75</v>
      </c>
      <c r="J13" s="2986">
        <v>3.25</v>
      </c>
      <c r="K13" s="2983"/>
      <c r="L13" s="2984" t="s">
        <v>2814</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6.8">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2815</v>
      </c>
      <c r="Y42" s="2990" t="s">
        <v>2815</v>
      </c>
      <c r="Z42" s="2990" t="s">
        <v>2815</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2815</v>
      </c>
      <c r="Y43" s="2990" t="s">
        <v>2815</v>
      </c>
      <c r="Z43" s="2990" t="s">
        <v>2815</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2815</v>
      </c>
      <c r="Y44" s="2990" t="s">
        <v>2815</v>
      </c>
      <c r="Z44" s="2990" t="s">
        <v>2815</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2815</v>
      </c>
      <c r="Y45" s="2990" t="s">
        <v>2815</v>
      </c>
      <c r="Z45" s="2990" t="s">
        <v>2815</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2815</v>
      </c>
      <c r="Y46" s="2990" t="s">
        <v>2815</v>
      </c>
      <c r="Z46" s="2990" t="s">
        <v>2815</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2815</v>
      </c>
      <c r="Y47" s="2990" t="s">
        <v>2815</v>
      </c>
      <c r="Z47" s="2990" t="s">
        <v>2815</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2815</v>
      </c>
      <c r="Y48" s="2990" t="s">
        <v>2815</v>
      </c>
      <c r="Z48" s="2990" t="s">
        <v>2815</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2815</v>
      </c>
      <c r="Y49" s="2990" t="s">
        <v>2815</v>
      </c>
      <c r="Z49" s="2990" t="s">
        <v>2815</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2815</v>
      </c>
      <c r="Y50" s="2990" t="s">
        <v>2815</v>
      </c>
      <c r="Z50" s="2990" t="s">
        <v>2815</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2815</v>
      </c>
      <c r="V51" s="2990" t="s">
        <v>2815</v>
      </c>
      <c r="W51" s="2990" t="s">
        <v>2815</v>
      </c>
      <c r="X51" s="2990" t="s">
        <v>2815</v>
      </c>
      <c r="Y51" s="2990" t="s">
        <v>2815</v>
      </c>
      <c r="Z51" s="2990" t="s">
        <v>2815</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2815</v>
      </c>
      <c r="J55" s="2990" t="s">
        <v>2815</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85" t="s">
        <v>2039</v>
      </c>
      <c r="B1" s="3285"/>
      <c r="C1" s="3285"/>
      <c r="D1" s="3285"/>
      <c r="E1" s="3285"/>
      <c r="F1" s="3285"/>
      <c r="G1" s="3285"/>
      <c r="H1" s="3285"/>
      <c r="I1" s="3285"/>
      <c r="J1" s="3285"/>
      <c r="K1" s="3285"/>
      <c r="L1" s="3285"/>
      <c r="M1" s="3285"/>
      <c r="N1" s="3285"/>
      <c r="O1" s="3285"/>
      <c r="P1" s="3285"/>
      <c r="Q1" s="3285"/>
      <c r="R1" s="3285"/>
    </row>
    <row r="2" spans="1:18">
      <c r="A2" s="1807" t="s">
        <v>2041</v>
      </c>
      <c r="B2" s="1807"/>
      <c r="C2" s="1807"/>
      <c r="D2" s="1807"/>
      <c r="E2" s="1807"/>
      <c r="F2" s="1807"/>
      <c r="G2" s="1807"/>
      <c r="H2" s="1807"/>
      <c r="I2" s="1808"/>
      <c r="J2" s="1808"/>
      <c r="K2" s="1809" t="str">
        <f>"估价期日："&amp;TEXT(项目基本情况!D3,"yyyy年m月d日;;")</f>
        <v>估价期日：2019年6月10日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6" t="s">
        <v>2030</v>
      </c>
      <c r="B3" s="3286" t="s">
        <v>2728</v>
      </c>
      <c r="C3" s="3287" t="s">
        <v>2031</v>
      </c>
      <c r="D3" s="3286" t="s">
        <v>2732</v>
      </c>
      <c r="E3" s="3289" t="s">
        <v>2032</v>
      </c>
      <c r="F3" s="3289"/>
      <c r="G3" s="3289"/>
      <c r="H3" s="3289" t="s">
        <v>2033</v>
      </c>
      <c r="I3" s="3289"/>
      <c r="J3" s="3289"/>
      <c r="K3" s="3287" t="s">
        <v>2034</v>
      </c>
      <c r="L3" s="3287" t="s">
        <v>2035</v>
      </c>
      <c r="M3" s="3286" t="s">
        <v>2729</v>
      </c>
      <c r="N3" s="3288" t="str">
        <f>"（分摊）"&amp;项目基本情况!B16&amp;"国有建设用地使用权面积/㎡"</f>
        <v>（分摊）出让国有建设用地使用权面积/㎡</v>
      </c>
      <c r="O3" s="3286" t="s">
        <v>2064</v>
      </c>
      <c r="P3" s="3287" t="s">
        <v>2044</v>
      </c>
      <c r="Q3" s="3287" t="s">
        <v>2065</v>
      </c>
      <c r="R3" s="3287" t="s">
        <v>2036</v>
      </c>
    </row>
    <row r="4" spans="1:18" ht="36.75" customHeight="1">
      <c r="A4" s="3286"/>
      <c r="B4" s="3286"/>
      <c r="C4" s="3287"/>
      <c r="D4" s="3286"/>
      <c r="E4" s="2649" t="s">
        <v>2043</v>
      </c>
      <c r="F4" s="2649" t="s">
        <v>2741</v>
      </c>
      <c r="G4" s="2649" t="s">
        <v>2037</v>
      </c>
      <c r="H4" s="2649" t="s">
        <v>2038</v>
      </c>
      <c r="I4" s="2649" t="s">
        <v>2742</v>
      </c>
      <c r="J4" s="2649" t="s">
        <v>2037</v>
      </c>
      <c r="K4" s="3287"/>
      <c r="L4" s="3287"/>
      <c r="M4" s="3286"/>
      <c r="N4" s="3288"/>
      <c r="O4" s="3286"/>
      <c r="P4" s="3287"/>
      <c r="Q4" s="3287"/>
      <c r="R4" s="3287"/>
    </row>
    <row r="5" spans="1:18" ht="135" customHeight="1">
      <c r="A5" s="1943" t="s">
        <v>2652</v>
      </c>
      <c r="B5" s="2867" t="s">
        <v>2650</v>
      </c>
      <c r="C5" s="2648">
        <v>22</v>
      </c>
      <c r="D5" s="2647" t="s">
        <v>2651</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68029</v>
      </c>
      <c r="O5" s="1810">
        <f>项目基本情况!C21</f>
        <v>102043.5</v>
      </c>
      <c r="P5" s="1810">
        <f ca="1">结果表!E42</f>
        <v>5677</v>
      </c>
      <c r="Q5" s="1810">
        <f ca="1">结果表!D42</f>
        <v>3785</v>
      </c>
      <c r="R5" s="1811">
        <f ca="1">结果表!C42</f>
        <v>38623</v>
      </c>
    </row>
    <row r="6" spans="1:18">
      <c r="A6" s="3282" t="str">
        <f>IF(项目基本情况!B9="市场价格","——","抵押价格")</f>
        <v>抵押价格</v>
      </c>
      <c r="B6" s="3283"/>
      <c r="C6" s="3283"/>
      <c r="D6" s="3283"/>
      <c r="E6" s="3283"/>
      <c r="F6" s="3283"/>
      <c r="G6" s="3283"/>
      <c r="H6" s="3283"/>
      <c r="I6" s="3283"/>
      <c r="J6" s="3283"/>
      <c r="K6" s="3283"/>
      <c r="L6" s="3283"/>
      <c r="M6" s="3283"/>
      <c r="N6" s="3283"/>
      <c r="O6" s="3283"/>
      <c r="P6" s="3283"/>
      <c r="Q6" s="3284"/>
      <c r="R6" s="1812">
        <f ca="1">结果表!O39</f>
        <v>38623</v>
      </c>
    </row>
    <row r="7" spans="1:18">
      <c r="A7" s="3282" t="str">
        <f>IF(项目基本情况!B9="市场价格","——",IF(项目基本情况!E8="已注销及未注销","抵押担保权已注销时的抵押价格","——"))</f>
        <v>——</v>
      </c>
      <c r="B7" s="3283"/>
      <c r="C7" s="3283"/>
      <c r="D7" s="3283"/>
      <c r="E7" s="3283"/>
      <c r="F7" s="3283"/>
      <c r="G7" s="3283"/>
      <c r="H7" s="3283"/>
      <c r="I7" s="3283"/>
      <c r="J7" s="3283"/>
      <c r="K7" s="3283"/>
      <c r="L7" s="3283"/>
      <c r="M7" s="3283"/>
      <c r="N7" s="3283"/>
      <c r="O7" s="3283"/>
      <c r="P7" s="3283"/>
      <c r="Q7" s="3284"/>
      <c r="R7" s="1812" t="str">
        <f>结果表!O40</f>
        <v>——</v>
      </c>
    </row>
    <row r="8" spans="1:18">
      <c r="A8" s="3282">
        <f>IF(项目基本情况!B9="市场价格","——",项目基本情况!E9)</f>
        <v>0</v>
      </c>
      <c r="B8" s="3283"/>
      <c r="C8" s="3283"/>
      <c r="D8" s="3283"/>
      <c r="E8" s="3283"/>
      <c r="F8" s="3283"/>
      <c r="G8" s="3283"/>
      <c r="H8" s="3283"/>
      <c r="I8" s="3283"/>
      <c r="J8" s="3283"/>
      <c r="K8" s="3283"/>
      <c r="L8" s="3283"/>
      <c r="M8" s="3283"/>
      <c r="N8" s="3283"/>
      <c r="O8" s="3283"/>
      <c r="P8" s="3283"/>
      <c r="Q8" s="3284"/>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77734375" style="1802" customWidth="1"/>
    <col min="2" max="3" width="21.33203125" style="1802" customWidth="1"/>
    <col min="4" max="4" width="19.88671875" style="1802" customWidth="1"/>
    <col min="5" max="16384" width="9" style="1802"/>
  </cols>
  <sheetData>
    <row r="1" spans="1:4">
      <c r="A1" s="3290" t="s">
        <v>2066</v>
      </c>
      <c r="B1" s="3290"/>
      <c r="C1" s="3290"/>
      <c r="D1" s="3290"/>
    </row>
    <row r="2" spans="1:4" ht="47.25" customHeight="1">
      <c r="A2" s="3294" t="str">
        <f>"1.权利限制："&amp;项目基本情况!L24&amp;"未设定租赁等其他他项权利。"</f>
        <v>1.权利限制：根据估价对象《不动产权证书》原件、《国有土地使用权》复印件，截至估价期日，估价对象抵押权未见登记。未设定租赁等其他他项权利。</v>
      </c>
      <c r="B2" s="3294"/>
      <c r="C2" s="3294"/>
      <c r="D2" s="3294"/>
    </row>
    <row r="3" spans="1:4" ht="48" customHeight="1">
      <c r="A3" s="329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90"/>
      <c r="C3" s="3290"/>
      <c r="D3" s="3290"/>
    </row>
    <row r="4" spans="1:4" ht="36.75" customHeight="1">
      <c r="A4" s="3290" t="str">
        <f>"3.估价规划限制条件：详见"&amp;项目基本情况!E21&amp;"。"</f>
        <v>3.估价规划限制条件：详见《建设工程规划许可证》[]、《出让合同》[]。</v>
      </c>
      <c r="B4" s="3290"/>
      <c r="C4" s="3290"/>
      <c r="D4" s="3290"/>
    </row>
    <row r="5" spans="1:4">
      <c r="A5" s="3293" t="s">
        <v>2067</v>
      </c>
      <c r="B5" s="3293"/>
      <c r="C5" s="3293"/>
      <c r="D5" s="3293"/>
    </row>
    <row r="6" spans="1:4">
      <c r="A6" s="3290" t="s">
        <v>2045</v>
      </c>
      <c r="B6" s="3290"/>
      <c r="C6" s="3290"/>
      <c r="D6" s="3290"/>
    </row>
    <row r="7" spans="1:4" ht="33" customHeight="1">
      <c r="A7" s="3290" t="s">
        <v>2573</v>
      </c>
      <c r="B7" s="3290"/>
      <c r="C7" s="3290"/>
      <c r="D7" s="3290"/>
    </row>
    <row r="8" spans="1:4" ht="32.25" customHeight="1">
      <c r="A8" s="32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0"/>
      <c r="C8" s="3290"/>
      <c r="D8" s="3290"/>
    </row>
    <row r="9" spans="1:4" ht="33.75" customHeight="1">
      <c r="A9" s="32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0"/>
      <c r="C9" s="3290"/>
      <c r="D9" s="3290"/>
    </row>
    <row r="10" spans="1:4">
      <c r="A10" s="3290" t="str">
        <f>IF(项目基本情况!B8="抵押","4.估价师所知悉的法定优先受偿款情况为：","——")</f>
        <v>4.估价师所知悉的法定优先受偿款情况为：</v>
      </c>
      <c r="B10" s="3290"/>
      <c r="C10" s="3290"/>
      <c r="D10" s="3290"/>
    </row>
    <row r="11" spans="1:4" ht="37.5" customHeight="1">
      <c r="A11" s="32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2"/>
      <c r="C11" s="3292"/>
      <c r="D11" s="3292"/>
    </row>
    <row r="12" spans="1:4" ht="168" customHeight="1">
      <c r="A12" s="3293" t="s">
        <v>2069</v>
      </c>
      <c r="B12" s="3293"/>
      <c r="C12" s="3293"/>
      <c r="D12" s="3293"/>
    </row>
    <row r="13" spans="1:4">
      <c r="A13" s="3291" t="s">
        <v>2743</v>
      </c>
      <c r="B13" s="3291"/>
      <c r="C13" s="3291"/>
      <c r="D13" s="3291"/>
    </row>
    <row r="14" spans="1:4">
      <c r="A14" s="3292" t="str">
        <f>IF(项目基本情况!B8="抵押","综上，"&amp;结果表!K47,"——")</f>
        <v>综上，本次评估不存在估价师知悉的法定优先受偿款</v>
      </c>
      <c r="B14" s="3292"/>
      <c r="C14" s="3292"/>
      <c r="D14" s="3292"/>
    </row>
    <row r="15" spans="1:4" ht="58.5" customHeight="1">
      <c r="A15" s="32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0"/>
      <c r="C15" s="3290"/>
      <c r="D15" s="3290"/>
    </row>
    <row r="16" spans="1:4" ht="70.5" customHeight="1">
      <c r="A16" s="32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0"/>
      <c r="C16" s="3290"/>
      <c r="D16" s="3290"/>
    </row>
    <row r="17" spans="1:4">
      <c r="A17" s="3290" t="s">
        <v>2699</v>
      </c>
      <c r="B17" s="3290"/>
      <c r="C17" s="3290"/>
      <c r="D17" s="3290"/>
    </row>
    <row r="18" spans="1:4">
      <c r="A18" s="3290" t="s">
        <v>2691</v>
      </c>
      <c r="B18" s="3290"/>
      <c r="C18" s="3290"/>
      <c r="D18" s="3290"/>
    </row>
    <row r="19" spans="1:4">
      <c r="A19" s="2868" t="s">
        <v>2692</v>
      </c>
      <c r="B19" s="2868" t="s">
        <v>2693</v>
      </c>
      <c r="C19" s="2868" t="s">
        <v>2694</v>
      </c>
      <c r="D19" s="2868" t="s">
        <v>2695</v>
      </c>
    </row>
    <row r="20" spans="1:4">
      <c r="A20" s="2868" t="str">
        <f>项目基本情况!B4</f>
        <v>土地估价师</v>
      </c>
      <c r="B20" s="2868">
        <f>项目基本情况!C4</f>
        <v>0</v>
      </c>
      <c r="C20" s="2870"/>
      <c r="D20" s="1800" t="s">
        <v>2700</v>
      </c>
    </row>
    <row r="21" spans="1:4">
      <c r="A21" s="2868" t="str">
        <f>项目基本情况!D4</f>
        <v>土地估价师</v>
      </c>
      <c r="B21" s="2868">
        <f>项目基本情况!E4</f>
        <v>0</v>
      </c>
      <c r="C21" s="2870"/>
      <c r="D21" s="1800" t="s">
        <v>2701</v>
      </c>
    </row>
    <row r="23" spans="1:4">
      <c r="A23" s="3290" t="s">
        <v>2696</v>
      </c>
      <c r="B23" s="3290"/>
      <c r="C23" s="3290"/>
      <c r="D23" s="3290"/>
    </row>
    <row r="24" spans="1:4">
      <c r="A24" s="2868" t="s">
        <v>2692</v>
      </c>
      <c r="B24" s="2868" t="s">
        <v>2697</v>
      </c>
      <c r="C24" s="2868" t="s">
        <v>2694</v>
      </c>
      <c r="D24" s="2868" t="s">
        <v>2695</v>
      </c>
    </row>
    <row r="25" spans="1:4">
      <c r="A25" s="2871" t="s">
        <v>2698</v>
      </c>
      <c r="B25" s="2868" t="s">
        <v>951</v>
      </c>
      <c r="C25" s="2870"/>
      <c r="D25" s="1800" t="s">
        <v>2701</v>
      </c>
    </row>
    <row r="29" spans="1:4">
      <c r="D29" s="2869" t="s">
        <v>2040</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4">
      <c r="A15" s="3302" t="s">
        <v>53</v>
      </c>
      <c r="B15" s="3303" t="s">
        <v>845</v>
      </c>
      <c r="C15" s="3299"/>
    </row>
    <row r="16" spans="1:7" ht="14.4">
      <c r="A16" s="3302"/>
      <c r="B16" s="3300" t="s">
        <v>54</v>
      </c>
      <c r="C16" s="1172" t="s">
        <v>53</v>
      </c>
    </row>
    <row r="17" spans="1:3" ht="14.4">
      <c r="A17" s="3302"/>
      <c r="B17" s="3300"/>
      <c r="C17" s="1172" t="s">
        <v>55</v>
      </c>
    </row>
    <row r="18" spans="1:3" ht="14.4">
      <c r="A18" s="3302"/>
      <c r="B18" s="3300"/>
      <c r="C18" s="1172" t="s">
        <v>56</v>
      </c>
    </row>
    <row r="19" spans="1:3" ht="14.4">
      <c r="A19" s="3302"/>
      <c r="B19" s="3298" t="s">
        <v>57</v>
      </c>
      <c r="C19" s="3299"/>
    </row>
    <row r="20" spans="1:3" ht="14.4">
      <c r="A20" s="1173" t="s">
        <v>58</v>
      </c>
      <c r="B20" s="1174"/>
      <c r="C20" s="1175"/>
    </row>
    <row r="21" spans="1:3" ht="14.4">
      <c r="A21" s="3301" t="s">
        <v>59</v>
      </c>
      <c r="B21" s="3298" t="s">
        <v>60</v>
      </c>
      <c r="C21" s="3299"/>
    </row>
    <row r="22" spans="1:3" ht="14.4">
      <c r="A22" s="3301"/>
      <c r="B22" s="3298" t="s">
        <v>61</v>
      </c>
      <c r="C22" s="3299"/>
    </row>
    <row r="23" spans="1:3" ht="14.4">
      <c r="A23" s="3301"/>
      <c r="B23" s="3298" t="s">
        <v>62</v>
      </c>
      <c r="C23" s="3299"/>
    </row>
    <row r="24" spans="1:3" ht="14.4">
      <c r="A24" s="3301"/>
      <c r="B24" s="3304" t="s">
        <v>63</v>
      </c>
      <c r="C24" s="1176" t="s">
        <v>836</v>
      </c>
    </row>
    <row r="25" spans="1:3" ht="14.4">
      <c r="A25" s="3301"/>
      <c r="B25" s="3305"/>
      <c r="C25" s="1176" t="s">
        <v>837</v>
      </c>
    </row>
    <row r="26" spans="1:3" ht="14.4">
      <c r="A26" s="3301"/>
      <c r="B26" s="3305"/>
      <c r="C26" s="1176" t="s">
        <v>838</v>
      </c>
    </row>
    <row r="27" spans="1:3" ht="14.4">
      <c r="A27" s="3301"/>
      <c r="B27" s="3305"/>
      <c r="C27" s="1176" t="s">
        <v>839</v>
      </c>
    </row>
    <row r="28" spans="1:3" ht="14.4">
      <c r="A28" s="3301"/>
      <c r="B28" s="3305"/>
      <c r="C28" s="1176" t="s">
        <v>840</v>
      </c>
    </row>
    <row r="29" spans="1:3" ht="14.4">
      <c r="A29" s="3301"/>
      <c r="B29" s="3305"/>
      <c r="C29" s="1176" t="s">
        <v>841</v>
      </c>
    </row>
    <row r="30" spans="1:3" ht="14.4">
      <c r="A30" s="3301"/>
      <c r="B30" s="3305"/>
      <c r="C30" s="1176" t="s">
        <v>842</v>
      </c>
    </row>
    <row r="31" spans="1:3" ht="14.4">
      <c r="A31" s="3301"/>
      <c r="B31" s="3305"/>
      <c r="C31" s="1176" t="s">
        <v>843</v>
      </c>
    </row>
    <row r="32" spans="1:3" ht="14.4">
      <c r="A32" s="3301"/>
      <c r="B32" s="3305"/>
      <c r="C32" s="1176" t="s">
        <v>1646</v>
      </c>
    </row>
    <row r="33" spans="1:3" ht="14.4">
      <c r="A33" s="3301"/>
      <c r="B33" s="3295" t="s">
        <v>1652</v>
      </c>
      <c r="C33" s="1176" t="s">
        <v>1647</v>
      </c>
    </row>
    <row r="34" spans="1:3" ht="14.4">
      <c r="A34" s="3301"/>
      <c r="B34" s="3296"/>
      <c r="C34" s="1181" t="s">
        <v>1648</v>
      </c>
    </row>
    <row r="35" spans="1:3" ht="14.4">
      <c r="A35" s="3301"/>
      <c r="B35" s="3296"/>
      <c r="C35" s="1182" t="s">
        <v>1649</v>
      </c>
    </row>
    <row r="36" spans="1:3" ht="14.4">
      <c r="A36" s="3301"/>
      <c r="B36" s="3296"/>
      <c r="C36" s="1182" t="s">
        <v>1650</v>
      </c>
    </row>
    <row r="37" spans="1:3" ht="14.4">
      <c r="A37" s="3301"/>
      <c r="B37" s="3297"/>
      <c r="C37" s="1183" t="s">
        <v>1651</v>
      </c>
    </row>
    <row r="38" spans="1:3">
      <c r="A38" s="1177" t="s">
        <v>844</v>
      </c>
    </row>
    <row r="41" spans="1:3">
      <c r="A41" s="1177" t="s">
        <v>68</v>
      </c>
    </row>
    <row r="42" spans="1:3" ht="14.4">
      <c r="A42" s="1178" t="s">
        <v>852</v>
      </c>
    </row>
    <row r="43" spans="1:3" ht="14.4">
      <c r="A43" s="1179" t="s">
        <v>69</v>
      </c>
    </row>
    <row r="44" spans="1:3" ht="14.4">
      <c r="A44" s="1178" t="s">
        <v>851</v>
      </c>
    </row>
    <row r="45" spans="1:3" ht="14.4">
      <c r="A45" s="1180" t="s">
        <v>853</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640625" defaultRowHeight="20.25" customHeight="1"/>
  <cols>
    <col min="1" max="1" width="24.77734375" style="2341" customWidth="1"/>
    <col min="2" max="5" width="22.6640625" style="2341"/>
    <col min="6" max="6" width="25.6640625" style="2341" customWidth="1"/>
    <col min="7" max="16384" width="22.6640625" style="2341"/>
  </cols>
  <sheetData>
    <row r="2" spans="1:6" ht="20.25" customHeight="1">
      <c r="A2" s="2338" t="s">
        <v>1906</v>
      </c>
      <c r="B2" s="1656">
        <f ca="1">TODAY()</f>
        <v>43643</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6">
        <v>43849</v>
      </c>
      <c r="D4" s="2343" t="s">
        <v>1913</v>
      </c>
      <c r="E4" s="2343">
        <f ca="1">IF(F4&lt;B2,"已过期",96010014)</f>
        <v>96010014</v>
      </c>
      <c r="F4" s="3007">
        <v>47118</v>
      </c>
    </row>
    <row r="5" spans="1:6" ht="20.25" customHeight="1">
      <c r="A5" s="2343" t="s">
        <v>1914</v>
      </c>
      <c r="B5" s="2343">
        <f ca="1">IF(C5&lt;B2,"已过期",1119970074)</f>
        <v>1119970074</v>
      </c>
      <c r="C5" s="3006">
        <v>43849</v>
      </c>
      <c r="D5" s="2343" t="s">
        <v>1914</v>
      </c>
      <c r="E5" s="2343">
        <f ca="1">IF(F5&lt;B2,"已过期",2002110027)</f>
        <v>2002110027</v>
      </c>
      <c r="F5" s="3007">
        <v>46752</v>
      </c>
    </row>
    <row r="6" spans="1:6" ht="20.25" customHeight="1">
      <c r="A6" s="2343" t="s">
        <v>1915</v>
      </c>
      <c r="B6" s="2343">
        <f ca="1">IF(C6&lt;B2,"已过期",1119970111)</f>
        <v>1119970111</v>
      </c>
      <c r="C6" s="3006">
        <v>43849</v>
      </c>
      <c r="D6" s="2343" t="s">
        <v>1915</v>
      </c>
      <c r="E6" s="2343">
        <f ca="1">IF(F6&lt;B2,"已过期",94010078)</f>
        <v>94010078</v>
      </c>
      <c r="F6" s="3007">
        <v>46387</v>
      </c>
    </row>
    <row r="7" spans="1:6" ht="20.25" customHeight="1">
      <c r="A7" s="2343" t="s">
        <v>1916</v>
      </c>
      <c r="B7" s="2343">
        <f ca="1">IF(C7&lt;B2,"已过期",1120050019)</f>
        <v>1120050019</v>
      </c>
      <c r="C7" s="3006">
        <v>44395</v>
      </c>
      <c r="D7" s="2343" t="s">
        <v>1916</v>
      </c>
      <c r="E7" s="2343">
        <f ca="1">IF(F7&lt;B2,"已过期",2002110030)</f>
        <v>2002110030</v>
      </c>
      <c r="F7" s="3007">
        <v>46387</v>
      </c>
    </row>
    <row r="8" spans="1:6" ht="20.25" customHeight="1">
      <c r="A8" s="2343" t="s">
        <v>1917</v>
      </c>
      <c r="B8" s="2343">
        <f ca="1">IF(C8&lt;B2,"已过期",1120000080)</f>
        <v>1120000080</v>
      </c>
      <c r="C8" s="3006">
        <v>43849</v>
      </c>
      <c r="D8" s="2343" t="s">
        <v>1917</v>
      </c>
      <c r="E8" s="2343">
        <f ca="1">IF(F8&lt;B2,"已过期",2000110082)</f>
        <v>2000110082</v>
      </c>
      <c r="F8" s="3007">
        <v>46387</v>
      </c>
    </row>
    <row r="9" spans="1:6" ht="20.25" customHeight="1">
      <c r="A9" s="2343" t="s">
        <v>1918</v>
      </c>
      <c r="B9" s="2343">
        <f ca="1">IF(C9&lt;B2,"已过期",1419970001)</f>
        <v>1419970001</v>
      </c>
      <c r="C9" s="3006">
        <v>43867</v>
      </c>
      <c r="D9" s="2343" t="s">
        <v>1918</v>
      </c>
      <c r="E9" s="2343">
        <f ca="1">IF(F9&lt;B2,"已过期",2002110125)</f>
        <v>2002110125</v>
      </c>
      <c r="F9" s="3007">
        <v>47118</v>
      </c>
    </row>
    <row r="10" spans="1:6" ht="20.25" customHeight="1">
      <c r="A10" s="2343" t="s">
        <v>1919</v>
      </c>
      <c r="B10" s="2343" t="str">
        <f ca="1">IF(C10&lt;B2,"已过期",1120060040)</f>
        <v>已过期</v>
      </c>
      <c r="C10" s="3006">
        <v>43483</v>
      </c>
      <c r="D10" s="2343" t="s">
        <v>1919</v>
      </c>
      <c r="E10" s="2343">
        <f ca="1">IF(F10&lt;B2,"已过期",2004110096)</f>
        <v>2004110096</v>
      </c>
      <c r="F10" s="3007">
        <v>47118</v>
      </c>
    </row>
    <row r="11" spans="1:6" ht="20.25" customHeight="1">
      <c r="A11" s="2343" t="s">
        <v>1920</v>
      </c>
      <c r="B11" s="2343" t="str">
        <f ca="1">IF(C11&lt;B2,"已过期",1120100036)</f>
        <v>已过期</v>
      </c>
      <c r="C11" s="3006">
        <v>43622</v>
      </c>
      <c r="D11" s="2343" t="s">
        <v>1920</v>
      </c>
      <c r="E11" s="2343">
        <f ca="1">IF(F11&lt;B2,"已过期",2010110070)</f>
        <v>2010110070</v>
      </c>
      <c r="F11" s="3007">
        <v>47907</v>
      </c>
    </row>
    <row r="12" spans="1:6" ht="20.25" customHeight="1">
      <c r="A12" s="2343" t="s">
        <v>2973</v>
      </c>
      <c r="B12" s="2343">
        <v>1120110054</v>
      </c>
      <c r="C12" s="3006">
        <v>43937</v>
      </c>
      <c r="D12" s="2343" t="s">
        <v>2973</v>
      </c>
      <c r="E12" s="2343">
        <v>2008110060</v>
      </c>
      <c r="F12" s="3007">
        <v>47177</v>
      </c>
    </row>
    <row r="13" spans="1:6" ht="20.25" customHeight="1">
      <c r="A13" s="2343" t="s">
        <v>1921</v>
      </c>
      <c r="B13" s="2343">
        <f ca="1">IF(C13&lt;B2,"已过期",1120070131)</f>
        <v>1120070131</v>
      </c>
      <c r="C13" s="3006">
        <v>43814</v>
      </c>
      <c r="D13" s="2343" t="s">
        <v>1921</v>
      </c>
      <c r="E13" s="2343">
        <v>2014110011</v>
      </c>
      <c r="F13" s="3007">
        <v>49302</v>
      </c>
    </row>
    <row r="14" spans="1:6" ht="20.25" customHeight="1">
      <c r="A14" s="2343" t="s">
        <v>1922</v>
      </c>
      <c r="B14" s="2343" t="str">
        <f ca="1">IF(C14&lt;B2,"已过期",1120130020)</f>
        <v>已过期</v>
      </c>
      <c r="C14" s="3006">
        <v>43622</v>
      </c>
      <c r="D14" s="2343"/>
      <c r="E14" s="2343"/>
      <c r="F14" s="2343"/>
    </row>
    <row r="15" spans="1:6" ht="20.25" customHeight="1">
      <c r="A15" s="2343" t="s">
        <v>2572</v>
      </c>
      <c r="B15" s="2343">
        <v>1120070085</v>
      </c>
      <c r="C15" s="3006">
        <v>43814</v>
      </c>
      <c r="D15" s="2343" t="s">
        <v>2572</v>
      </c>
      <c r="E15" s="2343">
        <v>2004110128</v>
      </c>
      <c r="F15" s="3007">
        <v>47118</v>
      </c>
    </row>
    <row r="16" spans="1:6" ht="20.25" customHeight="1">
      <c r="A16" s="2343" t="s">
        <v>1923</v>
      </c>
      <c r="B16" s="2343">
        <f ca="1">IF(C16&lt;B2,"已过期",1120140022)</f>
        <v>1120140022</v>
      </c>
      <c r="C16" s="3006">
        <v>44029</v>
      </c>
      <c r="D16" s="2343" t="s">
        <v>1923</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1924</v>
      </c>
      <c r="E21" s="2343">
        <f ca="1">IF(F21&lt;B2,"已过期",2011110090)</f>
        <v>2011110090</v>
      </c>
      <c r="F21" s="3007">
        <v>48302</v>
      </c>
    </row>
    <row r="22" spans="1:7" ht="20.25" customHeight="1">
      <c r="A22" s="2343" t="s">
        <v>1925</v>
      </c>
      <c r="B22" s="2343">
        <f ca="1">IF(C22&lt;B2,"已过期",1120020033)</f>
        <v>1120020033</v>
      </c>
      <c r="C22" s="3006">
        <v>44339</v>
      </c>
      <c r="D22" s="2343" t="s">
        <v>1925</v>
      </c>
      <c r="E22" s="2343">
        <f ca="1">IF(F22&lt;B2,"已过期",2000110137)</f>
        <v>2000110137</v>
      </c>
      <c r="F22" s="3007">
        <v>46387</v>
      </c>
    </row>
    <row r="23" spans="1:7" ht="20.25" customHeight="1">
      <c r="A23" s="2343" t="s">
        <v>1926</v>
      </c>
      <c r="B23" s="2343">
        <f ca="1">IF(C23&lt;B2,"已过期",1120130048)</f>
        <v>1120130048</v>
      </c>
      <c r="C23" s="3006">
        <v>43686</v>
      </c>
      <c r="D23" s="2343"/>
      <c r="E23" s="2343"/>
      <c r="F23" s="2343"/>
    </row>
    <row r="24" spans="1:7" s="2347" customFormat="1" ht="20.25" customHeight="1">
      <c r="A24" s="2345" t="s">
        <v>2054</v>
      </c>
      <c r="B24" s="2345" t="s">
        <v>2054</v>
      </c>
      <c r="C24" s="3006"/>
      <c r="D24" s="3008" t="s">
        <v>2054</v>
      </c>
      <c r="E24" s="2345" t="s">
        <v>2054</v>
      </c>
      <c r="F24" s="2346"/>
    </row>
    <row r="25" spans="1:7" ht="20.25" customHeight="1">
      <c r="A25" s="3306" t="s">
        <v>1927</v>
      </c>
      <c r="B25" s="3306"/>
      <c r="C25" s="3306"/>
      <c r="D25" s="3306"/>
      <c r="E25" s="3306"/>
      <c r="F25" s="3306"/>
      <c r="G25" s="3306"/>
    </row>
    <row r="26" spans="1:7" ht="20.25" customHeight="1">
      <c r="A26" s="3307" t="s">
        <v>1928</v>
      </c>
      <c r="B26" s="3307"/>
      <c r="C26" s="3307"/>
      <c r="D26" s="3307" t="s">
        <v>1929</v>
      </c>
      <c r="E26" s="3307"/>
      <c r="F26" s="3307"/>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855</v>
      </c>
      <c r="B1" s="5" t="s">
        <v>131</v>
      </c>
      <c r="C1" s="1549"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2543</v>
      </c>
      <c r="R1" s="2582" t="s">
        <v>2537</v>
      </c>
      <c r="S1" s="6" t="s">
        <v>145</v>
      </c>
      <c r="T1" s="7" t="s">
        <v>146</v>
      </c>
      <c r="U1" s="6" t="s">
        <v>147</v>
      </c>
      <c r="V1" s="6" t="s">
        <v>148</v>
      </c>
      <c r="W1" s="1004" t="s">
        <v>873</v>
      </c>
    </row>
    <row r="2" spans="1:23" ht="14.4">
      <c r="A2" s="8" t="s">
        <v>73</v>
      </c>
      <c r="B2" s="8" t="s">
        <v>149</v>
      </c>
      <c r="C2" s="1550"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ht="14.4">
      <c r="A3" s="8" t="s">
        <v>78</v>
      </c>
      <c r="B3" s="10" t="s">
        <v>150</v>
      </c>
      <c r="C3" s="1551"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ht="14.4">
      <c r="A4" s="8" t="s">
        <v>87</v>
      </c>
      <c r="B4" s="8" t="s">
        <v>151</v>
      </c>
      <c r="C4" s="1550"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ht="14.4">
      <c r="A5" s="8" t="s">
        <v>94</v>
      </c>
      <c r="B5" s="8" t="s">
        <v>152</v>
      </c>
      <c r="C5" s="1550"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ht="14.4">
      <c r="A6" s="8" t="s">
        <v>99</v>
      </c>
      <c r="B6" s="1149" t="s">
        <v>1640</v>
      </c>
      <c r="C6" s="1552"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ht="14.4">
      <c r="A7" s="8" t="s">
        <v>102</v>
      </c>
      <c r="B7" s="8" t="s">
        <v>103</v>
      </c>
      <c r="C7" s="1550" t="s">
        <v>1713</v>
      </c>
      <c r="F7" s="9" t="s">
        <v>153</v>
      </c>
      <c r="H7" s="9" t="s">
        <v>104</v>
      </c>
      <c r="I7" s="9" t="s">
        <v>105</v>
      </c>
    </row>
    <row r="8" spans="1:23" ht="14.4">
      <c r="A8" s="8" t="s">
        <v>106</v>
      </c>
      <c r="B8" s="1149" t="s">
        <v>3073</v>
      </c>
      <c r="C8" s="1550" t="s">
        <v>1714</v>
      </c>
      <c r="F8" s="9" t="s">
        <v>154</v>
      </c>
      <c r="H8" s="9"/>
      <c r="I8" s="9" t="s">
        <v>107</v>
      </c>
    </row>
    <row r="9" spans="1:23" ht="14.4">
      <c r="A9" s="8" t="s">
        <v>108</v>
      </c>
      <c r="B9" s="8" t="s">
        <v>155</v>
      </c>
      <c r="C9" s="1550" t="s">
        <v>1715</v>
      </c>
      <c r="F9" s="9" t="s">
        <v>109</v>
      </c>
      <c r="H9" s="9"/>
    </row>
    <row r="10" spans="1:23" ht="14.4">
      <c r="A10" s="8" t="s">
        <v>110</v>
      </c>
      <c r="B10" s="8" t="s">
        <v>156</v>
      </c>
      <c r="C10" s="1550" t="s">
        <v>1716</v>
      </c>
      <c r="F10" s="9" t="s">
        <v>6</v>
      </c>
    </row>
    <row r="11" spans="1:23" ht="14.4">
      <c r="A11" s="8" t="s">
        <v>111</v>
      </c>
      <c r="B11" s="8" t="s">
        <v>157</v>
      </c>
      <c r="C11" s="1550" t="s">
        <v>1717</v>
      </c>
    </row>
    <row r="12" spans="1:23" ht="14.4">
      <c r="A12" s="8" t="s">
        <v>112</v>
      </c>
      <c r="B12" s="8" t="s">
        <v>158</v>
      </c>
      <c r="C12" s="1550" t="s">
        <v>1718</v>
      </c>
    </row>
    <row r="13" spans="1:23" ht="14.4">
      <c r="A13" s="8" t="s">
        <v>113</v>
      </c>
      <c r="B13" s="8" t="s">
        <v>159</v>
      </c>
      <c r="C13" s="1550" t="s">
        <v>1719</v>
      </c>
    </row>
    <row r="14" spans="1:23" ht="14.4">
      <c r="A14" s="8" t="s">
        <v>114</v>
      </c>
      <c r="B14" s="8" t="s">
        <v>160</v>
      </c>
      <c r="C14" s="1553" t="s">
        <v>1895</v>
      </c>
    </row>
    <row r="15" spans="1:23" ht="14.4">
      <c r="A15" s="8" t="s">
        <v>115</v>
      </c>
      <c r="B15" s="8" t="s">
        <v>1680</v>
      </c>
      <c r="C15" s="1553"/>
    </row>
    <row r="16" spans="1:23" ht="14.4">
      <c r="A16" s="8" t="s">
        <v>116</v>
      </c>
      <c r="B16" s="8" t="s">
        <v>1681</v>
      </c>
      <c r="C16" s="1553"/>
    </row>
    <row r="17" spans="1:3" ht="14.4">
      <c r="A17" s="8" t="s">
        <v>117</v>
      </c>
      <c r="B17" s="8" t="s">
        <v>1682</v>
      </c>
      <c r="C17" s="1553"/>
    </row>
    <row r="18" spans="1:3" ht="14.4">
      <c r="A18" s="8" t="s">
        <v>118</v>
      </c>
      <c r="B18" s="3109" t="s">
        <v>2952</v>
      </c>
      <c r="C18" s="1553"/>
    </row>
    <row r="19" spans="1:3" ht="14.4">
      <c r="A19" s="8" t="s">
        <v>119</v>
      </c>
      <c r="B19" s="3109" t="s">
        <v>3040</v>
      </c>
      <c r="C19" s="1553"/>
    </row>
    <row r="20" spans="1:3" ht="14.4">
      <c r="A20" s="8" t="s">
        <v>120</v>
      </c>
      <c r="B20" s="3109" t="s">
        <v>3041</v>
      </c>
      <c r="C20" s="1553"/>
    </row>
    <row r="21" spans="1:3" ht="14.4">
      <c r="A21" s="8" t="s">
        <v>121</v>
      </c>
      <c r="B21" s="8" t="s">
        <v>1641</v>
      </c>
      <c r="C21" s="1553"/>
    </row>
    <row r="22" spans="1:3" ht="14.4">
      <c r="A22" s="8" t="s">
        <v>122</v>
      </c>
      <c r="B22" s="8" t="s">
        <v>1641</v>
      </c>
      <c r="C22" s="1553"/>
    </row>
    <row r="23" spans="1:3" ht="14.4">
      <c r="A23" s="8" t="s">
        <v>123</v>
      </c>
      <c r="B23" s="8" t="s">
        <v>1641</v>
      </c>
      <c r="C23" s="1553"/>
    </row>
    <row r="24" spans="1:3">
      <c r="A24" s="8" t="s">
        <v>12</v>
      </c>
      <c r="B24" s="8" t="s">
        <v>1641</v>
      </c>
      <c r="C24" s="1553"/>
    </row>
    <row r="25" spans="1:3" ht="14.4">
      <c r="A25" s="8" t="s">
        <v>124</v>
      </c>
      <c r="B25" s="8" t="s">
        <v>1641</v>
      </c>
      <c r="C25" s="1553"/>
    </row>
    <row r="26" spans="1:3" ht="14.4">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两江新区航悦项目E01-04-02出让国有建设用地使用权作为抵押担保物，向华澳信托办理贷款手续。华澳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30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10日，在规划利用条件下、设定土地开发程度为红线外“七通”、宗地内场地平整，设定用途为，剩余土地使用年限为的出让国有建设用地使用权价格。</v>
      </c>
      <c r="D53" s="1767"/>
      <c r="E53" s="1767"/>
    </row>
    <row r="54" spans="1:5">
      <c r="A54" s="330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ht="14.4">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项目资料</vt:lpstr>
      <vt:lpstr>汇总表</vt:lpstr>
      <vt:lpstr>年期修正表</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不动产比较法-洋房</vt:lpstr>
      <vt:lpstr>不动产比较法-高层</vt:lpstr>
      <vt:lpstr>不动产收益法-办公</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2019-06-27T06:34:10Z</dcterms:modified>
</cp:coreProperties>
</file>