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81重庆恒大云湖上郡\F01\"/>
    </mc:Choice>
  </mc:AlternateContent>
  <bookViews>
    <workbookView xWindow="-12" yWindow="216" windowWidth="12120" windowHeight="762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洋房" sheetId="78" r:id="rId33"/>
    <sheet name="不动产比较法-高层" sheetId="21" state="hidden" r:id="rId34"/>
    <sheet name="不动产收益法-办公" sheetId="77" state="hidden" r:id="rId35"/>
    <sheet name="不动产收益法-商业" sheetId="15" r:id="rId36"/>
    <sheet name="酒店收入计算" sheetId="57" state="hidden" r:id="rId37"/>
    <sheet name="成本逼近法" sheetId="11" state="hidden" r:id="rId38"/>
    <sheet name="不动产收益法车库" sheetId="72"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3"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2"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E73" i="39" l="1"/>
  <c r="F73" i="39"/>
  <c r="G73" i="39" s="1"/>
  <c r="H73" i="39" s="1"/>
  <c r="I73" i="39" s="1"/>
  <c r="J73" i="39" s="1"/>
  <c r="K73" i="39" s="1"/>
  <c r="L73" i="39" s="1"/>
  <c r="M73" i="39" s="1"/>
  <c r="N73" i="39" s="1"/>
  <c r="D73" i="39"/>
  <c r="E103" i="78"/>
  <c r="F103" i="78"/>
  <c r="G103" i="78" s="1"/>
  <c r="H103" i="78" s="1"/>
  <c r="I103" i="78" s="1"/>
  <c r="D103" i="78"/>
  <c r="I7" i="78"/>
  <c r="G7" i="78"/>
  <c r="C40" i="39" l="1"/>
  <c r="K13" i="3" l="1"/>
  <c r="I13" i="3"/>
  <c r="A3" i="3"/>
  <c r="F25" i="79" l="1"/>
  <c r="I48" i="39"/>
  <c r="G48" i="39"/>
  <c r="E48" i="39"/>
  <c r="H4" i="80" l="1"/>
  <c r="H5" i="80"/>
  <c r="H6" i="80"/>
  <c r="H7" i="80"/>
  <c r="H8" i="80"/>
  <c r="H9" i="80"/>
  <c r="H10" i="80"/>
  <c r="H11" i="80"/>
  <c r="H12" i="80"/>
  <c r="H13" i="80"/>
  <c r="H14" i="80"/>
  <c r="H15" i="80"/>
  <c r="H3" i="80"/>
  <c r="J15" i="79" l="1"/>
  <c r="D15" i="79"/>
  <c r="H12" i="79"/>
  <c r="I12" i="79"/>
  <c r="H11" i="79"/>
  <c r="I11" i="79"/>
  <c r="H10" i="79"/>
  <c r="I10" i="79"/>
  <c r="H9" i="79"/>
  <c r="I9" i="79"/>
  <c r="H7" i="79"/>
  <c r="I7" i="79"/>
  <c r="H5" i="79"/>
  <c r="I5" i="79"/>
  <c r="H4" i="79"/>
  <c r="I4" i="79"/>
  <c r="H3" i="79"/>
  <c r="I3" i="79"/>
  <c r="H6" i="79"/>
  <c r="I6" i="79"/>
  <c r="H8" i="79"/>
  <c r="I8" i="79"/>
  <c r="H13" i="79"/>
  <c r="I13" i="79"/>
  <c r="H14" i="79"/>
  <c r="I14" i="79"/>
  <c r="J14" i="79"/>
  <c r="I15" i="79"/>
  <c r="H15" i="79"/>
  <c r="F40" i="39"/>
  <c r="AA40" i="39" s="1"/>
  <c r="H40" i="39"/>
  <c r="AB40" i="39" s="1"/>
  <c r="J40" i="39"/>
  <c r="AC40" i="39" s="1"/>
  <c r="J3" i="79"/>
  <c r="J4" i="79"/>
  <c r="J5" i="79"/>
  <c r="J6" i="79"/>
  <c r="J7" i="79"/>
  <c r="J8" i="79"/>
  <c r="J9" i="79"/>
  <c r="J10" i="79"/>
  <c r="J11" i="79"/>
  <c r="J12" i="79"/>
  <c r="J13" i="79"/>
  <c r="U6" i="79"/>
  <c r="K16" i="66"/>
  <c r="K17" i="66"/>
  <c r="K18" i="66"/>
  <c r="L16" i="66"/>
  <c r="L17" i="66"/>
  <c r="L18" i="66"/>
  <c r="L15" i="66"/>
  <c r="D3" i="4"/>
  <c r="B2" i="1" s="1"/>
  <c r="F20" i="6"/>
  <c r="E20" i="6" s="1"/>
  <c r="C1" i="65"/>
  <c r="N1" i="65" s="1"/>
  <c r="BB13" i="3"/>
  <c r="BB5" i="3" s="1"/>
  <c r="BC13" i="3"/>
  <c r="BC5" i="3" s="1"/>
  <c r="E10" i="6" s="1"/>
  <c r="H13" i="3"/>
  <c r="G13" i="3" s="1"/>
  <c r="G5" i="3" s="1"/>
  <c r="B3" i="3" s="1"/>
  <c r="E176" i="3" s="1"/>
  <c r="F19" i="6"/>
  <c r="E19" i="6" s="1"/>
  <c r="K6" i="1" s="1"/>
  <c r="M6" i="1" s="1"/>
  <c r="L20" i="6"/>
  <c r="L7" i="1"/>
  <c r="K14" i="1"/>
  <c r="L14" i="1"/>
  <c r="M14" i="1" s="1"/>
  <c r="S8" i="1"/>
  <c r="S9" i="1"/>
  <c r="S10" i="1"/>
  <c r="S11" i="1"/>
  <c r="S12" i="1"/>
  <c r="S13" i="1"/>
  <c r="H1" i="65"/>
  <c r="L46" i="15"/>
  <c r="D3" i="78"/>
  <c r="K8" i="1"/>
  <c r="M8" i="1" s="1"/>
  <c r="K9" i="1"/>
  <c r="K10" i="1"/>
  <c r="M10" i="1" s="1"/>
  <c r="O10" i="1" s="1"/>
  <c r="K11" i="1"/>
  <c r="M11" i="1" s="1"/>
  <c r="K12" i="1"/>
  <c r="M12" i="1" s="1"/>
  <c r="K13" i="1"/>
  <c r="M13" i="1" s="1"/>
  <c r="K15" i="66"/>
  <c r="I40" i="39"/>
  <c r="G40" i="39"/>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D13" i="3"/>
  <c r="BE13" i="3"/>
  <c r="BF13" i="3"/>
  <c r="BG13" i="3"/>
  <c r="BH13" i="3"/>
  <c r="BI13" i="3"/>
  <c r="BJ13" i="3"/>
  <c r="BK13" i="3"/>
  <c r="BM13" i="3"/>
  <c r="BN13" i="3"/>
  <c r="BO13" i="3"/>
  <c r="BP13" i="3"/>
  <c r="BQ13" i="3"/>
  <c r="BR13" i="3"/>
  <c r="BS13" i="3"/>
  <c r="BT13" i="3"/>
  <c r="BL13" i="3"/>
  <c r="H14" i="3"/>
  <c r="AC14" i="3"/>
  <c r="G14" i="3"/>
  <c r="H15" i="3"/>
  <c r="G15" i="3"/>
  <c r="AC13" i="3"/>
  <c r="E21" i="6"/>
  <c r="BQ5" i="3"/>
  <c r="BS5" i="3"/>
  <c r="F28" i="6"/>
  <c r="BR5" i="3"/>
  <c r="BT5" i="3"/>
  <c r="G28" i="6"/>
  <c r="E28" i="6"/>
  <c r="BM5" i="3"/>
  <c r="BO5" i="3"/>
  <c r="F29" i="6"/>
  <c r="BN5" i="3"/>
  <c r="BP5" i="3"/>
  <c r="G29" i="6"/>
  <c r="E29" i="6"/>
  <c r="BE10" i="3"/>
  <c r="F30" i="6"/>
  <c r="D69" i="78"/>
  <c r="E69" i="78" s="1"/>
  <c r="F69" i="78" s="1"/>
  <c r="G69" i="78" s="1"/>
  <c r="H69" i="78" s="1"/>
  <c r="I69" i="78" s="1"/>
  <c r="J69" i="78" s="1"/>
  <c r="K69" i="78" s="1"/>
  <c r="L69" i="78" s="1"/>
  <c r="M69" i="78" s="1"/>
  <c r="R47" i="78"/>
  <c r="F42" i="78"/>
  <c r="AA42" i="78"/>
  <c r="T47" i="78"/>
  <c r="H42" i="78"/>
  <c r="AB42" i="78"/>
  <c r="V47" i="78"/>
  <c r="J42" i="78"/>
  <c r="AC42" i="78"/>
  <c r="C5" i="78"/>
  <c r="C145" i="78"/>
  <c r="K139" i="78"/>
  <c r="J142" i="78"/>
  <c r="J140" i="78"/>
  <c r="B130" i="78"/>
  <c r="B128"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G117" i="78"/>
  <c r="E117" i="78"/>
  <c r="F117" i="78"/>
  <c r="D117" i="78"/>
  <c r="G115" i="78"/>
  <c r="H115" i="78"/>
  <c r="I115" i="78"/>
  <c r="J115" i="78"/>
  <c r="K115" i="78"/>
  <c r="L115" i="78"/>
  <c r="M115" i="78"/>
  <c r="E115" i="78"/>
  <c r="F115" i="78"/>
  <c r="D115" i="78"/>
  <c r="F113" i="78"/>
  <c r="G113" i="78"/>
  <c r="H113" i="78"/>
  <c r="D113" i="78"/>
  <c r="E113" i="78"/>
  <c r="H111" i="78"/>
  <c r="G111" i="78"/>
  <c r="F111" i="78"/>
  <c r="E111" i="78"/>
  <c r="D111" i="78"/>
  <c r="C111" i="78"/>
  <c r="F110" i="78"/>
  <c r="G110" i="78"/>
  <c r="H110" i="78"/>
  <c r="I110" i="78"/>
  <c r="J110" i="78"/>
  <c r="K110" i="78"/>
  <c r="L110" i="78"/>
  <c r="M110" i="78"/>
  <c r="D110" i="78"/>
  <c r="E110" i="78"/>
  <c r="D108" i="78"/>
  <c r="E108" i="78"/>
  <c r="F108" i="78"/>
  <c r="G108" i="78"/>
  <c r="H108" i="78"/>
  <c r="I108" i="78"/>
  <c r="J108" i="78"/>
  <c r="K108" i="78"/>
  <c r="L108" i="78"/>
  <c r="M108" i="78"/>
  <c r="F106" i="78"/>
  <c r="G106" i="78"/>
  <c r="H106" i="78"/>
  <c r="I106" i="78"/>
  <c r="J106" i="78"/>
  <c r="K106" i="78"/>
  <c r="L106" i="78"/>
  <c r="M106" i="78"/>
  <c r="D106" i="78"/>
  <c r="E106" i="78"/>
  <c r="M102" i="78"/>
  <c r="L102" i="78"/>
  <c r="K102" i="78"/>
  <c r="J102" i="78"/>
  <c r="I102" i="78"/>
  <c r="H102" i="78"/>
  <c r="G102" i="78"/>
  <c r="F102" i="78"/>
  <c r="E102" i="78"/>
  <c r="D102" i="78"/>
  <c r="C102" i="78"/>
  <c r="E101" i="78"/>
  <c r="F101" i="78"/>
  <c r="G101" i="78"/>
  <c r="H101" i="78"/>
  <c r="I101" i="78"/>
  <c r="J101" i="78"/>
  <c r="K101" i="78"/>
  <c r="L101" i="78"/>
  <c r="M101" i="78"/>
  <c r="D101" i="78"/>
  <c r="B98" i="78"/>
  <c r="B96" i="78"/>
  <c r="B94" i="78"/>
  <c r="B92" i="78"/>
  <c r="B90" i="78"/>
  <c r="F89" i="78"/>
  <c r="G89" i="78"/>
  <c r="H89" i="78"/>
  <c r="I89" i="78"/>
  <c r="J89" i="78"/>
  <c r="K89" i="78"/>
  <c r="L89" i="78"/>
  <c r="M89" i="78"/>
  <c r="D89" i="78"/>
  <c r="E89" i="78"/>
  <c r="M87" i="78"/>
  <c r="L87" i="78"/>
  <c r="K87" i="78"/>
  <c r="J87" i="78"/>
  <c r="I87" i="78"/>
  <c r="H87" i="78"/>
  <c r="G87" i="78"/>
  <c r="F87" i="78"/>
  <c r="E87" i="78"/>
  <c r="D87" i="78"/>
  <c r="D85" i="78"/>
  <c r="E85" i="78"/>
  <c r="F85" i="78" s="1"/>
  <c r="G85" i="78" s="1"/>
  <c r="D83" i="78"/>
  <c r="E83" i="78" s="1"/>
  <c r="F83" i="78" s="1"/>
  <c r="G83" i="78" s="1"/>
  <c r="D81" i="78"/>
  <c r="E81" i="78" s="1"/>
  <c r="D79" i="78"/>
  <c r="E79" i="78" s="1"/>
  <c r="D77" i="78"/>
  <c r="E77" i="78" s="1"/>
  <c r="F77" i="78" s="1"/>
  <c r="G77" i="78" s="1"/>
  <c r="B74" i="78"/>
  <c r="B72" i="78"/>
  <c r="B70" i="78"/>
  <c r="M67" i="78"/>
  <c r="L67" i="78"/>
  <c r="K67" i="78"/>
  <c r="J67" i="78"/>
  <c r="I67" i="78"/>
  <c r="H67" i="78"/>
  <c r="G67" i="78"/>
  <c r="F67" i="78"/>
  <c r="E67" i="78"/>
  <c r="D67" i="78"/>
  <c r="C67" i="78"/>
  <c r="F66" i="78"/>
  <c r="G66" i="78"/>
  <c r="H66" i="78"/>
  <c r="I66" i="78"/>
  <c r="D66" i="78"/>
  <c r="E66" i="78"/>
  <c r="C63" i="78"/>
  <c r="I54" i="78"/>
  <c r="J54" i="78" s="1"/>
  <c r="G54" i="78"/>
  <c r="H54" i="78" s="1"/>
  <c r="E54" i="78"/>
  <c r="F54" i="78" s="1"/>
  <c r="P49" i="78"/>
  <c r="P48" i="78"/>
  <c r="P47" i="78"/>
  <c r="Q46" i="78"/>
  <c r="Z46" i="78"/>
  <c r="J46" i="78"/>
  <c r="AC46" i="78"/>
  <c r="H46" i="78"/>
  <c r="AB46" i="78"/>
  <c r="F46" i="78"/>
  <c r="AA46" i="78"/>
  <c r="Z45" i="78"/>
  <c r="Q45" i="78"/>
  <c r="J45" i="78"/>
  <c r="H45" i="78"/>
  <c r="AB45" i="78"/>
  <c r="F45" i="78"/>
  <c r="AA45" i="78"/>
  <c r="Q44" i="78"/>
  <c r="Z44" i="78"/>
  <c r="J44" i="78"/>
  <c r="AC44" i="78"/>
  <c r="H44" i="78"/>
  <c r="AB44" i="78"/>
  <c r="F44" i="78"/>
  <c r="AA44" i="78"/>
  <c r="Q43" i="78"/>
  <c r="Z43" i="78"/>
  <c r="J43" i="78"/>
  <c r="AC43" i="78"/>
  <c r="H43" i="78"/>
  <c r="AB43" i="78"/>
  <c r="F43" i="78"/>
  <c r="AA43" i="78"/>
  <c r="Q42" i="78"/>
  <c r="Z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c r="J21" i="78"/>
  <c r="AC21" i="78" s="1"/>
  <c r="H21" i="78"/>
  <c r="AB21" i="78" s="1"/>
  <c r="F21" i="78"/>
  <c r="AA21" i="78" s="1"/>
  <c r="C21" i="78"/>
  <c r="Q19" i="78"/>
  <c r="Z19" i="78"/>
  <c r="C19" i="78"/>
  <c r="Q17" i="78"/>
  <c r="Z17" i="78"/>
  <c r="C17" i="78"/>
  <c r="Q15" i="78"/>
  <c r="Z15" i="78"/>
  <c r="J15" i="78"/>
  <c r="AC15" i="78" s="1"/>
  <c r="H15" i="78"/>
  <c r="AB15" i="78" s="1"/>
  <c r="F15" i="78"/>
  <c r="AA15" i="78" s="1"/>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W8" i="78"/>
  <c r="S8" i="78"/>
  <c r="J8" i="78"/>
  <c r="AC8" i="78"/>
  <c r="H8" i="78"/>
  <c r="U8" i="78"/>
  <c r="F8" i="78"/>
  <c r="AA8" i="78"/>
  <c r="Q73" i="77"/>
  <c r="Q60" i="77"/>
  <c r="D60" i="77"/>
  <c r="Q59" i="77"/>
  <c r="K59" i="77"/>
  <c r="P75" i="77"/>
  <c r="F58" i="77"/>
  <c r="Q52" i="77"/>
  <c r="J50" i="77"/>
  <c r="M47" i="77"/>
  <c r="L46" i="77"/>
  <c r="F33" i="77"/>
  <c r="F60" i="77"/>
  <c r="F31" i="77"/>
  <c r="F23" i="77"/>
  <c r="D24" i="77"/>
  <c r="D23" i="77"/>
  <c r="D22" i="77"/>
  <c r="F21" i="77"/>
  <c r="F20" i="77"/>
  <c r="M19" i="77"/>
  <c r="F18" i="77"/>
  <c r="M17" i="77"/>
  <c r="F17" i="77"/>
  <c r="F15" i="77"/>
  <c r="U32" i="78"/>
  <c r="AB8" i="78"/>
  <c r="S9" i="78"/>
  <c r="W9" i="78"/>
  <c r="U10" i="78"/>
  <c r="S12" i="78"/>
  <c r="W12" i="78"/>
  <c r="U13" i="78"/>
  <c r="S14" i="78"/>
  <c r="W14" i="78"/>
  <c r="S15" i="78"/>
  <c r="W21" i="78"/>
  <c r="U25" i="78"/>
  <c r="S26" i="78"/>
  <c r="W26" i="78"/>
  <c r="U27" i="78"/>
  <c r="S28" i="78"/>
  <c r="W28" i="78"/>
  <c r="U29" i="78"/>
  <c r="S30" i="78"/>
  <c r="W30" i="78"/>
  <c r="S31" i="78"/>
  <c r="U9" i="78"/>
  <c r="S10" i="78"/>
  <c r="W10" i="78"/>
  <c r="U12" i="78"/>
  <c r="S13" i="78"/>
  <c r="W13" i="78"/>
  <c r="U14" i="78"/>
  <c r="U21" i="78"/>
  <c r="S25" i="78"/>
  <c r="W25" i="78"/>
  <c r="U26" i="78"/>
  <c r="S27" i="78"/>
  <c r="W27" i="78"/>
  <c r="U28" i="78"/>
  <c r="S29" i="78"/>
  <c r="W29" i="78"/>
  <c r="U30" i="78"/>
  <c r="W31" i="78"/>
  <c r="K143" i="78"/>
  <c r="K141" i="78"/>
  <c r="U31" i="78"/>
  <c r="S32" i="78"/>
  <c r="W32" i="78"/>
  <c r="U34" i="78"/>
  <c r="S35" i="78"/>
  <c r="W35" i="78"/>
  <c r="U36" i="78"/>
  <c r="S37" i="78"/>
  <c r="W37" i="78"/>
  <c r="U38" i="78"/>
  <c r="S39" i="78"/>
  <c r="W39" i="78"/>
  <c r="U40" i="78"/>
  <c r="S41" i="78"/>
  <c r="W41" i="78"/>
  <c r="U42" i="78"/>
  <c r="S43" i="78"/>
  <c r="W43" i="78"/>
  <c r="U44" i="78"/>
  <c r="AC45" i="78"/>
  <c r="W45" i="78"/>
  <c r="S45" i="78"/>
  <c r="S46" i="78"/>
  <c r="S34" i="78"/>
  <c r="W34" i="78"/>
  <c r="U35" i="78"/>
  <c r="S36" i="78"/>
  <c r="W36" i="78"/>
  <c r="U37" i="78"/>
  <c r="S38" i="78"/>
  <c r="W38" i="78"/>
  <c r="U39" i="78"/>
  <c r="S40" i="78"/>
  <c r="W40" i="78"/>
  <c r="U41" i="78"/>
  <c r="S42" i="78"/>
  <c r="W42" i="78"/>
  <c r="U43" i="78"/>
  <c r="S44" i="78"/>
  <c r="W44" i="78"/>
  <c r="U45" i="78"/>
  <c r="W46" i="78"/>
  <c r="K145" i="78"/>
  <c r="U46" i="78"/>
  <c r="K144" i="78"/>
  <c r="P62" i="77"/>
  <c r="E8" i="39"/>
  <c r="G8" i="39"/>
  <c r="I8" i="39"/>
  <c r="I6" i="21"/>
  <c r="D123" i="21"/>
  <c r="E123" i="21"/>
  <c r="F123" i="21"/>
  <c r="D69" i="21"/>
  <c r="E69" i="21"/>
  <c r="F69" i="21"/>
  <c r="AC15" i="3"/>
  <c r="H16" i="3"/>
  <c r="AC16" i="3"/>
  <c r="H17" i="3"/>
  <c r="AC17" i="3"/>
  <c r="H18" i="3"/>
  <c r="AC18" i="3"/>
  <c r="H19" i="3"/>
  <c r="AC19" i="3"/>
  <c r="H20" i="3"/>
  <c r="AC20" i="3"/>
  <c r="G20" i="3"/>
  <c r="H21" i="3"/>
  <c r="AC21" i="3"/>
  <c r="H22" i="3"/>
  <c r="AC22" i="3"/>
  <c r="G22" i="3"/>
  <c r="H23" i="3"/>
  <c r="AC23" i="3"/>
  <c r="H24" i="3"/>
  <c r="AC24" i="3"/>
  <c r="H25" i="3"/>
  <c r="AC25" i="3"/>
  <c r="H26" i="3"/>
  <c r="AC26" i="3"/>
  <c r="H27" i="3"/>
  <c r="AC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L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c r="AZ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L33" i="3"/>
  <c r="BO33" i="3"/>
  <c r="BP33" i="3"/>
  <c r="BQ33" i="3"/>
  <c r="BR33" i="3"/>
  <c r="BS33" i="3"/>
  <c r="BT33" i="3"/>
  <c r="BB34" i="3"/>
  <c r="BC34" i="3"/>
  <c r="BD34" i="3"/>
  <c r="BA34" i="3"/>
  <c r="AZ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L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L37" i="3"/>
  <c r="BO37" i="3"/>
  <c r="BP37" i="3"/>
  <c r="BQ37" i="3"/>
  <c r="BR37" i="3"/>
  <c r="BS37" i="3"/>
  <c r="BT37" i="3"/>
  <c r="BB38" i="3"/>
  <c r="BC38" i="3"/>
  <c r="BD38" i="3"/>
  <c r="BA38" i="3"/>
  <c r="AZ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L39" i="3"/>
  <c r="BP39" i="3"/>
  <c r="BQ39" i="3"/>
  <c r="BR39" i="3"/>
  <c r="BS39" i="3"/>
  <c r="BT39" i="3"/>
  <c r="BB40" i="3"/>
  <c r="BC40" i="3"/>
  <c r="BA40" i="3"/>
  <c r="AZ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L41" i="3"/>
  <c r="BO41" i="3"/>
  <c r="BP41" i="3"/>
  <c r="BQ41" i="3"/>
  <c r="BR41" i="3"/>
  <c r="BS41" i="3"/>
  <c r="BT41" i="3"/>
  <c r="BB42" i="3"/>
  <c r="BC42" i="3"/>
  <c r="BD42" i="3"/>
  <c r="BA42" i="3"/>
  <c r="AZ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L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L45" i="3"/>
  <c r="BO45" i="3"/>
  <c r="BP45" i="3"/>
  <c r="BQ45" i="3"/>
  <c r="BR45" i="3"/>
  <c r="BS45" i="3"/>
  <c r="BT45" i="3"/>
  <c r="BB46" i="3"/>
  <c r="BC46" i="3"/>
  <c r="BD46" i="3"/>
  <c r="BA46" i="3"/>
  <c r="AZ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L47" i="3"/>
  <c r="BP47" i="3"/>
  <c r="BQ47" i="3"/>
  <c r="BR47" i="3"/>
  <c r="BS47" i="3"/>
  <c r="BT47" i="3"/>
  <c r="BB48" i="3"/>
  <c r="BC48" i="3"/>
  <c r="BA48" i="3"/>
  <c r="AZ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L49" i="3"/>
  <c r="BO49" i="3"/>
  <c r="BP49" i="3"/>
  <c r="BQ49" i="3"/>
  <c r="BR49" i="3"/>
  <c r="BS49" i="3"/>
  <c r="BT49" i="3"/>
  <c r="BB50" i="3"/>
  <c r="BC50" i="3"/>
  <c r="BD50" i="3"/>
  <c r="BA50" i="3"/>
  <c r="AZ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L51" i="3"/>
  <c r="BP51" i="3"/>
  <c r="BQ51" i="3"/>
  <c r="BR51" i="3"/>
  <c r="BS51" i="3"/>
  <c r="BT51" i="3"/>
  <c r="BB52" i="3"/>
  <c r="BC52" i="3"/>
  <c r="BA52" i="3"/>
  <c r="AZ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L53" i="3"/>
  <c r="BO53" i="3"/>
  <c r="BP53" i="3"/>
  <c r="BQ53" i="3"/>
  <c r="BR53" i="3"/>
  <c r="BS53" i="3"/>
  <c r="BT53" i="3"/>
  <c r="BB54" i="3"/>
  <c r="BC54" i="3"/>
  <c r="BD54" i="3"/>
  <c r="BA54" i="3"/>
  <c r="AZ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L55" i="3"/>
  <c r="BP55" i="3"/>
  <c r="BQ55" i="3"/>
  <c r="BR55" i="3"/>
  <c r="BS55" i="3"/>
  <c r="BT55" i="3"/>
  <c r="BB56" i="3"/>
  <c r="BC56" i="3"/>
  <c r="BA56" i="3"/>
  <c r="AZ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L57" i="3"/>
  <c r="BP57" i="3"/>
  <c r="BQ57" i="3"/>
  <c r="BR57" i="3"/>
  <c r="BS57" i="3"/>
  <c r="BT57" i="3"/>
  <c r="BB58" i="3"/>
  <c r="BC58" i="3"/>
  <c r="BD58" i="3"/>
  <c r="BA58" i="3"/>
  <c r="AZ58" i="3"/>
  <c r="BE58" i="3"/>
  <c r="BF58" i="3"/>
  <c r="BG58" i="3"/>
  <c r="BH58" i="3"/>
  <c r="BI58" i="3"/>
  <c r="BJ58" i="3"/>
  <c r="BK58" i="3"/>
  <c r="BM58" i="3"/>
  <c r="BN58" i="3"/>
  <c r="BO58" i="3"/>
  <c r="BP58" i="3"/>
  <c r="BQ58" i="3"/>
  <c r="BR58" i="3"/>
  <c r="BS58" i="3"/>
  <c r="BT58" i="3"/>
  <c r="BL58" i="3"/>
  <c r="BB59" i="3"/>
  <c r="BC59" i="3"/>
  <c r="BA59" i="3"/>
  <c r="AZ59" i="3"/>
  <c r="BD59" i="3"/>
  <c r="BE59" i="3"/>
  <c r="BF59" i="3"/>
  <c r="BG59" i="3"/>
  <c r="BH59" i="3"/>
  <c r="BI59" i="3"/>
  <c r="BJ59" i="3"/>
  <c r="BK59" i="3"/>
  <c r="BM59" i="3"/>
  <c r="BN59" i="3"/>
  <c r="BO59" i="3"/>
  <c r="BL59" i="3"/>
  <c r="BP59" i="3"/>
  <c r="BQ59" i="3"/>
  <c r="BR59" i="3"/>
  <c r="BS59" i="3"/>
  <c r="BT59" i="3"/>
  <c r="BB60" i="3"/>
  <c r="BC60" i="3"/>
  <c r="BD60" i="3"/>
  <c r="BA60" i="3"/>
  <c r="AZ60" i="3"/>
  <c r="BE60" i="3"/>
  <c r="BF60" i="3"/>
  <c r="BG60" i="3"/>
  <c r="BH60" i="3"/>
  <c r="BI60" i="3"/>
  <c r="BJ60" i="3"/>
  <c r="BK60" i="3"/>
  <c r="BM60" i="3"/>
  <c r="BN60" i="3"/>
  <c r="BO60" i="3"/>
  <c r="BP60" i="3"/>
  <c r="BQ60" i="3"/>
  <c r="BR60" i="3"/>
  <c r="BS60" i="3"/>
  <c r="BT60" i="3"/>
  <c r="BL60" i="3"/>
  <c r="BB61" i="3"/>
  <c r="BC61" i="3"/>
  <c r="BA61" i="3"/>
  <c r="BD61" i="3"/>
  <c r="BE61" i="3"/>
  <c r="BF61" i="3"/>
  <c r="BG61" i="3"/>
  <c r="BH61" i="3"/>
  <c r="BI61" i="3"/>
  <c r="BJ61" i="3"/>
  <c r="BK61" i="3"/>
  <c r="BM61" i="3"/>
  <c r="BN61" i="3"/>
  <c r="BO61" i="3"/>
  <c r="BL61" i="3"/>
  <c r="BP61" i="3"/>
  <c r="BQ61" i="3"/>
  <c r="BR61" i="3"/>
  <c r="BS61" i="3"/>
  <c r="BT61" i="3"/>
  <c r="BB62" i="3"/>
  <c r="BC62" i="3"/>
  <c r="BD62" i="3"/>
  <c r="BA62" i="3"/>
  <c r="AZ62" i="3"/>
  <c r="BE62" i="3"/>
  <c r="BF62" i="3"/>
  <c r="BG62" i="3"/>
  <c r="BH62" i="3"/>
  <c r="BI62" i="3"/>
  <c r="BJ62" i="3"/>
  <c r="BK62" i="3"/>
  <c r="BM62" i="3"/>
  <c r="BN62" i="3"/>
  <c r="BO62" i="3"/>
  <c r="BP62" i="3"/>
  <c r="BQ62" i="3"/>
  <c r="BR62" i="3"/>
  <c r="BS62" i="3"/>
  <c r="BT62" i="3"/>
  <c r="BL62" i="3"/>
  <c r="BB63" i="3"/>
  <c r="BC63" i="3"/>
  <c r="BA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A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A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A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A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c r="AZ79" i="3"/>
  <c r="BD79" i="3"/>
  <c r="BE79" i="3"/>
  <c r="BF79" i="3"/>
  <c r="BG79" i="3"/>
  <c r="BH79" i="3"/>
  <c r="BI79" i="3"/>
  <c r="BJ79" i="3"/>
  <c r="BK79" i="3"/>
  <c r="BM79" i="3"/>
  <c r="BN79" i="3"/>
  <c r="BO79" i="3"/>
  <c r="BL79" i="3"/>
  <c r="BP79" i="3"/>
  <c r="BQ79" i="3"/>
  <c r="BR79" i="3"/>
  <c r="BS79" i="3"/>
  <c r="BT79" i="3"/>
  <c r="BB80" i="3"/>
  <c r="BC80" i="3"/>
  <c r="BD80" i="3"/>
  <c r="BA80" i="3"/>
  <c r="AZ80" i="3"/>
  <c r="BE80" i="3"/>
  <c r="BF80" i="3"/>
  <c r="BG80" i="3"/>
  <c r="BH80" i="3"/>
  <c r="BI80" i="3"/>
  <c r="BJ80" i="3"/>
  <c r="BK80" i="3"/>
  <c r="BM80" i="3"/>
  <c r="BN80" i="3"/>
  <c r="BO80" i="3"/>
  <c r="BP80" i="3"/>
  <c r="BQ80" i="3"/>
  <c r="BR80" i="3"/>
  <c r="BS80" i="3"/>
  <c r="BT80" i="3"/>
  <c r="BL80" i="3"/>
  <c r="BB81" i="3"/>
  <c r="BC81" i="3"/>
  <c r="BA81" i="3"/>
  <c r="BD81" i="3"/>
  <c r="BE81" i="3"/>
  <c r="BF81" i="3"/>
  <c r="BG81" i="3"/>
  <c r="BH81" i="3"/>
  <c r="BI81" i="3"/>
  <c r="BJ81" i="3"/>
  <c r="BK81" i="3"/>
  <c r="BM81" i="3"/>
  <c r="BN81" i="3"/>
  <c r="BO81" i="3"/>
  <c r="BL81" i="3"/>
  <c r="BP81" i="3"/>
  <c r="BQ81" i="3"/>
  <c r="BR81" i="3"/>
  <c r="BS81" i="3"/>
  <c r="BT81" i="3"/>
  <c r="BB82" i="3"/>
  <c r="BC82" i="3"/>
  <c r="BD82" i="3"/>
  <c r="BA82" i="3"/>
  <c r="AZ82" i="3"/>
  <c r="BE82" i="3"/>
  <c r="BF82" i="3"/>
  <c r="BG82" i="3"/>
  <c r="BH82" i="3"/>
  <c r="BI82" i="3"/>
  <c r="BJ82" i="3"/>
  <c r="BK82" i="3"/>
  <c r="BM82" i="3"/>
  <c r="BN82" i="3"/>
  <c r="BO82" i="3"/>
  <c r="BP82" i="3"/>
  <c r="BQ82" i="3"/>
  <c r="BR82" i="3"/>
  <c r="BS82" i="3"/>
  <c r="BT82" i="3"/>
  <c r="BL82" i="3"/>
  <c r="BB83" i="3"/>
  <c r="BC83" i="3"/>
  <c r="BA83" i="3"/>
  <c r="AZ83" i="3"/>
  <c r="BD83" i="3"/>
  <c r="BE83" i="3"/>
  <c r="BF83" i="3"/>
  <c r="BG83" i="3"/>
  <c r="BH83" i="3"/>
  <c r="BI83" i="3"/>
  <c r="BJ83" i="3"/>
  <c r="BK83" i="3"/>
  <c r="BM83" i="3"/>
  <c r="BN83" i="3"/>
  <c r="BO83" i="3"/>
  <c r="BL83" i="3"/>
  <c r="BP83" i="3"/>
  <c r="BQ83" i="3"/>
  <c r="BR83" i="3"/>
  <c r="BS83" i="3"/>
  <c r="BT83" i="3"/>
  <c r="BB84" i="3"/>
  <c r="BC84" i="3"/>
  <c r="BD84" i="3"/>
  <c r="BA84" i="3"/>
  <c r="AZ84" i="3"/>
  <c r="BE84" i="3"/>
  <c r="BF84" i="3"/>
  <c r="BG84" i="3"/>
  <c r="BH84" i="3"/>
  <c r="BI84" i="3"/>
  <c r="BJ84" i="3"/>
  <c r="BK84" i="3"/>
  <c r="BM84" i="3"/>
  <c r="BN84" i="3"/>
  <c r="BO84" i="3"/>
  <c r="BP84" i="3"/>
  <c r="BQ84" i="3"/>
  <c r="BR84" i="3"/>
  <c r="BS84" i="3"/>
  <c r="BT84" i="3"/>
  <c r="BL84" i="3"/>
  <c r="BB85" i="3"/>
  <c r="BC85" i="3"/>
  <c r="BA85" i="3"/>
  <c r="BD85" i="3"/>
  <c r="BE85" i="3"/>
  <c r="BF85" i="3"/>
  <c r="BG85" i="3"/>
  <c r="BH85" i="3"/>
  <c r="BI85" i="3"/>
  <c r="BJ85" i="3"/>
  <c r="BK85" i="3"/>
  <c r="BM85" i="3"/>
  <c r="BN85" i="3"/>
  <c r="BO85" i="3"/>
  <c r="BL85" i="3"/>
  <c r="BP85" i="3"/>
  <c r="BQ85" i="3"/>
  <c r="BR85" i="3"/>
  <c r="BS85" i="3"/>
  <c r="BT85" i="3"/>
  <c r="BB86" i="3"/>
  <c r="BC86" i="3"/>
  <c r="BD86" i="3"/>
  <c r="BA86" i="3"/>
  <c r="AZ86" i="3"/>
  <c r="BE86" i="3"/>
  <c r="BF86" i="3"/>
  <c r="BG86" i="3"/>
  <c r="BH86" i="3"/>
  <c r="BI86" i="3"/>
  <c r="BJ86" i="3"/>
  <c r="BK86" i="3"/>
  <c r="BM86" i="3"/>
  <c r="BN86" i="3"/>
  <c r="BO86" i="3"/>
  <c r="BP86" i="3"/>
  <c r="BQ86" i="3"/>
  <c r="BR86" i="3"/>
  <c r="BS86" i="3"/>
  <c r="BT86" i="3"/>
  <c r="BL86" i="3"/>
  <c r="BB87" i="3"/>
  <c r="BC87" i="3"/>
  <c r="BA87" i="3"/>
  <c r="AZ87" i="3"/>
  <c r="BD87" i="3"/>
  <c r="BE87" i="3"/>
  <c r="BF87" i="3"/>
  <c r="BG87" i="3"/>
  <c r="BH87" i="3"/>
  <c r="BI87" i="3"/>
  <c r="BJ87" i="3"/>
  <c r="BK87" i="3"/>
  <c r="BM87" i="3"/>
  <c r="BN87" i="3"/>
  <c r="BO87" i="3"/>
  <c r="BL87" i="3"/>
  <c r="BP87" i="3"/>
  <c r="BQ87" i="3"/>
  <c r="BR87" i="3"/>
  <c r="BS87" i="3"/>
  <c r="BT87" i="3"/>
  <c r="BB88" i="3"/>
  <c r="BC88" i="3"/>
  <c r="BD88" i="3"/>
  <c r="BA88" i="3"/>
  <c r="AZ88" i="3"/>
  <c r="BE88" i="3"/>
  <c r="BF88" i="3"/>
  <c r="BG88" i="3"/>
  <c r="BH88" i="3"/>
  <c r="BI88" i="3"/>
  <c r="BJ88" i="3"/>
  <c r="BK88" i="3"/>
  <c r="BM88" i="3"/>
  <c r="BN88" i="3"/>
  <c r="BO88" i="3"/>
  <c r="BP88" i="3"/>
  <c r="BQ88" i="3"/>
  <c r="BR88" i="3"/>
  <c r="BS88" i="3"/>
  <c r="BT88" i="3"/>
  <c r="BL88" i="3"/>
  <c r="BB89" i="3"/>
  <c r="BC89" i="3"/>
  <c r="BA89" i="3"/>
  <c r="AZ89" i="3"/>
  <c r="BD89" i="3"/>
  <c r="BE89" i="3"/>
  <c r="BF89" i="3"/>
  <c r="BG89" i="3"/>
  <c r="BH89" i="3"/>
  <c r="BI89" i="3"/>
  <c r="BJ89" i="3"/>
  <c r="BK89" i="3"/>
  <c r="BM89" i="3"/>
  <c r="BN89" i="3"/>
  <c r="BO89" i="3"/>
  <c r="BL89" i="3"/>
  <c r="BP89" i="3"/>
  <c r="BQ89" i="3"/>
  <c r="BR89" i="3"/>
  <c r="BS89" i="3"/>
  <c r="BT89" i="3"/>
  <c r="BB90" i="3"/>
  <c r="BC90" i="3"/>
  <c r="BD90" i="3"/>
  <c r="BA90" i="3"/>
  <c r="AZ90" i="3"/>
  <c r="BE90" i="3"/>
  <c r="BF90" i="3"/>
  <c r="BG90" i="3"/>
  <c r="BH90" i="3"/>
  <c r="BI90" i="3"/>
  <c r="BJ90" i="3"/>
  <c r="BK90" i="3"/>
  <c r="BM90" i="3"/>
  <c r="BN90" i="3"/>
  <c r="BO90" i="3"/>
  <c r="BP90" i="3"/>
  <c r="BQ90" i="3"/>
  <c r="BR90" i="3"/>
  <c r="BS90" i="3"/>
  <c r="BT90" i="3"/>
  <c r="BL90" i="3"/>
  <c r="BB91" i="3"/>
  <c r="BC91" i="3"/>
  <c r="BA91" i="3"/>
  <c r="BD91" i="3"/>
  <c r="BE91" i="3"/>
  <c r="BF91" i="3"/>
  <c r="BG91" i="3"/>
  <c r="BH91" i="3"/>
  <c r="BI91" i="3"/>
  <c r="BJ91" i="3"/>
  <c r="BK91" i="3"/>
  <c r="BM91" i="3"/>
  <c r="BN91" i="3"/>
  <c r="BO91" i="3"/>
  <c r="BL91" i="3"/>
  <c r="BP91" i="3"/>
  <c r="BQ91" i="3"/>
  <c r="BR91" i="3"/>
  <c r="BS91" i="3"/>
  <c r="BT91" i="3"/>
  <c r="BB92" i="3"/>
  <c r="BC92" i="3"/>
  <c r="BD92" i="3"/>
  <c r="BA92" i="3"/>
  <c r="AZ92" i="3"/>
  <c r="BE92" i="3"/>
  <c r="BF92" i="3"/>
  <c r="BG92" i="3"/>
  <c r="BH92" i="3"/>
  <c r="BI92" i="3"/>
  <c r="BJ92" i="3"/>
  <c r="BK92" i="3"/>
  <c r="BM92" i="3"/>
  <c r="BN92" i="3"/>
  <c r="BO92" i="3"/>
  <c r="BP92" i="3"/>
  <c r="BQ92" i="3"/>
  <c r="BR92" i="3"/>
  <c r="BS92" i="3"/>
  <c r="BT92" i="3"/>
  <c r="BL92" i="3"/>
  <c r="BB93" i="3"/>
  <c r="BC93" i="3"/>
  <c r="BA93" i="3"/>
  <c r="AZ93" i="3"/>
  <c r="BD93" i="3"/>
  <c r="BE93" i="3"/>
  <c r="BF93" i="3"/>
  <c r="BG93" i="3"/>
  <c r="BH93" i="3"/>
  <c r="BI93" i="3"/>
  <c r="BJ93" i="3"/>
  <c r="BK93" i="3"/>
  <c r="BM93" i="3"/>
  <c r="BN93" i="3"/>
  <c r="BO93" i="3"/>
  <c r="BL93" i="3"/>
  <c r="BP93" i="3"/>
  <c r="BQ93" i="3"/>
  <c r="BR93" i="3"/>
  <c r="BS93" i="3"/>
  <c r="BT93" i="3"/>
  <c r="BB94" i="3"/>
  <c r="BC94" i="3"/>
  <c r="BD94" i="3"/>
  <c r="BA94" i="3"/>
  <c r="AZ94" i="3"/>
  <c r="BE94" i="3"/>
  <c r="BF94" i="3"/>
  <c r="BG94" i="3"/>
  <c r="BH94" i="3"/>
  <c r="BI94" i="3"/>
  <c r="BJ94" i="3"/>
  <c r="BK94" i="3"/>
  <c r="BM94" i="3"/>
  <c r="BN94" i="3"/>
  <c r="BO94" i="3"/>
  <c r="BP94" i="3"/>
  <c r="BQ94" i="3"/>
  <c r="BR94" i="3"/>
  <c r="BS94" i="3"/>
  <c r="BT94" i="3"/>
  <c r="BL94" i="3"/>
  <c r="BB95" i="3"/>
  <c r="BC95" i="3"/>
  <c r="BA95" i="3"/>
  <c r="AZ95" i="3"/>
  <c r="BD95" i="3"/>
  <c r="BE95" i="3"/>
  <c r="BF95" i="3"/>
  <c r="BG95" i="3"/>
  <c r="BH95" i="3"/>
  <c r="BI95" i="3"/>
  <c r="BJ95" i="3"/>
  <c r="BK95" i="3"/>
  <c r="BM95" i="3"/>
  <c r="BN95" i="3"/>
  <c r="BO95" i="3"/>
  <c r="BL95" i="3"/>
  <c r="BP95" i="3"/>
  <c r="BQ95" i="3"/>
  <c r="BR95" i="3"/>
  <c r="BS95" i="3"/>
  <c r="BT95" i="3"/>
  <c r="BB96" i="3"/>
  <c r="BC96" i="3"/>
  <c r="BD96" i="3"/>
  <c r="BA96" i="3"/>
  <c r="AZ96" i="3"/>
  <c r="BE96" i="3"/>
  <c r="BF96" i="3"/>
  <c r="BG96" i="3"/>
  <c r="BH96" i="3"/>
  <c r="BI96" i="3"/>
  <c r="BJ96" i="3"/>
  <c r="BK96" i="3"/>
  <c r="BM96" i="3"/>
  <c r="BN96" i="3"/>
  <c r="BO96" i="3"/>
  <c r="BP96" i="3"/>
  <c r="BQ96" i="3"/>
  <c r="BR96" i="3"/>
  <c r="BS96" i="3"/>
  <c r="BT96" i="3"/>
  <c r="BL96" i="3"/>
  <c r="BB97" i="3"/>
  <c r="BC97" i="3"/>
  <c r="BA97" i="3"/>
  <c r="BD97" i="3"/>
  <c r="BE97" i="3"/>
  <c r="BF97" i="3"/>
  <c r="BG97" i="3"/>
  <c r="BH97" i="3"/>
  <c r="BI97" i="3"/>
  <c r="BJ97" i="3"/>
  <c r="BK97" i="3"/>
  <c r="BM97" i="3"/>
  <c r="BN97" i="3"/>
  <c r="BO97" i="3"/>
  <c r="BL97" i="3"/>
  <c r="BP97" i="3"/>
  <c r="BQ97" i="3"/>
  <c r="BR97" i="3"/>
  <c r="BS97" i="3"/>
  <c r="BT97" i="3"/>
  <c r="BB98" i="3"/>
  <c r="BC98" i="3"/>
  <c r="BD98" i="3"/>
  <c r="BA98" i="3"/>
  <c r="AZ98" i="3"/>
  <c r="BE98" i="3"/>
  <c r="BF98" i="3"/>
  <c r="BG98" i="3"/>
  <c r="BH98" i="3"/>
  <c r="BI98" i="3"/>
  <c r="BJ98" i="3"/>
  <c r="BK98" i="3"/>
  <c r="BM98" i="3"/>
  <c r="BN98" i="3"/>
  <c r="BO98" i="3"/>
  <c r="BP98" i="3"/>
  <c r="BQ98" i="3"/>
  <c r="BR98" i="3"/>
  <c r="BS98" i="3"/>
  <c r="BT98" i="3"/>
  <c r="BL98" i="3"/>
  <c r="BB99" i="3"/>
  <c r="BC99" i="3"/>
  <c r="BA99" i="3"/>
  <c r="AZ99" i="3"/>
  <c r="BD99" i="3"/>
  <c r="BE99" i="3"/>
  <c r="BF99" i="3"/>
  <c r="BG99" i="3"/>
  <c r="BH99" i="3"/>
  <c r="BI99" i="3"/>
  <c r="BJ99" i="3"/>
  <c r="BK99" i="3"/>
  <c r="BM99" i="3"/>
  <c r="BN99" i="3"/>
  <c r="BO99" i="3"/>
  <c r="BL99" i="3"/>
  <c r="BP99" i="3"/>
  <c r="BQ99" i="3"/>
  <c r="BR99" i="3"/>
  <c r="BS99" i="3"/>
  <c r="BT99" i="3"/>
  <c r="BB100" i="3"/>
  <c r="BC100" i="3"/>
  <c r="BD100" i="3"/>
  <c r="BA100" i="3"/>
  <c r="AZ100" i="3"/>
  <c r="BE100" i="3"/>
  <c r="BF100" i="3"/>
  <c r="BG100" i="3"/>
  <c r="BH100" i="3"/>
  <c r="BI100" i="3"/>
  <c r="BJ100" i="3"/>
  <c r="BK100" i="3"/>
  <c r="BM100" i="3"/>
  <c r="BN100" i="3"/>
  <c r="BO100" i="3"/>
  <c r="BP100" i="3"/>
  <c r="BQ100" i="3"/>
  <c r="BR100" i="3"/>
  <c r="BS100" i="3"/>
  <c r="BT100" i="3"/>
  <c r="BL100" i="3"/>
  <c r="BB101" i="3"/>
  <c r="BC101" i="3"/>
  <c r="BA101" i="3"/>
  <c r="BD101" i="3"/>
  <c r="BE101" i="3"/>
  <c r="BF101" i="3"/>
  <c r="BG101" i="3"/>
  <c r="BH101" i="3"/>
  <c r="BI101" i="3"/>
  <c r="BJ101" i="3"/>
  <c r="BK101" i="3"/>
  <c r="BM101" i="3"/>
  <c r="BN101" i="3"/>
  <c r="BO101" i="3"/>
  <c r="BL101" i="3"/>
  <c r="BP101" i="3"/>
  <c r="BQ101" i="3"/>
  <c r="BR101" i="3"/>
  <c r="BS101" i="3"/>
  <c r="BT101" i="3"/>
  <c r="BB102" i="3"/>
  <c r="BC102" i="3"/>
  <c r="BD102" i="3"/>
  <c r="BA102" i="3"/>
  <c r="AZ102" i="3"/>
  <c r="BE102" i="3"/>
  <c r="BF102" i="3"/>
  <c r="BG102" i="3"/>
  <c r="BH102" i="3"/>
  <c r="BI102" i="3"/>
  <c r="BJ102" i="3"/>
  <c r="BK102" i="3"/>
  <c r="BM102" i="3"/>
  <c r="BN102" i="3"/>
  <c r="BO102" i="3"/>
  <c r="BP102" i="3"/>
  <c r="BQ102" i="3"/>
  <c r="BR102" i="3"/>
  <c r="BS102" i="3"/>
  <c r="BT102" i="3"/>
  <c r="BL102" i="3"/>
  <c r="BB103" i="3"/>
  <c r="BC103" i="3"/>
  <c r="BA103" i="3"/>
  <c r="AZ103" i="3"/>
  <c r="BD103" i="3"/>
  <c r="BE103" i="3"/>
  <c r="BF103" i="3"/>
  <c r="BG103" i="3"/>
  <c r="BH103" i="3"/>
  <c r="BI103" i="3"/>
  <c r="BJ103" i="3"/>
  <c r="BK103" i="3"/>
  <c r="BM103" i="3"/>
  <c r="BN103" i="3"/>
  <c r="BO103" i="3"/>
  <c r="BL103" i="3"/>
  <c r="BP103" i="3"/>
  <c r="BQ103" i="3"/>
  <c r="BR103" i="3"/>
  <c r="BS103" i="3"/>
  <c r="BT103" i="3"/>
  <c r="BB104" i="3"/>
  <c r="BC104" i="3"/>
  <c r="BD104" i="3"/>
  <c r="BA104" i="3"/>
  <c r="AZ104" i="3"/>
  <c r="BE104" i="3"/>
  <c r="BF104" i="3"/>
  <c r="BG104" i="3"/>
  <c r="BH104" i="3"/>
  <c r="BI104" i="3"/>
  <c r="BJ104" i="3"/>
  <c r="BK104" i="3"/>
  <c r="BM104" i="3"/>
  <c r="BN104" i="3"/>
  <c r="BO104" i="3"/>
  <c r="BP104" i="3"/>
  <c r="BQ104" i="3"/>
  <c r="BR104" i="3"/>
  <c r="BS104" i="3"/>
  <c r="BT104" i="3"/>
  <c r="BL104" i="3"/>
  <c r="BB105" i="3"/>
  <c r="BC105" i="3"/>
  <c r="BA105" i="3"/>
  <c r="AZ105" i="3"/>
  <c r="BD105" i="3"/>
  <c r="BE105" i="3"/>
  <c r="BF105" i="3"/>
  <c r="BG105" i="3"/>
  <c r="BH105" i="3"/>
  <c r="BI105" i="3"/>
  <c r="BJ105" i="3"/>
  <c r="BK105" i="3"/>
  <c r="BM105" i="3"/>
  <c r="BN105" i="3"/>
  <c r="BO105" i="3"/>
  <c r="BL105" i="3"/>
  <c r="BP105" i="3"/>
  <c r="BQ105" i="3"/>
  <c r="BR105" i="3"/>
  <c r="BS105" i="3"/>
  <c r="BT105" i="3"/>
  <c r="BB106" i="3"/>
  <c r="BC106" i="3"/>
  <c r="BD106" i="3"/>
  <c r="BA106" i="3"/>
  <c r="AZ106" i="3"/>
  <c r="BE106" i="3"/>
  <c r="BF106" i="3"/>
  <c r="BG106" i="3"/>
  <c r="BH106" i="3"/>
  <c r="BI106" i="3"/>
  <c r="BJ106" i="3"/>
  <c r="BK106" i="3"/>
  <c r="BM106" i="3"/>
  <c r="BN106" i="3"/>
  <c r="BO106" i="3"/>
  <c r="BP106" i="3"/>
  <c r="BQ106" i="3"/>
  <c r="BR106" i="3"/>
  <c r="BS106" i="3"/>
  <c r="BT106" i="3"/>
  <c r="BL106" i="3"/>
  <c r="BB107" i="3"/>
  <c r="BC107" i="3"/>
  <c r="BA107" i="3"/>
  <c r="AZ107" i="3"/>
  <c r="BD107" i="3"/>
  <c r="BE107" i="3"/>
  <c r="BF107" i="3"/>
  <c r="BG107" i="3"/>
  <c r="BH107" i="3"/>
  <c r="BI107" i="3"/>
  <c r="BJ107" i="3"/>
  <c r="BK107" i="3"/>
  <c r="BM107" i="3"/>
  <c r="BN107" i="3"/>
  <c r="BO107" i="3"/>
  <c r="BL107" i="3"/>
  <c r="BP107" i="3"/>
  <c r="BQ107" i="3"/>
  <c r="BR107" i="3"/>
  <c r="BS107" i="3"/>
  <c r="BT107" i="3"/>
  <c r="BB108" i="3"/>
  <c r="BC108" i="3"/>
  <c r="BD108" i="3"/>
  <c r="BA108" i="3"/>
  <c r="AZ108" i="3"/>
  <c r="BE108" i="3"/>
  <c r="BF108" i="3"/>
  <c r="BG108" i="3"/>
  <c r="BH108" i="3"/>
  <c r="BI108" i="3"/>
  <c r="BJ108" i="3"/>
  <c r="BK108" i="3"/>
  <c r="BM108" i="3"/>
  <c r="BN108" i="3"/>
  <c r="BO108" i="3"/>
  <c r="BP108" i="3"/>
  <c r="BQ108" i="3"/>
  <c r="BR108" i="3"/>
  <c r="BS108" i="3"/>
  <c r="BT108" i="3"/>
  <c r="BL108" i="3"/>
  <c r="BB109" i="3"/>
  <c r="BC109" i="3"/>
  <c r="BA109" i="3"/>
  <c r="AZ109" i="3"/>
  <c r="BD109" i="3"/>
  <c r="BE109" i="3"/>
  <c r="BF109" i="3"/>
  <c r="BG109" i="3"/>
  <c r="BH109" i="3"/>
  <c r="BI109" i="3"/>
  <c r="BJ109" i="3"/>
  <c r="BK109" i="3"/>
  <c r="BM109" i="3"/>
  <c r="BN109" i="3"/>
  <c r="BO109" i="3"/>
  <c r="BL109" i="3"/>
  <c r="BP109" i="3"/>
  <c r="BQ109" i="3"/>
  <c r="BR109" i="3"/>
  <c r="BS109" i="3"/>
  <c r="BT109" i="3"/>
  <c r="BB110" i="3"/>
  <c r="BC110" i="3"/>
  <c r="BD110" i="3"/>
  <c r="BA110" i="3"/>
  <c r="AZ110" i="3"/>
  <c r="BE110" i="3"/>
  <c r="BF110" i="3"/>
  <c r="BG110" i="3"/>
  <c r="BH110" i="3"/>
  <c r="BI110" i="3"/>
  <c r="BJ110" i="3"/>
  <c r="BK110" i="3"/>
  <c r="BM110" i="3"/>
  <c r="BN110" i="3"/>
  <c r="BO110" i="3"/>
  <c r="BP110" i="3"/>
  <c r="BQ110" i="3"/>
  <c r="BR110" i="3"/>
  <c r="BS110" i="3"/>
  <c r="BT110" i="3"/>
  <c r="BL110" i="3"/>
  <c r="BB111" i="3"/>
  <c r="BC111" i="3"/>
  <c r="BA111" i="3"/>
  <c r="BD111" i="3"/>
  <c r="BE111" i="3"/>
  <c r="BF111" i="3"/>
  <c r="BG111" i="3"/>
  <c r="BH111" i="3"/>
  <c r="BI111" i="3"/>
  <c r="BJ111" i="3"/>
  <c r="BK111" i="3"/>
  <c r="BM111" i="3"/>
  <c r="BN111" i="3"/>
  <c r="BO111" i="3"/>
  <c r="BL111" i="3"/>
  <c r="BP111" i="3"/>
  <c r="BQ111" i="3"/>
  <c r="BR111" i="3"/>
  <c r="BS111" i="3"/>
  <c r="BT111" i="3"/>
  <c r="BB112" i="3"/>
  <c r="BC112" i="3"/>
  <c r="BD112" i="3"/>
  <c r="BA112" i="3"/>
  <c r="AZ112" i="3"/>
  <c r="BE112" i="3"/>
  <c r="BF112" i="3"/>
  <c r="BG112" i="3"/>
  <c r="BH112" i="3"/>
  <c r="BI112" i="3"/>
  <c r="BJ112" i="3"/>
  <c r="BK112" i="3"/>
  <c r="BM112" i="3"/>
  <c r="BN112" i="3"/>
  <c r="BO112" i="3"/>
  <c r="BP112" i="3"/>
  <c r="BQ112" i="3"/>
  <c r="BR112" i="3"/>
  <c r="BS112" i="3"/>
  <c r="BT112" i="3"/>
  <c r="BL112" i="3"/>
  <c r="BB113" i="3"/>
  <c r="BC113" i="3"/>
  <c r="BA113" i="3"/>
  <c r="AZ113" i="3"/>
  <c r="BD113" i="3"/>
  <c r="BE113" i="3"/>
  <c r="BF113" i="3"/>
  <c r="BG113" i="3"/>
  <c r="BH113" i="3"/>
  <c r="BI113" i="3"/>
  <c r="BJ113" i="3"/>
  <c r="BK113" i="3"/>
  <c r="BM113" i="3"/>
  <c r="BN113" i="3"/>
  <c r="BO113" i="3"/>
  <c r="BL113" i="3"/>
  <c r="BP113" i="3"/>
  <c r="BQ113" i="3"/>
  <c r="BR113" i="3"/>
  <c r="BS113" i="3"/>
  <c r="BT113" i="3"/>
  <c r="BB114" i="3"/>
  <c r="BC114" i="3"/>
  <c r="BD114" i="3"/>
  <c r="BA114" i="3"/>
  <c r="AZ114" i="3"/>
  <c r="BE114" i="3"/>
  <c r="BF114" i="3"/>
  <c r="BG114" i="3"/>
  <c r="BH114" i="3"/>
  <c r="BI114" i="3"/>
  <c r="BJ114" i="3"/>
  <c r="BK114" i="3"/>
  <c r="BM114" i="3"/>
  <c r="BN114" i="3"/>
  <c r="BO114" i="3"/>
  <c r="BP114" i="3"/>
  <c r="BQ114" i="3"/>
  <c r="BR114" i="3"/>
  <c r="BS114" i="3"/>
  <c r="BT114" i="3"/>
  <c r="BL114" i="3"/>
  <c r="BB115" i="3"/>
  <c r="BC115" i="3"/>
  <c r="BA115" i="3"/>
  <c r="AZ115" i="3"/>
  <c r="BD115" i="3"/>
  <c r="BE115" i="3"/>
  <c r="BF115" i="3"/>
  <c r="BG115" i="3"/>
  <c r="BH115" i="3"/>
  <c r="BI115" i="3"/>
  <c r="BJ115" i="3"/>
  <c r="BK115" i="3"/>
  <c r="BM115" i="3"/>
  <c r="BN115" i="3"/>
  <c r="BO115" i="3"/>
  <c r="BL115" i="3"/>
  <c r="BP115" i="3"/>
  <c r="BQ115" i="3"/>
  <c r="BR115" i="3"/>
  <c r="BS115" i="3"/>
  <c r="BT115" i="3"/>
  <c r="BB116" i="3"/>
  <c r="BC116" i="3"/>
  <c r="BD116" i="3"/>
  <c r="BA116" i="3"/>
  <c r="AZ116" i="3"/>
  <c r="BE116" i="3"/>
  <c r="BF116" i="3"/>
  <c r="BG116" i="3"/>
  <c r="BH116" i="3"/>
  <c r="BI116" i="3"/>
  <c r="BJ116" i="3"/>
  <c r="BK116" i="3"/>
  <c r="BM116" i="3"/>
  <c r="BN116" i="3"/>
  <c r="BO116" i="3"/>
  <c r="BP116" i="3"/>
  <c r="BQ116" i="3"/>
  <c r="BR116" i="3"/>
  <c r="BS116" i="3"/>
  <c r="BT116" i="3"/>
  <c r="BL116" i="3"/>
  <c r="BB117" i="3"/>
  <c r="BC117" i="3"/>
  <c r="BA117" i="3"/>
  <c r="AZ117" i="3"/>
  <c r="BD117" i="3"/>
  <c r="BE117" i="3"/>
  <c r="BF117" i="3"/>
  <c r="BG117" i="3"/>
  <c r="BH117" i="3"/>
  <c r="BI117" i="3"/>
  <c r="BJ117" i="3"/>
  <c r="BK117" i="3"/>
  <c r="BM117" i="3"/>
  <c r="BN117" i="3"/>
  <c r="BO117" i="3"/>
  <c r="BL117" i="3"/>
  <c r="BP117" i="3"/>
  <c r="BQ117" i="3"/>
  <c r="BR117" i="3"/>
  <c r="BS117" i="3"/>
  <c r="BT117" i="3"/>
  <c r="BB118" i="3"/>
  <c r="BC118" i="3"/>
  <c r="BD118" i="3"/>
  <c r="BA118" i="3"/>
  <c r="AZ118" i="3"/>
  <c r="BE118" i="3"/>
  <c r="BF118" i="3"/>
  <c r="BG118" i="3"/>
  <c r="BH118" i="3"/>
  <c r="BI118" i="3"/>
  <c r="BJ118" i="3"/>
  <c r="BK118" i="3"/>
  <c r="BM118" i="3"/>
  <c r="BN118" i="3"/>
  <c r="BO118" i="3"/>
  <c r="BP118" i="3"/>
  <c r="BQ118" i="3"/>
  <c r="BR118" i="3"/>
  <c r="BS118" i="3"/>
  <c r="BT118" i="3"/>
  <c r="BL118" i="3"/>
  <c r="BB119" i="3"/>
  <c r="BC119" i="3"/>
  <c r="BA119" i="3"/>
  <c r="AZ119" i="3"/>
  <c r="BD119" i="3"/>
  <c r="BE119" i="3"/>
  <c r="BF119" i="3"/>
  <c r="BG119" i="3"/>
  <c r="BH119" i="3"/>
  <c r="BI119" i="3"/>
  <c r="BJ119" i="3"/>
  <c r="BK119" i="3"/>
  <c r="BM119" i="3"/>
  <c r="BN119" i="3"/>
  <c r="BO119" i="3"/>
  <c r="BL119" i="3"/>
  <c r="BP119" i="3"/>
  <c r="BQ119" i="3"/>
  <c r="BR119" i="3"/>
  <c r="BS119" i="3"/>
  <c r="BT119" i="3"/>
  <c r="BB120" i="3"/>
  <c r="BC120" i="3"/>
  <c r="BD120" i="3"/>
  <c r="BA120" i="3"/>
  <c r="AZ120" i="3"/>
  <c r="BE120" i="3"/>
  <c r="BF120" i="3"/>
  <c r="BG120" i="3"/>
  <c r="BH120" i="3"/>
  <c r="BI120" i="3"/>
  <c r="BJ120" i="3"/>
  <c r="BK120" i="3"/>
  <c r="BM120" i="3"/>
  <c r="BN120" i="3"/>
  <c r="BO120" i="3"/>
  <c r="BP120" i="3"/>
  <c r="BQ120" i="3"/>
  <c r="BR120" i="3"/>
  <c r="BS120" i="3"/>
  <c r="BT120" i="3"/>
  <c r="BL120" i="3"/>
  <c r="BB121" i="3"/>
  <c r="BC121" i="3"/>
  <c r="BA121" i="3"/>
  <c r="AZ121" i="3"/>
  <c r="BD121" i="3"/>
  <c r="BE121" i="3"/>
  <c r="BF121" i="3"/>
  <c r="BG121" i="3"/>
  <c r="BH121" i="3"/>
  <c r="BI121" i="3"/>
  <c r="BJ121" i="3"/>
  <c r="BK121" i="3"/>
  <c r="BM121" i="3"/>
  <c r="BN121" i="3"/>
  <c r="BO121" i="3"/>
  <c r="BL121" i="3"/>
  <c r="BP121" i="3"/>
  <c r="BQ121" i="3"/>
  <c r="BR121" i="3"/>
  <c r="BS121" i="3"/>
  <c r="BT121" i="3"/>
  <c r="BB122" i="3"/>
  <c r="BC122" i="3"/>
  <c r="BD122" i="3"/>
  <c r="BA122" i="3"/>
  <c r="AZ122" i="3"/>
  <c r="BE122" i="3"/>
  <c r="BF122" i="3"/>
  <c r="BG122" i="3"/>
  <c r="BH122" i="3"/>
  <c r="BI122" i="3"/>
  <c r="BJ122" i="3"/>
  <c r="BK122" i="3"/>
  <c r="BM122" i="3"/>
  <c r="BN122" i="3"/>
  <c r="BO122" i="3"/>
  <c r="BP122" i="3"/>
  <c r="BQ122" i="3"/>
  <c r="BR122" i="3"/>
  <c r="BS122" i="3"/>
  <c r="BT122" i="3"/>
  <c r="BL122" i="3"/>
  <c r="BB123" i="3"/>
  <c r="BC123" i="3"/>
  <c r="BA123" i="3"/>
  <c r="BD123" i="3"/>
  <c r="BE123" i="3"/>
  <c r="BF123" i="3"/>
  <c r="BG123" i="3"/>
  <c r="BH123" i="3"/>
  <c r="BI123" i="3"/>
  <c r="BJ123" i="3"/>
  <c r="BK123" i="3"/>
  <c r="BM123" i="3"/>
  <c r="BN123" i="3"/>
  <c r="BO123" i="3"/>
  <c r="BL123" i="3"/>
  <c r="BP123" i="3"/>
  <c r="BQ123" i="3"/>
  <c r="BR123" i="3"/>
  <c r="BS123" i="3"/>
  <c r="BT123" i="3"/>
  <c r="BB124" i="3"/>
  <c r="BC124" i="3"/>
  <c r="BD124" i="3"/>
  <c r="BA124" i="3"/>
  <c r="AZ124" i="3"/>
  <c r="BE124" i="3"/>
  <c r="BF124" i="3"/>
  <c r="BG124" i="3"/>
  <c r="BH124" i="3"/>
  <c r="BI124" i="3"/>
  <c r="BJ124" i="3"/>
  <c r="BK124" i="3"/>
  <c r="BM124" i="3"/>
  <c r="BN124" i="3"/>
  <c r="BO124" i="3"/>
  <c r="BP124" i="3"/>
  <c r="BQ124" i="3"/>
  <c r="BR124" i="3"/>
  <c r="BS124" i="3"/>
  <c r="BT124" i="3"/>
  <c r="BL124" i="3"/>
  <c r="BB125" i="3"/>
  <c r="BC125" i="3"/>
  <c r="BA125" i="3"/>
  <c r="AZ125" i="3"/>
  <c r="BD125" i="3"/>
  <c r="BE125" i="3"/>
  <c r="BF125" i="3"/>
  <c r="BG125" i="3"/>
  <c r="BH125" i="3"/>
  <c r="BI125" i="3"/>
  <c r="BJ125" i="3"/>
  <c r="BK125" i="3"/>
  <c r="BM125" i="3"/>
  <c r="BN125" i="3"/>
  <c r="BO125" i="3"/>
  <c r="BL125" i="3"/>
  <c r="BP125" i="3"/>
  <c r="BQ125" i="3"/>
  <c r="BR125" i="3"/>
  <c r="BS125" i="3"/>
  <c r="BT125" i="3"/>
  <c r="BB126" i="3"/>
  <c r="BC126" i="3"/>
  <c r="BD126" i="3"/>
  <c r="BA126" i="3"/>
  <c r="AZ126" i="3"/>
  <c r="BE126" i="3"/>
  <c r="BF126" i="3"/>
  <c r="BG126" i="3"/>
  <c r="BH126" i="3"/>
  <c r="BI126" i="3"/>
  <c r="BJ126" i="3"/>
  <c r="BK126" i="3"/>
  <c r="BM126" i="3"/>
  <c r="BN126" i="3"/>
  <c r="BO126" i="3"/>
  <c r="BP126" i="3"/>
  <c r="BQ126" i="3"/>
  <c r="BR126" i="3"/>
  <c r="BS126" i="3"/>
  <c r="BT126" i="3"/>
  <c r="BL126" i="3"/>
  <c r="BB127" i="3"/>
  <c r="BC127" i="3"/>
  <c r="BA127" i="3"/>
  <c r="BD127" i="3"/>
  <c r="BE127" i="3"/>
  <c r="BF127" i="3"/>
  <c r="BG127" i="3"/>
  <c r="BH127" i="3"/>
  <c r="BI127" i="3"/>
  <c r="BJ127" i="3"/>
  <c r="BK127" i="3"/>
  <c r="BM127" i="3"/>
  <c r="BN127" i="3"/>
  <c r="BO127" i="3"/>
  <c r="BL127" i="3"/>
  <c r="BP127" i="3"/>
  <c r="BQ127" i="3"/>
  <c r="BR127" i="3"/>
  <c r="BS127" i="3"/>
  <c r="BT127" i="3"/>
  <c r="BB128" i="3"/>
  <c r="BC128" i="3"/>
  <c r="BD128" i="3"/>
  <c r="BA128" i="3"/>
  <c r="AZ128" i="3"/>
  <c r="BE128" i="3"/>
  <c r="BF128" i="3"/>
  <c r="BG128" i="3"/>
  <c r="BH128" i="3"/>
  <c r="BI128" i="3"/>
  <c r="BJ128" i="3"/>
  <c r="BK128" i="3"/>
  <c r="BM128" i="3"/>
  <c r="BN128" i="3"/>
  <c r="BO128" i="3"/>
  <c r="BP128" i="3"/>
  <c r="BQ128" i="3"/>
  <c r="BR128" i="3"/>
  <c r="BS128" i="3"/>
  <c r="BT128" i="3"/>
  <c r="BL128" i="3"/>
  <c r="BB129" i="3"/>
  <c r="BC129" i="3"/>
  <c r="BA129" i="3"/>
  <c r="AZ129" i="3"/>
  <c r="BD129" i="3"/>
  <c r="BE129" i="3"/>
  <c r="BF129" i="3"/>
  <c r="BG129" i="3"/>
  <c r="BH129" i="3"/>
  <c r="BI129" i="3"/>
  <c r="BJ129" i="3"/>
  <c r="BK129" i="3"/>
  <c r="BM129" i="3"/>
  <c r="BN129" i="3"/>
  <c r="BO129" i="3"/>
  <c r="BL129" i="3"/>
  <c r="BP129" i="3"/>
  <c r="BQ129" i="3"/>
  <c r="BR129" i="3"/>
  <c r="BS129" i="3"/>
  <c r="BT129" i="3"/>
  <c r="BB130" i="3"/>
  <c r="BC130" i="3"/>
  <c r="BD130" i="3"/>
  <c r="BA130" i="3"/>
  <c r="AZ130" i="3"/>
  <c r="BE130" i="3"/>
  <c r="BF130" i="3"/>
  <c r="BG130" i="3"/>
  <c r="BH130" i="3"/>
  <c r="BI130" i="3"/>
  <c r="BJ130" i="3"/>
  <c r="BK130" i="3"/>
  <c r="BM130" i="3"/>
  <c r="BN130" i="3"/>
  <c r="BO130" i="3"/>
  <c r="BP130" i="3"/>
  <c r="BQ130" i="3"/>
  <c r="BR130" i="3"/>
  <c r="BS130" i="3"/>
  <c r="BT130" i="3"/>
  <c r="BL130" i="3"/>
  <c r="BB131" i="3"/>
  <c r="BC131" i="3"/>
  <c r="BA131" i="3"/>
  <c r="BD131" i="3"/>
  <c r="BE131" i="3"/>
  <c r="BF131" i="3"/>
  <c r="BG131" i="3"/>
  <c r="BH131" i="3"/>
  <c r="BI131" i="3"/>
  <c r="BJ131" i="3"/>
  <c r="BK131" i="3"/>
  <c r="BM131" i="3"/>
  <c r="BN131" i="3"/>
  <c r="BO131" i="3"/>
  <c r="BL131" i="3"/>
  <c r="BP131" i="3"/>
  <c r="BQ131" i="3"/>
  <c r="BR131" i="3"/>
  <c r="BS131" i="3"/>
  <c r="BT131" i="3"/>
  <c r="BB132" i="3"/>
  <c r="BC132" i="3"/>
  <c r="BD132" i="3"/>
  <c r="BA132" i="3"/>
  <c r="AZ132" i="3"/>
  <c r="BE132" i="3"/>
  <c r="BF132" i="3"/>
  <c r="BG132" i="3"/>
  <c r="BH132" i="3"/>
  <c r="BI132" i="3"/>
  <c r="BJ132" i="3"/>
  <c r="BK132" i="3"/>
  <c r="BM132" i="3"/>
  <c r="BN132" i="3"/>
  <c r="BO132" i="3"/>
  <c r="BP132" i="3"/>
  <c r="BQ132" i="3"/>
  <c r="BR132" i="3"/>
  <c r="BS132" i="3"/>
  <c r="BT132" i="3"/>
  <c r="BL132" i="3"/>
  <c r="BB133" i="3"/>
  <c r="BC133" i="3"/>
  <c r="BA133" i="3"/>
  <c r="AZ133" i="3"/>
  <c r="BD133" i="3"/>
  <c r="BE133" i="3"/>
  <c r="BF133" i="3"/>
  <c r="BG133" i="3"/>
  <c r="BH133" i="3"/>
  <c r="BI133" i="3"/>
  <c r="BJ133" i="3"/>
  <c r="BK133" i="3"/>
  <c r="BM133" i="3"/>
  <c r="BN133" i="3"/>
  <c r="BO133" i="3"/>
  <c r="BL133" i="3"/>
  <c r="BP133" i="3"/>
  <c r="BQ133" i="3"/>
  <c r="BR133" i="3"/>
  <c r="BS133" i="3"/>
  <c r="BT133" i="3"/>
  <c r="BB134" i="3"/>
  <c r="BC134" i="3"/>
  <c r="BD134" i="3"/>
  <c r="BA134" i="3"/>
  <c r="AZ134" i="3"/>
  <c r="BE134" i="3"/>
  <c r="BF134" i="3"/>
  <c r="BG134" i="3"/>
  <c r="BH134" i="3"/>
  <c r="BI134" i="3"/>
  <c r="BJ134" i="3"/>
  <c r="BK134" i="3"/>
  <c r="BM134" i="3"/>
  <c r="BN134" i="3"/>
  <c r="BO134" i="3"/>
  <c r="BP134" i="3"/>
  <c r="BQ134" i="3"/>
  <c r="BR134" i="3"/>
  <c r="BS134" i="3"/>
  <c r="BT134" i="3"/>
  <c r="BL134" i="3"/>
  <c r="BB135" i="3"/>
  <c r="BC135" i="3"/>
  <c r="BA135" i="3"/>
  <c r="BD135" i="3"/>
  <c r="BE135" i="3"/>
  <c r="BF135" i="3"/>
  <c r="BG135" i="3"/>
  <c r="BH135" i="3"/>
  <c r="BI135" i="3"/>
  <c r="BJ135" i="3"/>
  <c r="BK135" i="3"/>
  <c r="BM135" i="3"/>
  <c r="BN135" i="3"/>
  <c r="BO135" i="3"/>
  <c r="BL135" i="3"/>
  <c r="BP135" i="3"/>
  <c r="BQ135" i="3"/>
  <c r="BR135" i="3"/>
  <c r="BS135" i="3"/>
  <c r="BT135" i="3"/>
  <c r="BB136" i="3"/>
  <c r="BC136" i="3"/>
  <c r="BD136" i="3"/>
  <c r="BA136" i="3"/>
  <c r="AZ136" i="3"/>
  <c r="BE136" i="3"/>
  <c r="BF136" i="3"/>
  <c r="BG136" i="3"/>
  <c r="BH136" i="3"/>
  <c r="BI136" i="3"/>
  <c r="BJ136" i="3"/>
  <c r="BK136" i="3"/>
  <c r="BM136" i="3"/>
  <c r="BN136" i="3"/>
  <c r="BO136" i="3"/>
  <c r="BP136" i="3"/>
  <c r="BQ136" i="3"/>
  <c r="BR136" i="3"/>
  <c r="BS136" i="3"/>
  <c r="BT136" i="3"/>
  <c r="BL136" i="3"/>
  <c r="BB137" i="3"/>
  <c r="BC137" i="3"/>
  <c r="BA137" i="3"/>
  <c r="AZ137" i="3"/>
  <c r="BD137" i="3"/>
  <c r="BE137" i="3"/>
  <c r="BF137" i="3"/>
  <c r="BG137" i="3"/>
  <c r="BH137" i="3"/>
  <c r="BI137" i="3"/>
  <c r="BJ137" i="3"/>
  <c r="BK137" i="3"/>
  <c r="BM137" i="3"/>
  <c r="BN137" i="3"/>
  <c r="BO137" i="3"/>
  <c r="BL137" i="3"/>
  <c r="BP137" i="3"/>
  <c r="BQ137" i="3"/>
  <c r="BR137" i="3"/>
  <c r="BS137" i="3"/>
  <c r="BT137" i="3"/>
  <c r="BB138" i="3"/>
  <c r="BC138" i="3"/>
  <c r="BD138" i="3"/>
  <c r="BA138" i="3"/>
  <c r="AZ138" i="3"/>
  <c r="BE138" i="3"/>
  <c r="BF138" i="3"/>
  <c r="BG138" i="3"/>
  <c r="BH138" i="3"/>
  <c r="BI138" i="3"/>
  <c r="BJ138" i="3"/>
  <c r="BK138" i="3"/>
  <c r="BM138" i="3"/>
  <c r="BN138" i="3"/>
  <c r="BO138" i="3"/>
  <c r="BP138" i="3"/>
  <c r="BQ138" i="3"/>
  <c r="BR138" i="3"/>
  <c r="BS138" i="3"/>
  <c r="BT138" i="3"/>
  <c r="BL138" i="3"/>
  <c r="BB139" i="3"/>
  <c r="BC139" i="3"/>
  <c r="BA139" i="3"/>
  <c r="BD139" i="3"/>
  <c r="BE139" i="3"/>
  <c r="BF139" i="3"/>
  <c r="BG139" i="3"/>
  <c r="BH139" i="3"/>
  <c r="BI139" i="3"/>
  <c r="BJ139" i="3"/>
  <c r="BK139" i="3"/>
  <c r="BM139" i="3"/>
  <c r="BN139" i="3"/>
  <c r="BO139" i="3"/>
  <c r="BL139" i="3"/>
  <c r="BP139" i="3"/>
  <c r="BQ139" i="3"/>
  <c r="BR139" i="3"/>
  <c r="BS139" i="3"/>
  <c r="BT139" i="3"/>
  <c r="BB140" i="3"/>
  <c r="BC140" i="3"/>
  <c r="BD140" i="3"/>
  <c r="BA140" i="3"/>
  <c r="AZ140" i="3"/>
  <c r="BE140" i="3"/>
  <c r="BF140" i="3"/>
  <c r="BG140" i="3"/>
  <c r="BH140" i="3"/>
  <c r="BI140" i="3"/>
  <c r="BJ140" i="3"/>
  <c r="BK140" i="3"/>
  <c r="BM140" i="3"/>
  <c r="BN140" i="3"/>
  <c r="BO140" i="3"/>
  <c r="BP140" i="3"/>
  <c r="BQ140" i="3"/>
  <c r="BR140" i="3"/>
  <c r="BS140" i="3"/>
  <c r="BT140" i="3"/>
  <c r="BL140" i="3"/>
  <c r="BB141" i="3"/>
  <c r="BC141" i="3"/>
  <c r="BA141" i="3"/>
  <c r="AZ141" i="3"/>
  <c r="BD141" i="3"/>
  <c r="BE141" i="3"/>
  <c r="BF141" i="3"/>
  <c r="BG141" i="3"/>
  <c r="BH141" i="3"/>
  <c r="BI141" i="3"/>
  <c r="BJ141" i="3"/>
  <c r="BK141" i="3"/>
  <c r="BM141" i="3"/>
  <c r="BN141" i="3"/>
  <c r="BO141" i="3"/>
  <c r="BL141" i="3"/>
  <c r="BP141" i="3"/>
  <c r="BQ141" i="3"/>
  <c r="BR141" i="3"/>
  <c r="BS141" i="3"/>
  <c r="BT141" i="3"/>
  <c r="BB142" i="3"/>
  <c r="BC142" i="3"/>
  <c r="BD142" i="3"/>
  <c r="BA142" i="3"/>
  <c r="AZ142" i="3"/>
  <c r="BE142" i="3"/>
  <c r="BF142" i="3"/>
  <c r="BG142" i="3"/>
  <c r="BH142" i="3"/>
  <c r="BI142" i="3"/>
  <c r="BJ142" i="3"/>
  <c r="BK142" i="3"/>
  <c r="BM142" i="3"/>
  <c r="BN142" i="3"/>
  <c r="BO142" i="3"/>
  <c r="BP142" i="3"/>
  <c r="BQ142" i="3"/>
  <c r="BR142" i="3"/>
  <c r="BS142" i="3"/>
  <c r="BT142" i="3"/>
  <c r="BL142" i="3"/>
  <c r="BB143" i="3"/>
  <c r="BC143" i="3"/>
  <c r="BA143" i="3"/>
  <c r="BD143" i="3"/>
  <c r="BE143" i="3"/>
  <c r="BF143" i="3"/>
  <c r="BG143" i="3"/>
  <c r="BH143" i="3"/>
  <c r="BI143" i="3"/>
  <c r="BJ143" i="3"/>
  <c r="BK143" i="3"/>
  <c r="BM143" i="3"/>
  <c r="BN143" i="3"/>
  <c r="BO143" i="3"/>
  <c r="BL143" i="3"/>
  <c r="BP143" i="3"/>
  <c r="BQ143" i="3"/>
  <c r="BR143" i="3"/>
  <c r="BS143" i="3"/>
  <c r="BT143" i="3"/>
  <c r="BB144" i="3"/>
  <c r="BC144" i="3"/>
  <c r="BD144" i="3"/>
  <c r="BA144" i="3"/>
  <c r="AZ144" i="3"/>
  <c r="BE144" i="3"/>
  <c r="BF144" i="3"/>
  <c r="BG144" i="3"/>
  <c r="BH144" i="3"/>
  <c r="BI144" i="3"/>
  <c r="BJ144" i="3"/>
  <c r="BK144" i="3"/>
  <c r="BM144" i="3"/>
  <c r="BN144" i="3"/>
  <c r="BO144" i="3"/>
  <c r="BP144" i="3"/>
  <c r="BQ144" i="3"/>
  <c r="BR144" i="3"/>
  <c r="BS144" i="3"/>
  <c r="BT144" i="3"/>
  <c r="BL144" i="3"/>
  <c r="BB145" i="3"/>
  <c r="BC145" i="3"/>
  <c r="BA145" i="3"/>
  <c r="AZ145" i="3"/>
  <c r="BD145" i="3"/>
  <c r="BE145" i="3"/>
  <c r="BF145" i="3"/>
  <c r="BG145" i="3"/>
  <c r="BH145" i="3"/>
  <c r="BI145" i="3"/>
  <c r="BJ145" i="3"/>
  <c r="BK145" i="3"/>
  <c r="BM145" i="3"/>
  <c r="BN145" i="3"/>
  <c r="BO145" i="3"/>
  <c r="BL145" i="3"/>
  <c r="BP145" i="3"/>
  <c r="BQ145" i="3"/>
  <c r="BR145" i="3"/>
  <c r="BS145" i="3"/>
  <c r="BT145" i="3"/>
  <c r="BB146" i="3"/>
  <c r="BC146" i="3"/>
  <c r="BD146" i="3"/>
  <c r="BA146" i="3"/>
  <c r="AZ146" i="3"/>
  <c r="BE146" i="3"/>
  <c r="BF146" i="3"/>
  <c r="BG146" i="3"/>
  <c r="BH146" i="3"/>
  <c r="BI146" i="3"/>
  <c r="BJ146" i="3"/>
  <c r="BK146" i="3"/>
  <c r="BM146" i="3"/>
  <c r="BN146" i="3"/>
  <c r="BO146" i="3"/>
  <c r="BP146" i="3"/>
  <c r="BQ146" i="3"/>
  <c r="BR146" i="3"/>
  <c r="BS146" i="3"/>
  <c r="BT146" i="3"/>
  <c r="BL146" i="3"/>
  <c r="BB147" i="3"/>
  <c r="BC147" i="3"/>
  <c r="BA147" i="3"/>
  <c r="BD147" i="3"/>
  <c r="BE147" i="3"/>
  <c r="BF147" i="3"/>
  <c r="BG147" i="3"/>
  <c r="BH147" i="3"/>
  <c r="BI147" i="3"/>
  <c r="BJ147" i="3"/>
  <c r="BK147" i="3"/>
  <c r="BM147" i="3"/>
  <c r="BN147" i="3"/>
  <c r="BO147" i="3"/>
  <c r="BL147" i="3"/>
  <c r="BP147" i="3"/>
  <c r="BQ147" i="3"/>
  <c r="BR147" i="3"/>
  <c r="BS147" i="3"/>
  <c r="BT147" i="3"/>
  <c r="BB148" i="3"/>
  <c r="BC148" i="3"/>
  <c r="BD148" i="3"/>
  <c r="BA148" i="3"/>
  <c r="AZ148" i="3"/>
  <c r="BE148" i="3"/>
  <c r="BF148" i="3"/>
  <c r="BG148" i="3"/>
  <c r="BH148" i="3"/>
  <c r="BI148" i="3"/>
  <c r="BJ148" i="3"/>
  <c r="BK148" i="3"/>
  <c r="BM148" i="3"/>
  <c r="BN148" i="3"/>
  <c r="BO148" i="3"/>
  <c r="BP148" i="3"/>
  <c r="BQ148" i="3"/>
  <c r="BR148" i="3"/>
  <c r="BS148" i="3"/>
  <c r="BT148" i="3"/>
  <c r="BL148" i="3"/>
  <c r="BB149" i="3"/>
  <c r="BC149" i="3"/>
  <c r="BA149" i="3"/>
  <c r="AZ149" i="3"/>
  <c r="BD149" i="3"/>
  <c r="BE149" i="3"/>
  <c r="BF149" i="3"/>
  <c r="BG149" i="3"/>
  <c r="BH149" i="3"/>
  <c r="BI149" i="3"/>
  <c r="BJ149" i="3"/>
  <c r="BK149" i="3"/>
  <c r="BM149" i="3"/>
  <c r="BN149" i="3"/>
  <c r="BO149" i="3"/>
  <c r="BL149" i="3"/>
  <c r="BP149" i="3"/>
  <c r="BQ149" i="3"/>
  <c r="BR149" i="3"/>
  <c r="BS149" i="3"/>
  <c r="BT149" i="3"/>
  <c r="BB150" i="3"/>
  <c r="BC150" i="3"/>
  <c r="BD150" i="3"/>
  <c r="BA150" i="3"/>
  <c r="AZ150" i="3"/>
  <c r="BE150" i="3"/>
  <c r="BF150" i="3"/>
  <c r="BG150" i="3"/>
  <c r="BH150" i="3"/>
  <c r="BI150" i="3"/>
  <c r="BJ150" i="3"/>
  <c r="BK150" i="3"/>
  <c r="BM150" i="3"/>
  <c r="BN150" i="3"/>
  <c r="BO150" i="3"/>
  <c r="BP150" i="3"/>
  <c r="BQ150" i="3"/>
  <c r="BR150" i="3"/>
  <c r="BS150" i="3"/>
  <c r="BT150" i="3"/>
  <c r="BL150" i="3"/>
  <c r="BB151" i="3"/>
  <c r="BC151" i="3"/>
  <c r="BA151" i="3"/>
  <c r="BD151" i="3"/>
  <c r="BE151" i="3"/>
  <c r="BF151" i="3"/>
  <c r="BG151" i="3"/>
  <c r="BH151" i="3"/>
  <c r="BI151" i="3"/>
  <c r="BJ151" i="3"/>
  <c r="BK151" i="3"/>
  <c r="BM151" i="3"/>
  <c r="BN151" i="3"/>
  <c r="BO151" i="3"/>
  <c r="BL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L153" i="3"/>
  <c r="BP153" i="3"/>
  <c r="BQ153" i="3"/>
  <c r="BR153" i="3"/>
  <c r="BS153" i="3"/>
  <c r="BT153" i="3"/>
  <c r="BB154" i="3"/>
  <c r="BC154" i="3"/>
  <c r="BA154" i="3"/>
  <c r="AZ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c r="BO155" i="3"/>
  <c r="BP155" i="3"/>
  <c r="BQ155" i="3"/>
  <c r="BR155" i="3"/>
  <c r="BS155" i="3"/>
  <c r="BT155" i="3"/>
  <c r="BB156" i="3"/>
  <c r="BC156" i="3"/>
  <c r="BD156" i="3"/>
  <c r="BA156" i="3"/>
  <c r="AZ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L157" i="3"/>
  <c r="BP157" i="3"/>
  <c r="BQ157" i="3"/>
  <c r="BR157" i="3"/>
  <c r="BS157" i="3"/>
  <c r="BT157" i="3"/>
  <c r="BB158" i="3"/>
  <c r="BC158" i="3"/>
  <c r="BA158" i="3"/>
  <c r="AZ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L159" i="3"/>
  <c r="BO159" i="3"/>
  <c r="BP159" i="3"/>
  <c r="BQ159" i="3"/>
  <c r="BR159" i="3"/>
  <c r="BS159" i="3"/>
  <c r="BT159" i="3"/>
  <c r="BB160" i="3"/>
  <c r="BC160" i="3"/>
  <c r="BD160" i="3"/>
  <c r="BA160" i="3"/>
  <c r="AZ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L161" i="3"/>
  <c r="BP161" i="3"/>
  <c r="BQ161" i="3"/>
  <c r="BR161" i="3"/>
  <c r="BS161" i="3"/>
  <c r="BT161" i="3"/>
  <c r="BB162" i="3"/>
  <c r="BC162" i="3"/>
  <c r="BA162" i="3"/>
  <c r="AZ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L163" i="3"/>
  <c r="BQ163" i="3"/>
  <c r="BR163" i="3"/>
  <c r="BS163" i="3"/>
  <c r="BT163" i="3"/>
  <c r="BB164" i="3"/>
  <c r="BC164" i="3"/>
  <c r="BA164" i="3"/>
  <c r="BD164" i="3"/>
  <c r="BE164" i="3"/>
  <c r="BF164" i="3"/>
  <c r="BG164" i="3"/>
  <c r="BH164" i="3"/>
  <c r="BI164" i="3"/>
  <c r="BJ164" i="3"/>
  <c r="BK164" i="3"/>
  <c r="BM164" i="3"/>
  <c r="BN164" i="3"/>
  <c r="BL164" i="3"/>
  <c r="BO164" i="3"/>
  <c r="BP164" i="3"/>
  <c r="BQ164" i="3"/>
  <c r="BR164" i="3"/>
  <c r="BS164" i="3"/>
  <c r="BT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D168" i="3"/>
  <c r="BA168" i="3"/>
  <c r="AZ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L169" i="3"/>
  <c r="AZ169" i="3"/>
  <c r="BP169" i="3"/>
  <c r="BQ169" i="3"/>
  <c r="BR169" i="3"/>
  <c r="BS169" i="3"/>
  <c r="BT169" i="3"/>
  <c r="BB170" i="3"/>
  <c r="BC170" i="3"/>
  <c r="BD170" i="3"/>
  <c r="BA170" i="3"/>
  <c r="AZ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L171" i="3"/>
  <c r="AZ171" i="3"/>
  <c r="BP171" i="3"/>
  <c r="BQ171" i="3"/>
  <c r="BR171" i="3"/>
  <c r="BS171" i="3"/>
  <c r="BT171" i="3"/>
  <c r="BB172" i="3"/>
  <c r="BC172" i="3"/>
  <c r="BD172" i="3"/>
  <c r="BA172" i="3"/>
  <c r="AZ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D174" i="3"/>
  <c r="BA174" i="3"/>
  <c r="AZ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L175" i="3"/>
  <c r="AZ175" i="3"/>
  <c r="BP175" i="3"/>
  <c r="BQ175" i="3"/>
  <c r="BR175" i="3"/>
  <c r="BS175" i="3"/>
  <c r="BT175" i="3"/>
  <c r="BB176" i="3"/>
  <c r="BC176" i="3"/>
  <c r="BD176" i="3"/>
  <c r="BA176" i="3"/>
  <c r="AZ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A177" i="3"/>
  <c r="BJ177" i="3"/>
  <c r="BK177" i="3"/>
  <c r="BM177" i="3"/>
  <c r="BN177" i="3"/>
  <c r="BO177" i="3"/>
  <c r="BL177" i="3"/>
  <c r="BP177" i="3"/>
  <c r="BQ177" i="3"/>
  <c r="BR177" i="3"/>
  <c r="BS177" i="3"/>
  <c r="BT177" i="3"/>
  <c r="BB178" i="3"/>
  <c r="BC178" i="3"/>
  <c r="BD178" i="3"/>
  <c r="BA178" i="3"/>
  <c r="AZ178" i="3"/>
  <c r="BE178" i="3"/>
  <c r="BF178" i="3"/>
  <c r="BG178" i="3"/>
  <c r="BH178" i="3"/>
  <c r="BI178" i="3"/>
  <c r="BJ178" i="3"/>
  <c r="BK178" i="3"/>
  <c r="BM178" i="3"/>
  <c r="BN178" i="3"/>
  <c r="BO178" i="3"/>
  <c r="BP178" i="3"/>
  <c r="BQ178" i="3"/>
  <c r="BR178" i="3"/>
  <c r="BS178" i="3"/>
  <c r="BT178" i="3"/>
  <c r="BL178" i="3"/>
  <c r="BB179" i="3"/>
  <c r="BC179" i="3"/>
  <c r="BA179" i="3"/>
  <c r="AZ179" i="3"/>
  <c r="BD179" i="3"/>
  <c r="BE179" i="3"/>
  <c r="BF179" i="3"/>
  <c r="BG179" i="3"/>
  <c r="BH179" i="3"/>
  <c r="BI179" i="3"/>
  <c r="BJ179" i="3"/>
  <c r="BK179" i="3"/>
  <c r="BM179" i="3"/>
  <c r="BN179" i="3"/>
  <c r="BO179" i="3"/>
  <c r="BL179" i="3"/>
  <c r="BP179" i="3"/>
  <c r="BQ179" i="3"/>
  <c r="BR179" i="3"/>
  <c r="BS179" i="3"/>
  <c r="BT179" i="3"/>
  <c r="BB180" i="3"/>
  <c r="BC180" i="3"/>
  <c r="BD180" i="3"/>
  <c r="BA180" i="3"/>
  <c r="AZ180" i="3"/>
  <c r="BE180" i="3"/>
  <c r="BF180" i="3"/>
  <c r="BG180" i="3"/>
  <c r="BH180" i="3"/>
  <c r="BI180" i="3"/>
  <c r="BJ180" i="3"/>
  <c r="BK180" i="3"/>
  <c r="BM180" i="3"/>
  <c r="BN180" i="3"/>
  <c r="BO180" i="3"/>
  <c r="BP180" i="3"/>
  <c r="BQ180" i="3"/>
  <c r="BR180" i="3"/>
  <c r="BS180" i="3"/>
  <c r="BT180" i="3"/>
  <c r="BL180" i="3"/>
  <c r="BB181" i="3"/>
  <c r="BC181" i="3"/>
  <c r="BA181" i="3"/>
  <c r="BD181" i="3"/>
  <c r="BE181" i="3"/>
  <c r="BF181" i="3"/>
  <c r="BG181" i="3"/>
  <c r="BH181" i="3"/>
  <c r="BI181" i="3"/>
  <c r="BJ181" i="3"/>
  <c r="BK181" i="3"/>
  <c r="BM181" i="3"/>
  <c r="BN181" i="3"/>
  <c r="BO181" i="3"/>
  <c r="BL181" i="3"/>
  <c r="BP181" i="3"/>
  <c r="BQ181" i="3"/>
  <c r="BR181" i="3"/>
  <c r="BS181" i="3"/>
  <c r="BT181" i="3"/>
  <c r="BB182" i="3"/>
  <c r="BC182" i="3"/>
  <c r="BD182" i="3"/>
  <c r="BA182" i="3"/>
  <c r="AZ182" i="3"/>
  <c r="BE182" i="3"/>
  <c r="BF182" i="3"/>
  <c r="BG182" i="3"/>
  <c r="BH182" i="3"/>
  <c r="BI182" i="3"/>
  <c r="BJ182" i="3"/>
  <c r="BK182" i="3"/>
  <c r="BM182" i="3"/>
  <c r="BN182" i="3"/>
  <c r="BO182" i="3"/>
  <c r="BP182" i="3"/>
  <c r="BQ182" i="3"/>
  <c r="BR182" i="3"/>
  <c r="BS182" i="3"/>
  <c r="BT182" i="3"/>
  <c r="BL182" i="3"/>
  <c r="BB183" i="3"/>
  <c r="BC183" i="3"/>
  <c r="BA183" i="3"/>
  <c r="AZ183" i="3"/>
  <c r="BD183" i="3"/>
  <c r="BE183" i="3"/>
  <c r="BF183" i="3"/>
  <c r="BG183" i="3"/>
  <c r="BH183" i="3"/>
  <c r="BI183" i="3"/>
  <c r="BJ183" i="3"/>
  <c r="BK183" i="3"/>
  <c r="BM183" i="3"/>
  <c r="BN183" i="3"/>
  <c r="BO183" i="3"/>
  <c r="BL183" i="3"/>
  <c r="BP183" i="3"/>
  <c r="BQ183" i="3"/>
  <c r="BR183" i="3"/>
  <c r="BS183" i="3"/>
  <c r="BT183" i="3"/>
  <c r="BB184" i="3"/>
  <c r="BC184" i="3"/>
  <c r="BD184" i="3"/>
  <c r="BA184" i="3"/>
  <c r="AZ184" i="3"/>
  <c r="BE184" i="3"/>
  <c r="BF184" i="3"/>
  <c r="BG184" i="3"/>
  <c r="BH184" i="3"/>
  <c r="BI184" i="3"/>
  <c r="BJ184" i="3"/>
  <c r="BK184" i="3"/>
  <c r="BM184" i="3"/>
  <c r="BN184" i="3"/>
  <c r="BO184" i="3"/>
  <c r="BP184" i="3"/>
  <c r="BQ184" i="3"/>
  <c r="BR184" i="3"/>
  <c r="BS184" i="3"/>
  <c r="BT184" i="3"/>
  <c r="BL184" i="3"/>
  <c r="BB185" i="3"/>
  <c r="BC185" i="3"/>
  <c r="BA185" i="3"/>
  <c r="BD185" i="3"/>
  <c r="BE185" i="3"/>
  <c r="BF185" i="3"/>
  <c r="BG185" i="3"/>
  <c r="BH185" i="3"/>
  <c r="BI185" i="3"/>
  <c r="BJ185" i="3"/>
  <c r="BK185" i="3"/>
  <c r="BM185" i="3"/>
  <c r="BN185" i="3"/>
  <c r="BO185" i="3"/>
  <c r="BL185" i="3"/>
  <c r="BP185" i="3"/>
  <c r="BQ185" i="3"/>
  <c r="BR185" i="3"/>
  <c r="BS185" i="3"/>
  <c r="BT185" i="3"/>
  <c r="BB186" i="3"/>
  <c r="BC186" i="3"/>
  <c r="BD186" i="3"/>
  <c r="BA186" i="3"/>
  <c r="AZ186" i="3"/>
  <c r="BE186" i="3"/>
  <c r="BF186" i="3"/>
  <c r="BG186" i="3"/>
  <c r="BH186" i="3"/>
  <c r="BI186" i="3"/>
  <c r="BJ186" i="3"/>
  <c r="BK186" i="3"/>
  <c r="BM186" i="3"/>
  <c r="BN186" i="3"/>
  <c r="BO186" i="3"/>
  <c r="BP186" i="3"/>
  <c r="BQ186" i="3"/>
  <c r="BR186" i="3"/>
  <c r="BS186" i="3"/>
  <c r="BT186" i="3"/>
  <c r="BL186" i="3"/>
  <c r="BB187" i="3"/>
  <c r="BC187" i="3"/>
  <c r="BA187" i="3"/>
  <c r="AZ187" i="3"/>
  <c r="BD187" i="3"/>
  <c r="BE187" i="3"/>
  <c r="BF187" i="3"/>
  <c r="BG187" i="3"/>
  <c r="BH187" i="3"/>
  <c r="BI187" i="3"/>
  <c r="BJ187" i="3"/>
  <c r="BK187" i="3"/>
  <c r="BM187" i="3"/>
  <c r="BN187" i="3"/>
  <c r="BO187" i="3"/>
  <c r="BL187" i="3"/>
  <c r="BP187" i="3"/>
  <c r="BQ187" i="3"/>
  <c r="BR187" i="3"/>
  <c r="BS187" i="3"/>
  <c r="BT187" i="3"/>
  <c r="BB188" i="3"/>
  <c r="BC188" i="3"/>
  <c r="BD188" i="3"/>
  <c r="BA188" i="3"/>
  <c r="AZ188" i="3"/>
  <c r="BE188" i="3"/>
  <c r="BF188" i="3"/>
  <c r="BG188" i="3"/>
  <c r="BH188" i="3"/>
  <c r="BI188" i="3"/>
  <c r="BJ188" i="3"/>
  <c r="BK188" i="3"/>
  <c r="BM188" i="3"/>
  <c r="BN188" i="3"/>
  <c r="BO188" i="3"/>
  <c r="BP188" i="3"/>
  <c r="BQ188" i="3"/>
  <c r="BR188" i="3"/>
  <c r="BS188" i="3"/>
  <c r="BT188" i="3"/>
  <c r="BL188" i="3"/>
  <c r="BB189" i="3"/>
  <c r="BC189" i="3"/>
  <c r="BA189" i="3"/>
  <c r="BD189" i="3"/>
  <c r="BE189" i="3"/>
  <c r="BF189" i="3"/>
  <c r="BG189" i="3"/>
  <c r="BH189" i="3"/>
  <c r="BI189" i="3"/>
  <c r="BJ189" i="3"/>
  <c r="BK189" i="3"/>
  <c r="BM189" i="3"/>
  <c r="BN189" i="3"/>
  <c r="BO189" i="3"/>
  <c r="BL189" i="3"/>
  <c r="BP189" i="3"/>
  <c r="BQ189" i="3"/>
  <c r="BR189" i="3"/>
  <c r="BS189" i="3"/>
  <c r="BT189" i="3"/>
  <c r="BB190" i="3"/>
  <c r="BC190" i="3"/>
  <c r="BD190" i="3"/>
  <c r="BA190" i="3"/>
  <c r="AZ190" i="3"/>
  <c r="BE190" i="3"/>
  <c r="BF190" i="3"/>
  <c r="BG190" i="3"/>
  <c r="BH190" i="3"/>
  <c r="BI190" i="3"/>
  <c r="BJ190" i="3"/>
  <c r="BK190" i="3"/>
  <c r="BM190" i="3"/>
  <c r="BN190" i="3"/>
  <c r="BO190" i="3"/>
  <c r="BP190" i="3"/>
  <c r="BQ190" i="3"/>
  <c r="BR190" i="3"/>
  <c r="BS190" i="3"/>
  <c r="BT190" i="3"/>
  <c r="BL190" i="3"/>
  <c r="BB191" i="3"/>
  <c r="BC191" i="3"/>
  <c r="BA191" i="3"/>
  <c r="AZ191" i="3"/>
  <c r="BD191" i="3"/>
  <c r="BE191" i="3"/>
  <c r="BF191" i="3"/>
  <c r="BG191" i="3"/>
  <c r="BH191" i="3"/>
  <c r="BI191" i="3"/>
  <c r="BJ191" i="3"/>
  <c r="BK191" i="3"/>
  <c r="BM191" i="3"/>
  <c r="BN191" i="3"/>
  <c r="BO191" i="3"/>
  <c r="BL191" i="3"/>
  <c r="BP191" i="3"/>
  <c r="BQ191" i="3"/>
  <c r="BR191" i="3"/>
  <c r="BS191" i="3"/>
  <c r="BT191" i="3"/>
  <c r="BB192" i="3"/>
  <c r="BC192" i="3"/>
  <c r="BD192" i="3"/>
  <c r="BA192" i="3"/>
  <c r="AZ192" i="3"/>
  <c r="BE192" i="3"/>
  <c r="BF192" i="3"/>
  <c r="BG192" i="3"/>
  <c r="BH192" i="3"/>
  <c r="BI192" i="3"/>
  <c r="BJ192" i="3"/>
  <c r="BK192" i="3"/>
  <c r="BM192" i="3"/>
  <c r="BN192" i="3"/>
  <c r="BO192" i="3"/>
  <c r="BP192" i="3"/>
  <c r="BQ192" i="3"/>
  <c r="BR192" i="3"/>
  <c r="BS192" i="3"/>
  <c r="BT192" i="3"/>
  <c r="BL192" i="3"/>
  <c r="BB193" i="3"/>
  <c r="BC193" i="3"/>
  <c r="BA193" i="3"/>
  <c r="BD193" i="3"/>
  <c r="BE193" i="3"/>
  <c r="BF193" i="3"/>
  <c r="BG193" i="3"/>
  <c r="BH193" i="3"/>
  <c r="BI193" i="3"/>
  <c r="BJ193" i="3"/>
  <c r="BK193" i="3"/>
  <c r="BM193" i="3"/>
  <c r="BN193" i="3"/>
  <c r="BO193" i="3"/>
  <c r="BL193" i="3"/>
  <c r="BP193" i="3"/>
  <c r="BQ193" i="3"/>
  <c r="BR193" i="3"/>
  <c r="BS193" i="3"/>
  <c r="BT193" i="3"/>
  <c r="BB194" i="3"/>
  <c r="BC194" i="3"/>
  <c r="BD194" i="3"/>
  <c r="BA194" i="3"/>
  <c r="AZ194" i="3"/>
  <c r="BE194" i="3"/>
  <c r="BF194" i="3"/>
  <c r="BG194" i="3"/>
  <c r="BH194" i="3"/>
  <c r="BI194" i="3"/>
  <c r="BJ194" i="3"/>
  <c r="BK194" i="3"/>
  <c r="BM194" i="3"/>
  <c r="BN194" i="3"/>
  <c r="BO194" i="3"/>
  <c r="BP194" i="3"/>
  <c r="BQ194" i="3"/>
  <c r="BR194" i="3"/>
  <c r="BS194" i="3"/>
  <c r="BT194" i="3"/>
  <c r="BL194" i="3"/>
  <c r="BB195" i="3"/>
  <c r="BC195" i="3"/>
  <c r="BA195" i="3"/>
  <c r="AZ195" i="3"/>
  <c r="BD195" i="3"/>
  <c r="BE195" i="3"/>
  <c r="BF195" i="3"/>
  <c r="BG195" i="3"/>
  <c r="BH195" i="3"/>
  <c r="BI195" i="3"/>
  <c r="BJ195" i="3"/>
  <c r="BK195" i="3"/>
  <c r="BM195" i="3"/>
  <c r="BN195" i="3"/>
  <c r="BO195" i="3"/>
  <c r="BL195" i="3"/>
  <c r="BP195" i="3"/>
  <c r="BQ195" i="3"/>
  <c r="BR195" i="3"/>
  <c r="BS195" i="3"/>
  <c r="BT195" i="3"/>
  <c r="BB196" i="3"/>
  <c r="BC196" i="3"/>
  <c r="BD196" i="3"/>
  <c r="BA196" i="3"/>
  <c r="AZ196" i="3"/>
  <c r="BE196" i="3"/>
  <c r="BF196" i="3"/>
  <c r="BG196" i="3"/>
  <c r="BH196" i="3"/>
  <c r="BI196" i="3"/>
  <c r="BJ196" i="3"/>
  <c r="BK196" i="3"/>
  <c r="BM196" i="3"/>
  <c r="BN196" i="3"/>
  <c r="BO196" i="3"/>
  <c r="BP196" i="3"/>
  <c r="BQ196" i="3"/>
  <c r="BR196" i="3"/>
  <c r="BS196" i="3"/>
  <c r="BT196" i="3"/>
  <c r="BL196" i="3"/>
  <c r="BB197" i="3"/>
  <c r="BC197" i="3"/>
  <c r="BA197" i="3"/>
  <c r="BD197" i="3"/>
  <c r="BE197" i="3"/>
  <c r="BF197" i="3"/>
  <c r="BG197" i="3"/>
  <c r="BH197" i="3"/>
  <c r="BI197" i="3"/>
  <c r="BJ197" i="3"/>
  <c r="BK197" i="3"/>
  <c r="BM197" i="3"/>
  <c r="BN197" i="3"/>
  <c r="BO197" i="3"/>
  <c r="BL197" i="3"/>
  <c r="BP197" i="3"/>
  <c r="BQ197" i="3"/>
  <c r="BR197" i="3"/>
  <c r="BS197" i="3"/>
  <c r="BT197" i="3"/>
  <c r="BB198" i="3"/>
  <c r="BC198" i="3"/>
  <c r="BD198" i="3"/>
  <c r="BA198" i="3"/>
  <c r="AZ198" i="3"/>
  <c r="BE198" i="3"/>
  <c r="BF198" i="3"/>
  <c r="BG198" i="3"/>
  <c r="BH198" i="3"/>
  <c r="BI198" i="3"/>
  <c r="BJ198" i="3"/>
  <c r="BK198" i="3"/>
  <c r="BM198" i="3"/>
  <c r="BN198" i="3"/>
  <c r="BO198" i="3"/>
  <c r="BP198" i="3"/>
  <c r="BQ198" i="3"/>
  <c r="BR198" i="3"/>
  <c r="BS198" i="3"/>
  <c r="BT198" i="3"/>
  <c r="BL198" i="3"/>
  <c r="BB199" i="3"/>
  <c r="BC199" i="3"/>
  <c r="BA199" i="3"/>
  <c r="AZ199" i="3"/>
  <c r="BD199" i="3"/>
  <c r="BE199" i="3"/>
  <c r="BF199" i="3"/>
  <c r="BG199" i="3"/>
  <c r="BH199" i="3"/>
  <c r="BI199" i="3"/>
  <c r="BJ199" i="3"/>
  <c r="BK199" i="3"/>
  <c r="BM199" i="3"/>
  <c r="BN199" i="3"/>
  <c r="BO199" i="3"/>
  <c r="BL199" i="3"/>
  <c r="BP199" i="3"/>
  <c r="BQ199" i="3"/>
  <c r="BR199" i="3"/>
  <c r="BS199" i="3"/>
  <c r="BT199" i="3"/>
  <c r="BB200" i="3"/>
  <c r="BC200" i="3"/>
  <c r="BD200" i="3"/>
  <c r="BA200" i="3"/>
  <c r="AZ200" i="3"/>
  <c r="BE200" i="3"/>
  <c r="BF200" i="3"/>
  <c r="BG200" i="3"/>
  <c r="BH200" i="3"/>
  <c r="BI200" i="3"/>
  <c r="BJ200" i="3"/>
  <c r="BK200" i="3"/>
  <c r="BM200" i="3"/>
  <c r="BN200" i="3"/>
  <c r="BO200" i="3"/>
  <c r="BP200" i="3"/>
  <c r="BQ200" i="3"/>
  <c r="BR200" i="3"/>
  <c r="BS200" i="3"/>
  <c r="BT200" i="3"/>
  <c r="BL200" i="3"/>
  <c r="BB201" i="3"/>
  <c r="BC201" i="3"/>
  <c r="BA201" i="3"/>
  <c r="BD201" i="3"/>
  <c r="BE201" i="3"/>
  <c r="BF201" i="3"/>
  <c r="BG201" i="3"/>
  <c r="BH201" i="3"/>
  <c r="BI201" i="3"/>
  <c r="BJ201" i="3"/>
  <c r="BK201" i="3"/>
  <c r="BM201" i="3"/>
  <c r="BN201" i="3"/>
  <c r="BO201" i="3"/>
  <c r="BL201" i="3"/>
  <c r="BP201" i="3"/>
  <c r="BQ201" i="3"/>
  <c r="BR201" i="3"/>
  <c r="BS201" i="3"/>
  <c r="BT201" i="3"/>
  <c r="BB202" i="3"/>
  <c r="BC202" i="3"/>
  <c r="BD202" i="3"/>
  <c r="BA202" i="3"/>
  <c r="AZ202" i="3"/>
  <c r="BE202" i="3"/>
  <c r="BF202" i="3"/>
  <c r="BG202" i="3"/>
  <c r="BH202" i="3"/>
  <c r="BI202" i="3"/>
  <c r="BJ202" i="3"/>
  <c r="BK202" i="3"/>
  <c r="BM202" i="3"/>
  <c r="BN202" i="3"/>
  <c r="BO202" i="3"/>
  <c r="BP202" i="3"/>
  <c r="BQ202" i="3"/>
  <c r="BR202" i="3"/>
  <c r="BS202" i="3"/>
  <c r="BT202" i="3"/>
  <c r="BL202" i="3"/>
  <c r="BB203" i="3"/>
  <c r="BC203" i="3"/>
  <c r="BA203" i="3"/>
  <c r="AZ203" i="3"/>
  <c r="BD203" i="3"/>
  <c r="BE203" i="3"/>
  <c r="BF203" i="3"/>
  <c r="BG203" i="3"/>
  <c r="BH203" i="3"/>
  <c r="BI203" i="3"/>
  <c r="BJ203" i="3"/>
  <c r="BK203" i="3"/>
  <c r="BM203" i="3"/>
  <c r="BN203" i="3"/>
  <c r="BO203" i="3"/>
  <c r="BL203" i="3"/>
  <c r="BP203" i="3"/>
  <c r="BQ203" i="3"/>
  <c r="BR203" i="3"/>
  <c r="BS203" i="3"/>
  <c r="BT203" i="3"/>
  <c r="BB204" i="3"/>
  <c r="BC204" i="3"/>
  <c r="BD204" i="3"/>
  <c r="BA204" i="3"/>
  <c r="AZ204" i="3"/>
  <c r="BE204" i="3"/>
  <c r="BF204" i="3"/>
  <c r="BG204" i="3"/>
  <c r="BH204" i="3"/>
  <c r="BI204" i="3"/>
  <c r="BJ204" i="3"/>
  <c r="BK204" i="3"/>
  <c r="BM204" i="3"/>
  <c r="BN204" i="3"/>
  <c r="BO204" i="3"/>
  <c r="BP204" i="3"/>
  <c r="BQ204" i="3"/>
  <c r="BR204" i="3"/>
  <c r="BS204" i="3"/>
  <c r="BT204" i="3"/>
  <c r="BL204" i="3"/>
  <c r="BB205" i="3"/>
  <c r="BC205" i="3"/>
  <c r="BA205" i="3"/>
  <c r="BD205" i="3"/>
  <c r="BE205" i="3"/>
  <c r="BF205" i="3"/>
  <c r="BG205" i="3"/>
  <c r="BH205" i="3"/>
  <c r="BI205" i="3"/>
  <c r="BJ205" i="3"/>
  <c r="BK205" i="3"/>
  <c r="BM205" i="3"/>
  <c r="BN205" i="3"/>
  <c r="BO205" i="3"/>
  <c r="BL205" i="3"/>
  <c r="BP205" i="3"/>
  <c r="BQ205" i="3"/>
  <c r="BR205" i="3"/>
  <c r="BS205" i="3"/>
  <c r="BT205" i="3"/>
  <c r="BB206" i="3"/>
  <c r="BC206" i="3"/>
  <c r="BD206" i="3"/>
  <c r="BA206" i="3"/>
  <c r="AZ206" i="3"/>
  <c r="BE206" i="3"/>
  <c r="BF206" i="3"/>
  <c r="BG206" i="3"/>
  <c r="BH206" i="3"/>
  <c r="BI206" i="3"/>
  <c r="BJ206" i="3"/>
  <c r="BK206" i="3"/>
  <c r="BM206" i="3"/>
  <c r="BN206" i="3"/>
  <c r="BO206" i="3"/>
  <c r="BP206" i="3"/>
  <c r="BQ206" i="3"/>
  <c r="BR206" i="3"/>
  <c r="BS206" i="3"/>
  <c r="BT206" i="3"/>
  <c r="BL206" i="3"/>
  <c r="BB207" i="3"/>
  <c r="BC207" i="3"/>
  <c r="BA207" i="3"/>
  <c r="AZ207" i="3"/>
  <c r="BD207" i="3"/>
  <c r="BE207" i="3"/>
  <c r="BF207" i="3"/>
  <c r="BG207" i="3"/>
  <c r="BH207" i="3"/>
  <c r="BI207" i="3"/>
  <c r="BJ207" i="3"/>
  <c r="BK207" i="3"/>
  <c r="BM207" i="3"/>
  <c r="BN207" i="3"/>
  <c r="BO207" i="3"/>
  <c r="BL207" i="3"/>
  <c r="BP207" i="3"/>
  <c r="BQ207" i="3"/>
  <c r="BR207" i="3"/>
  <c r="BS207" i="3"/>
  <c r="BT207" i="3"/>
  <c r="BB208" i="3"/>
  <c r="BC208" i="3"/>
  <c r="BD208" i="3"/>
  <c r="BA208" i="3"/>
  <c r="AZ208" i="3"/>
  <c r="BE208" i="3"/>
  <c r="BF208" i="3"/>
  <c r="BG208" i="3"/>
  <c r="BH208" i="3"/>
  <c r="BI208" i="3"/>
  <c r="BJ208" i="3"/>
  <c r="BK208" i="3"/>
  <c r="BM208" i="3"/>
  <c r="BN208" i="3"/>
  <c r="BO208" i="3"/>
  <c r="BP208" i="3"/>
  <c r="BQ208" i="3"/>
  <c r="BR208" i="3"/>
  <c r="BS208" i="3"/>
  <c r="BT208" i="3"/>
  <c r="BL208" i="3"/>
  <c r="BB209" i="3"/>
  <c r="BC209" i="3"/>
  <c r="BA209" i="3"/>
  <c r="BD209" i="3"/>
  <c r="BE209" i="3"/>
  <c r="BF209" i="3"/>
  <c r="BG209" i="3"/>
  <c r="BH209" i="3"/>
  <c r="BI209" i="3"/>
  <c r="BJ209" i="3"/>
  <c r="BK209" i="3"/>
  <c r="BM209" i="3"/>
  <c r="BN209" i="3"/>
  <c r="BO209" i="3"/>
  <c r="BL209" i="3"/>
  <c r="BP209" i="3"/>
  <c r="BQ209" i="3"/>
  <c r="BR209" i="3"/>
  <c r="BS209" i="3"/>
  <c r="BT209" i="3"/>
  <c r="BB210" i="3"/>
  <c r="BC210" i="3"/>
  <c r="BD210" i="3"/>
  <c r="BA210" i="3"/>
  <c r="AZ210" i="3"/>
  <c r="BE210" i="3"/>
  <c r="BF210" i="3"/>
  <c r="BG210" i="3"/>
  <c r="BH210" i="3"/>
  <c r="BI210" i="3"/>
  <c r="BJ210" i="3"/>
  <c r="BK210" i="3"/>
  <c r="BM210" i="3"/>
  <c r="BN210" i="3"/>
  <c r="BO210" i="3"/>
  <c r="BP210" i="3"/>
  <c r="BQ210" i="3"/>
  <c r="BR210" i="3"/>
  <c r="BS210" i="3"/>
  <c r="BT210" i="3"/>
  <c r="BL210" i="3"/>
  <c r="BB211" i="3"/>
  <c r="BC211" i="3"/>
  <c r="BA211" i="3"/>
  <c r="AZ211" i="3"/>
  <c r="BD211" i="3"/>
  <c r="BE211" i="3"/>
  <c r="BF211" i="3"/>
  <c r="BG211" i="3"/>
  <c r="BH211" i="3"/>
  <c r="BI211" i="3"/>
  <c r="BJ211" i="3"/>
  <c r="BK211" i="3"/>
  <c r="BM211" i="3"/>
  <c r="BN211" i="3"/>
  <c r="BO211" i="3"/>
  <c r="BL211" i="3"/>
  <c r="BP211" i="3"/>
  <c r="BQ211" i="3"/>
  <c r="BR211" i="3"/>
  <c r="BS211" i="3"/>
  <c r="BT211" i="3"/>
  <c r="BB212" i="3"/>
  <c r="BC212" i="3"/>
  <c r="BD212" i="3"/>
  <c r="BA212" i="3"/>
  <c r="AZ212" i="3"/>
  <c r="BE212" i="3"/>
  <c r="BF212" i="3"/>
  <c r="BG212" i="3"/>
  <c r="BH212" i="3"/>
  <c r="BI212" i="3"/>
  <c r="BJ212" i="3"/>
  <c r="BK212" i="3"/>
  <c r="BM212" i="3"/>
  <c r="BN212" i="3"/>
  <c r="BO212" i="3"/>
  <c r="BP212" i="3"/>
  <c r="BQ212" i="3"/>
  <c r="BR212" i="3"/>
  <c r="BS212" i="3"/>
  <c r="BT212" i="3"/>
  <c r="BL212" i="3"/>
  <c r="BB213" i="3"/>
  <c r="BC213" i="3"/>
  <c r="BA213" i="3"/>
  <c r="BD213" i="3"/>
  <c r="BE213" i="3"/>
  <c r="BF213" i="3"/>
  <c r="BG213" i="3"/>
  <c r="BH213" i="3"/>
  <c r="BI213" i="3"/>
  <c r="BJ213" i="3"/>
  <c r="BK213" i="3"/>
  <c r="BM213" i="3"/>
  <c r="BN213" i="3"/>
  <c r="BO213" i="3"/>
  <c r="BL213" i="3"/>
  <c r="BP213" i="3"/>
  <c r="BQ213" i="3"/>
  <c r="BR213" i="3"/>
  <c r="BS213" i="3"/>
  <c r="BT213" i="3"/>
  <c r="BB214" i="3"/>
  <c r="BC214" i="3"/>
  <c r="BD214" i="3"/>
  <c r="BA214" i="3"/>
  <c r="AZ214" i="3"/>
  <c r="BE214" i="3"/>
  <c r="BF214" i="3"/>
  <c r="BG214" i="3"/>
  <c r="BH214" i="3"/>
  <c r="BI214" i="3"/>
  <c r="BJ214" i="3"/>
  <c r="BK214" i="3"/>
  <c r="BM214" i="3"/>
  <c r="BN214" i="3"/>
  <c r="BO214" i="3"/>
  <c r="BP214" i="3"/>
  <c r="BQ214" i="3"/>
  <c r="BR214" i="3"/>
  <c r="BS214" i="3"/>
  <c r="BT214" i="3"/>
  <c r="BL214" i="3"/>
  <c r="BB215" i="3"/>
  <c r="BC215" i="3"/>
  <c r="BA215" i="3"/>
  <c r="AZ215" i="3"/>
  <c r="BD215" i="3"/>
  <c r="BE215" i="3"/>
  <c r="BF215" i="3"/>
  <c r="BG215" i="3"/>
  <c r="BH215" i="3"/>
  <c r="BI215" i="3"/>
  <c r="BJ215" i="3"/>
  <c r="BK215" i="3"/>
  <c r="BM215" i="3"/>
  <c r="BN215" i="3"/>
  <c r="BO215" i="3"/>
  <c r="BL215" i="3"/>
  <c r="BP215" i="3"/>
  <c r="BQ215" i="3"/>
  <c r="BR215" i="3"/>
  <c r="BS215" i="3"/>
  <c r="BT215" i="3"/>
  <c r="BB216" i="3"/>
  <c r="BC216" i="3"/>
  <c r="BD216" i="3"/>
  <c r="BA216" i="3"/>
  <c r="AZ216" i="3"/>
  <c r="BE216" i="3"/>
  <c r="BF216" i="3"/>
  <c r="BG216" i="3"/>
  <c r="BH216" i="3"/>
  <c r="BI216" i="3"/>
  <c r="BJ216" i="3"/>
  <c r="BK216" i="3"/>
  <c r="BM216" i="3"/>
  <c r="BN216" i="3"/>
  <c r="BO216" i="3"/>
  <c r="BP216" i="3"/>
  <c r="BQ216" i="3"/>
  <c r="BR216" i="3"/>
  <c r="BS216" i="3"/>
  <c r="BT216" i="3"/>
  <c r="BL216" i="3"/>
  <c r="BB217" i="3"/>
  <c r="BC217" i="3"/>
  <c r="BA217" i="3"/>
  <c r="BD217" i="3"/>
  <c r="BE217" i="3"/>
  <c r="BF217" i="3"/>
  <c r="BG217" i="3"/>
  <c r="BH217" i="3"/>
  <c r="BI217" i="3"/>
  <c r="BJ217" i="3"/>
  <c r="BK217" i="3"/>
  <c r="BM217" i="3"/>
  <c r="BN217" i="3"/>
  <c r="BO217" i="3"/>
  <c r="BL217" i="3"/>
  <c r="BP217" i="3"/>
  <c r="BQ217" i="3"/>
  <c r="BR217" i="3"/>
  <c r="BS217" i="3"/>
  <c r="BT217" i="3"/>
  <c r="BB218" i="3"/>
  <c r="BC218" i="3"/>
  <c r="BD218" i="3"/>
  <c r="BA218" i="3"/>
  <c r="AZ218" i="3"/>
  <c r="BE218" i="3"/>
  <c r="BF218" i="3"/>
  <c r="BG218" i="3"/>
  <c r="BH218" i="3"/>
  <c r="BI218" i="3"/>
  <c r="BJ218" i="3"/>
  <c r="BK218" i="3"/>
  <c r="BM218" i="3"/>
  <c r="BN218" i="3"/>
  <c r="BO218" i="3"/>
  <c r="BP218" i="3"/>
  <c r="BQ218" i="3"/>
  <c r="BR218" i="3"/>
  <c r="BS218" i="3"/>
  <c r="BT218" i="3"/>
  <c r="BL218" i="3"/>
  <c r="BB219" i="3"/>
  <c r="BC219" i="3"/>
  <c r="BA219" i="3"/>
  <c r="AZ219" i="3"/>
  <c r="BD219" i="3"/>
  <c r="BE219" i="3"/>
  <c r="BF219" i="3"/>
  <c r="BG219" i="3"/>
  <c r="BH219" i="3"/>
  <c r="BI219" i="3"/>
  <c r="BJ219" i="3"/>
  <c r="BK219" i="3"/>
  <c r="BM219" i="3"/>
  <c r="BN219" i="3"/>
  <c r="BO219" i="3"/>
  <c r="BL219" i="3"/>
  <c r="BP219" i="3"/>
  <c r="BQ219" i="3"/>
  <c r="BR219" i="3"/>
  <c r="BS219" i="3"/>
  <c r="BT219" i="3"/>
  <c r="BB220" i="3"/>
  <c r="BC220" i="3"/>
  <c r="BD220" i="3"/>
  <c r="BA220" i="3"/>
  <c r="AZ220" i="3"/>
  <c r="BE220" i="3"/>
  <c r="BF220" i="3"/>
  <c r="BG220" i="3"/>
  <c r="BH220" i="3"/>
  <c r="BI220" i="3"/>
  <c r="BJ220" i="3"/>
  <c r="BK220" i="3"/>
  <c r="BM220" i="3"/>
  <c r="BN220" i="3"/>
  <c r="BO220" i="3"/>
  <c r="BP220" i="3"/>
  <c r="BQ220" i="3"/>
  <c r="BR220" i="3"/>
  <c r="BS220" i="3"/>
  <c r="BT220" i="3"/>
  <c r="BL220" i="3"/>
  <c r="BB221" i="3"/>
  <c r="BC221" i="3"/>
  <c r="BA221" i="3"/>
  <c r="BD221" i="3"/>
  <c r="BE221" i="3"/>
  <c r="BF221" i="3"/>
  <c r="BG221" i="3"/>
  <c r="BH221" i="3"/>
  <c r="BI221" i="3"/>
  <c r="BJ221" i="3"/>
  <c r="BK221" i="3"/>
  <c r="BM221" i="3"/>
  <c r="BN221" i="3"/>
  <c r="BO221" i="3"/>
  <c r="BL221" i="3"/>
  <c r="BP221" i="3"/>
  <c r="BQ221" i="3"/>
  <c r="BR221" i="3"/>
  <c r="BS221" i="3"/>
  <c r="BT221" i="3"/>
  <c r="BB222" i="3"/>
  <c r="BC222" i="3"/>
  <c r="BD222" i="3"/>
  <c r="BA222" i="3"/>
  <c r="AZ222" i="3"/>
  <c r="BE222" i="3"/>
  <c r="BF222" i="3"/>
  <c r="BG222" i="3"/>
  <c r="BH222" i="3"/>
  <c r="BI222" i="3"/>
  <c r="BJ222" i="3"/>
  <c r="BK222" i="3"/>
  <c r="BM222" i="3"/>
  <c r="BN222" i="3"/>
  <c r="BO222" i="3"/>
  <c r="BP222" i="3"/>
  <c r="BQ222" i="3"/>
  <c r="BR222" i="3"/>
  <c r="BS222" i="3"/>
  <c r="BT222" i="3"/>
  <c r="BL222" i="3"/>
  <c r="BB223" i="3"/>
  <c r="BC223" i="3"/>
  <c r="BA223" i="3"/>
  <c r="AZ223" i="3"/>
  <c r="BD223" i="3"/>
  <c r="BE223" i="3"/>
  <c r="BF223" i="3"/>
  <c r="BG223" i="3"/>
  <c r="BH223" i="3"/>
  <c r="BI223" i="3"/>
  <c r="BJ223" i="3"/>
  <c r="BK223" i="3"/>
  <c r="BM223" i="3"/>
  <c r="BN223" i="3"/>
  <c r="BO223" i="3"/>
  <c r="BL223" i="3"/>
  <c r="BP223" i="3"/>
  <c r="BQ223" i="3"/>
  <c r="BR223" i="3"/>
  <c r="BS223" i="3"/>
  <c r="BT223" i="3"/>
  <c r="BB224" i="3"/>
  <c r="BC224" i="3"/>
  <c r="BD224" i="3"/>
  <c r="BA224" i="3"/>
  <c r="AZ224" i="3"/>
  <c r="BE224" i="3"/>
  <c r="BF224" i="3"/>
  <c r="BG224" i="3"/>
  <c r="BH224" i="3"/>
  <c r="BI224" i="3"/>
  <c r="BJ224" i="3"/>
  <c r="BK224" i="3"/>
  <c r="BM224" i="3"/>
  <c r="BN224" i="3"/>
  <c r="BO224" i="3"/>
  <c r="BP224" i="3"/>
  <c r="BQ224" i="3"/>
  <c r="BR224" i="3"/>
  <c r="BS224" i="3"/>
  <c r="BT224" i="3"/>
  <c r="BL224" i="3"/>
  <c r="BB225" i="3"/>
  <c r="BC225" i="3"/>
  <c r="BA225" i="3"/>
  <c r="BD225" i="3"/>
  <c r="BE225" i="3"/>
  <c r="BF225" i="3"/>
  <c r="BG225" i="3"/>
  <c r="BH225" i="3"/>
  <c r="BI225" i="3"/>
  <c r="BJ225" i="3"/>
  <c r="BK225" i="3"/>
  <c r="BM225" i="3"/>
  <c r="BN225" i="3"/>
  <c r="BO225" i="3"/>
  <c r="BL225" i="3"/>
  <c r="BP225" i="3"/>
  <c r="BQ225" i="3"/>
  <c r="BR225" i="3"/>
  <c r="BS225" i="3"/>
  <c r="BT225" i="3"/>
  <c r="BB226" i="3"/>
  <c r="BC226" i="3"/>
  <c r="BD226" i="3"/>
  <c r="BA226" i="3"/>
  <c r="AZ226" i="3"/>
  <c r="BE226" i="3"/>
  <c r="BF226" i="3"/>
  <c r="BG226" i="3"/>
  <c r="BH226" i="3"/>
  <c r="BI226" i="3"/>
  <c r="BJ226" i="3"/>
  <c r="BK226" i="3"/>
  <c r="BM226" i="3"/>
  <c r="BN226" i="3"/>
  <c r="BO226" i="3"/>
  <c r="BP226" i="3"/>
  <c r="BQ226" i="3"/>
  <c r="BR226" i="3"/>
  <c r="BS226" i="3"/>
  <c r="BT226" i="3"/>
  <c r="BL226" i="3"/>
  <c r="BB227" i="3"/>
  <c r="BC227" i="3"/>
  <c r="BA227" i="3"/>
  <c r="AZ227" i="3"/>
  <c r="BD227" i="3"/>
  <c r="BE227" i="3"/>
  <c r="BF227" i="3"/>
  <c r="BG227" i="3"/>
  <c r="BH227" i="3"/>
  <c r="BI227" i="3"/>
  <c r="BJ227" i="3"/>
  <c r="BK227" i="3"/>
  <c r="BM227" i="3"/>
  <c r="BN227" i="3"/>
  <c r="BO227" i="3"/>
  <c r="BL227" i="3"/>
  <c r="BP227" i="3"/>
  <c r="BQ227" i="3"/>
  <c r="BR227" i="3"/>
  <c r="BS227" i="3"/>
  <c r="BT227" i="3"/>
  <c r="BB228" i="3"/>
  <c r="BC228" i="3"/>
  <c r="BD228" i="3"/>
  <c r="BA228" i="3"/>
  <c r="AZ228" i="3"/>
  <c r="BE228" i="3"/>
  <c r="BF228" i="3"/>
  <c r="BG228" i="3"/>
  <c r="BH228" i="3"/>
  <c r="BI228" i="3"/>
  <c r="BJ228" i="3"/>
  <c r="BK228" i="3"/>
  <c r="BM228" i="3"/>
  <c r="BN228" i="3"/>
  <c r="BO228" i="3"/>
  <c r="BP228" i="3"/>
  <c r="BQ228" i="3"/>
  <c r="BR228" i="3"/>
  <c r="BS228" i="3"/>
  <c r="BT228" i="3"/>
  <c r="BL228" i="3"/>
  <c r="BB229" i="3"/>
  <c r="BC229" i="3"/>
  <c r="BA229" i="3"/>
  <c r="BD229" i="3"/>
  <c r="BE229" i="3"/>
  <c r="BF229" i="3"/>
  <c r="BG229" i="3"/>
  <c r="BH229" i="3"/>
  <c r="BI229" i="3"/>
  <c r="BJ229" i="3"/>
  <c r="BK229" i="3"/>
  <c r="BM229" i="3"/>
  <c r="BN229" i="3"/>
  <c r="BO229" i="3"/>
  <c r="BL229" i="3"/>
  <c r="BP229" i="3"/>
  <c r="BQ229" i="3"/>
  <c r="BR229" i="3"/>
  <c r="BS229" i="3"/>
  <c r="BT229" i="3"/>
  <c r="BB230" i="3"/>
  <c r="BC230" i="3"/>
  <c r="BD230" i="3"/>
  <c r="BA230" i="3"/>
  <c r="AZ230" i="3"/>
  <c r="BE230" i="3"/>
  <c r="BF230" i="3"/>
  <c r="BG230" i="3"/>
  <c r="BH230" i="3"/>
  <c r="BI230" i="3"/>
  <c r="BJ230" i="3"/>
  <c r="BK230" i="3"/>
  <c r="BM230" i="3"/>
  <c r="BN230" i="3"/>
  <c r="BO230" i="3"/>
  <c r="BP230" i="3"/>
  <c r="BQ230" i="3"/>
  <c r="BR230" i="3"/>
  <c r="BS230" i="3"/>
  <c r="BT230" i="3"/>
  <c r="BL230" i="3"/>
  <c r="BB231" i="3"/>
  <c r="BC231" i="3"/>
  <c r="BA231" i="3"/>
  <c r="AZ231" i="3"/>
  <c r="BD231" i="3"/>
  <c r="BE231" i="3"/>
  <c r="BF231" i="3"/>
  <c r="BG231" i="3"/>
  <c r="BH231" i="3"/>
  <c r="BI231" i="3"/>
  <c r="BJ231" i="3"/>
  <c r="BK231" i="3"/>
  <c r="BM231" i="3"/>
  <c r="BN231" i="3"/>
  <c r="BO231" i="3"/>
  <c r="BL231" i="3"/>
  <c r="BP231" i="3"/>
  <c r="BQ231" i="3"/>
  <c r="BR231" i="3"/>
  <c r="BS231" i="3"/>
  <c r="BT231" i="3"/>
  <c r="BB232" i="3"/>
  <c r="BC232" i="3"/>
  <c r="BD232" i="3"/>
  <c r="BA232" i="3"/>
  <c r="AZ232" i="3"/>
  <c r="BE232" i="3"/>
  <c r="BF232" i="3"/>
  <c r="BG232" i="3"/>
  <c r="BH232" i="3"/>
  <c r="BI232" i="3"/>
  <c r="BJ232" i="3"/>
  <c r="BK232" i="3"/>
  <c r="BM232" i="3"/>
  <c r="BN232" i="3"/>
  <c r="BO232" i="3"/>
  <c r="BP232" i="3"/>
  <c r="BQ232" i="3"/>
  <c r="BR232" i="3"/>
  <c r="BS232" i="3"/>
  <c r="BT232" i="3"/>
  <c r="BL232" i="3"/>
  <c r="BB233" i="3"/>
  <c r="BC233" i="3"/>
  <c r="BA233" i="3"/>
  <c r="BD233" i="3"/>
  <c r="BE233" i="3"/>
  <c r="BF233" i="3"/>
  <c r="BG233" i="3"/>
  <c r="BH233" i="3"/>
  <c r="BI233" i="3"/>
  <c r="BJ233" i="3"/>
  <c r="BK233" i="3"/>
  <c r="BM233" i="3"/>
  <c r="BN233" i="3"/>
  <c r="BO233" i="3"/>
  <c r="BL233" i="3"/>
  <c r="BP233" i="3"/>
  <c r="BQ233" i="3"/>
  <c r="BR233" i="3"/>
  <c r="BS233" i="3"/>
  <c r="BT233" i="3"/>
  <c r="BB234" i="3"/>
  <c r="BC234" i="3"/>
  <c r="BD234" i="3"/>
  <c r="BA234" i="3"/>
  <c r="AZ234" i="3"/>
  <c r="BE234" i="3"/>
  <c r="BF234" i="3"/>
  <c r="BG234" i="3"/>
  <c r="BH234" i="3"/>
  <c r="BI234" i="3"/>
  <c r="BJ234" i="3"/>
  <c r="BK234" i="3"/>
  <c r="BM234" i="3"/>
  <c r="BN234" i="3"/>
  <c r="BO234" i="3"/>
  <c r="BP234" i="3"/>
  <c r="BQ234" i="3"/>
  <c r="BR234" i="3"/>
  <c r="BS234" i="3"/>
  <c r="BT234" i="3"/>
  <c r="BL234" i="3"/>
  <c r="BB235" i="3"/>
  <c r="BC235" i="3"/>
  <c r="BA235" i="3"/>
  <c r="AZ235" i="3"/>
  <c r="BD235" i="3"/>
  <c r="BE235" i="3"/>
  <c r="BF235" i="3"/>
  <c r="BG235" i="3"/>
  <c r="BH235" i="3"/>
  <c r="BI235" i="3"/>
  <c r="BJ235" i="3"/>
  <c r="BK235" i="3"/>
  <c r="BM235" i="3"/>
  <c r="BN235" i="3"/>
  <c r="BO235" i="3"/>
  <c r="BL235" i="3"/>
  <c r="BP235" i="3"/>
  <c r="BQ235" i="3"/>
  <c r="BR235" i="3"/>
  <c r="BS235" i="3"/>
  <c r="BT235" i="3"/>
  <c r="BB236" i="3"/>
  <c r="BC236" i="3"/>
  <c r="BD236" i="3"/>
  <c r="BA236" i="3"/>
  <c r="AZ236" i="3"/>
  <c r="BE236" i="3"/>
  <c r="BF236" i="3"/>
  <c r="BG236" i="3"/>
  <c r="BH236" i="3"/>
  <c r="BI236" i="3"/>
  <c r="BJ236" i="3"/>
  <c r="BK236" i="3"/>
  <c r="BM236" i="3"/>
  <c r="BN236" i="3"/>
  <c r="BO236" i="3"/>
  <c r="BP236" i="3"/>
  <c r="BQ236" i="3"/>
  <c r="BR236" i="3"/>
  <c r="BS236" i="3"/>
  <c r="BT236" i="3"/>
  <c r="BL236" i="3"/>
  <c r="BB237" i="3"/>
  <c r="BC237" i="3"/>
  <c r="BA237" i="3"/>
  <c r="BD237" i="3"/>
  <c r="BE237" i="3"/>
  <c r="BF237" i="3"/>
  <c r="BG237" i="3"/>
  <c r="BH237" i="3"/>
  <c r="BI237" i="3"/>
  <c r="BJ237" i="3"/>
  <c r="BK237" i="3"/>
  <c r="BM237" i="3"/>
  <c r="BN237" i="3"/>
  <c r="BO237" i="3"/>
  <c r="BL237" i="3"/>
  <c r="BP237" i="3"/>
  <c r="BQ237" i="3"/>
  <c r="BR237" i="3"/>
  <c r="BS237" i="3"/>
  <c r="BT237" i="3"/>
  <c r="BB238" i="3"/>
  <c r="BC238" i="3"/>
  <c r="BD238" i="3"/>
  <c r="BA238" i="3"/>
  <c r="AZ238" i="3"/>
  <c r="BE238" i="3"/>
  <c r="BF238" i="3"/>
  <c r="BG238" i="3"/>
  <c r="BH238" i="3"/>
  <c r="BI238" i="3"/>
  <c r="BJ238" i="3"/>
  <c r="BK238" i="3"/>
  <c r="BM238" i="3"/>
  <c r="BN238" i="3"/>
  <c r="BO238" i="3"/>
  <c r="BP238" i="3"/>
  <c r="BQ238" i="3"/>
  <c r="BR238" i="3"/>
  <c r="BS238" i="3"/>
  <c r="BT238" i="3"/>
  <c r="BL238" i="3"/>
  <c r="BB239" i="3"/>
  <c r="BC239" i="3"/>
  <c r="BA239" i="3"/>
  <c r="AZ239" i="3"/>
  <c r="BD239" i="3"/>
  <c r="BE239" i="3"/>
  <c r="BF239" i="3"/>
  <c r="BG239" i="3"/>
  <c r="BH239" i="3"/>
  <c r="BI239" i="3"/>
  <c r="BJ239" i="3"/>
  <c r="BK239" i="3"/>
  <c r="BM239" i="3"/>
  <c r="BN239" i="3"/>
  <c r="BO239" i="3"/>
  <c r="BL239" i="3"/>
  <c r="BP239" i="3"/>
  <c r="BQ239" i="3"/>
  <c r="BR239" i="3"/>
  <c r="BS239" i="3"/>
  <c r="BT239" i="3"/>
  <c r="BB240" i="3"/>
  <c r="BC240" i="3"/>
  <c r="BD240" i="3"/>
  <c r="BA240" i="3"/>
  <c r="AZ240" i="3"/>
  <c r="BE240" i="3"/>
  <c r="BF240" i="3"/>
  <c r="BG240" i="3"/>
  <c r="BH240" i="3"/>
  <c r="BI240" i="3"/>
  <c r="BJ240" i="3"/>
  <c r="BK240" i="3"/>
  <c r="BM240" i="3"/>
  <c r="BN240" i="3"/>
  <c r="BO240" i="3"/>
  <c r="BP240" i="3"/>
  <c r="BQ240" i="3"/>
  <c r="BR240" i="3"/>
  <c r="BS240" i="3"/>
  <c r="BT240" i="3"/>
  <c r="BL240" i="3"/>
  <c r="BB241" i="3"/>
  <c r="BC241" i="3"/>
  <c r="BA241" i="3"/>
  <c r="BD241" i="3"/>
  <c r="BE241" i="3"/>
  <c r="BF241" i="3"/>
  <c r="BG241" i="3"/>
  <c r="BH241" i="3"/>
  <c r="BI241" i="3"/>
  <c r="BJ241" i="3"/>
  <c r="BK241" i="3"/>
  <c r="BM241" i="3"/>
  <c r="BN241" i="3"/>
  <c r="BO241" i="3"/>
  <c r="BL241" i="3"/>
  <c r="BP241" i="3"/>
  <c r="BQ241" i="3"/>
  <c r="BR241" i="3"/>
  <c r="BS241" i="3"/>
  <c r="BT241" i="3"/>
  <c r="BB242" i="3"/>
  <c r="BC242" i="3"/>
  <c r="BD242" i="3"/>
  <c r="BA242" i="3"/>
  <c r="AZ242" i="3"/>
  <c r="BE242" i="3"/>
  <c r="BF242" i="3"/>
  <c r="BG242" i="3"/>
  <c r="BH242" i="3"/>
  <c r="BI242" i="3"/>
  <c r="BJ242" i="3"/>
  <c r="BK242" i="3"/>
  <c r="BM242" i="3"/>
  <c r="BN242" i="3"/>
  <c r="BO242" i="3"/>
  <c r="BP242" i="3"/>
  <c r="BQ242" i="3"/>
  <c r="BR242" i="3"/>
  <c r="BS242" i="3"/>
  <c r="BT242" i="3"/>
  <c r="BL242" i="3"/>
  <c r="BB243" i="3"/>
  <c r="BC243" i="3"/>
  <c r="BA243" i="3"/>
  <c r="AZ243" i="3"/>
  <c r="BD243" i="3"/>
  <c r="BE243" i="3"/>
  <c r="BF243" i="3"/>
  <c r="BG243" i="3"/>
  <c r="BH243" i="3"/>
  <c r="BI243" i="3"/>
  <c r="BJ243" i="3"/>
  <c r="BK243" i="3"/>
  <c r="BM243" i="3"/>
  <c r="BN243" i="3"/>
  <c r="BO243" i="3"/>
  <c r="BL243" i="3"/>
  <c r="BP243" i="3"/>
  <c r="BQ243" i="3"/>
  <c r="BR243" i="3"/>
  <c r="BS243" i="3"/>
  <c r="BT243" i="3"/>
  <c r="BB244" i="3"/>
  <c r="BC244" i="3"/>
  <c r="BD244" i="3"/>
  <c r="BA244" i="3"/>
  <c r="AZ244" i="3"/>
  <c r="BE244" i="3"/>
  <c r="BF244" i="3"/>
  <c r="BG244" i="3"/>
  <c r="BH244" i="3"/>
  <c r="BI244" i="3"/>
  <c r="BJ244" i="3"/>
  <c r="BK244" i="3"/>
  <c r="BM244" i="3"/>
  <c r="BN244" i="3"/>
  <c r="BO244" i="3"/>
  <c r="BP244" i="3"/>
  <c r="BQ244" i="3"/>
  <c r="BR244" i="3"/>
  <c r="BS244" i="3"/>
  <c r="BT244" i="3"/>
  <c r="BL244" i="3"/>
  <c r="BB245" i="3"/>
  <c r="BC245" i="3"/>
  <c r="BA245" i="3"/>
  <c r="BD245" i="3"/>
  <c r="BE245" i="3"/>
  <c r="BF245" i="3"/>
  <c r="BG245" i="3"/>
  <c r="BH245" i="3"/>
  <c r="BI245" i="3"/>
  <c r="BJ245" i="3"/>
  <c r="BK245" i="3"/>
  <c r="BM245" i="3"/>
  <c r="BN245" i="3"/>
  <c r="BO245" i="3"/>
  <c r="BL245" i="3"/>
  <c r="BP245" i="3"/>
  <c r="BQ245" i="3"/>
  <c r="BR245" i="3"/>
  <c r="BS245" i="3"/>
  <c r="BT245" i="3"/>
  <c r="BB246" i="3"/>
  <c r="BC246" i="3"/>
  <c r="BD246" i="3"/>
  <c r="BA246" i="3"/>
  <c r="AZ246" i="3"/>
  <c r="BE246" i="3"/>
  <c r="BF246" i="3"/>
  <c r="BG246" i="3"/>
  <c r="BH246" i="3"/>
  <c r="BI246" i="3"/>
  <c r="BJ246" i="3"/>
  <c r="BK246" i="3"/>
  <c r="BM246" i="3"/>
  <c r="BN246" i="3"/>
  <c r="BO246" i="3"/>
  <c r="BP246" i="3"/>
  <c r="BQ246" i="3"/>
  <c r="BR246" i="3"/>
  <c r="BS246" i="3"/>
  <c r="BT246" i="3"/>
  <c r="BL246" i="3"/>
  <c r="BB247" i="3"/>
  <c r="BC247" i="3"/>
  <c r="BA247" i="3"/>
  <c r="AZ247" i="3"/>
  <c r="BD247" i="3"/>
  <c r="BE247" i="3"/>
  <c r="BF247" i="3"/>
  <c r="BG247" i="3"/>
  <c r="BH247" i="3"/>
  <c r="BI247" i="3"/>
  <c r="BJ247" i="3"/>
  <c r="BK247" i="3"/>
  <c r="BM247" i="3"/>
  <c r="BN247" i="3"/>
  <c r="BO247" i="3"/>
  <c r="BL247" i="3"/>
  <c r="BP247" i="3"/>
  <c r="BQ247" i="3"/>
  <c r="BR247" i="3"/>
  <c r="BS247" i="3"/>
  <c r="BT247" i="3"/>
  <c r="BB248" i="3"/>
  <c r="BC248" i="3"/>
  <c r="BD248" i="3"/>
  <c r="BA248" i="3"/>
  <c r="AZ248" i="3"/>
  <c r="BE248" i="3"/>
  <c r="BF248" i="3"/>
  <c r="BG248" i="3"/>
  <c r="BH248" i="3"/>
  <c r="BI248" i="3"/>
  <c r="BJ248" i="3"/>
  <c r="BK248" i="3"/>
  <c r="BM248" i="3"/>
  <c r="BN248" i="3"/>
  <c r="BO248" i="3"/>
  <c r="BP248" i="3"/>
  <c r="BQ248" i="3"/>
  <c r="BR248" i="3"/>
  <c r="BS248" i="3"/>
  <c r="BT248" i="3"/>
  <c r="BL248" i="3"/>
  <c r="BB249" i="3"/>
  <c r="BC249" i="3"/>
  <c r="BA249" i="3"/>
  <c r="BD249" i="3"/>
  <c r="BE249" i="3"/>
  <c r="BF249" i="3"/>
  <c r="BG249" i="3"/>
  <c r="BH249" i="3"/>
  <c r="BI249" i="3"/>
  <c r="BJ249" i="3"/>
  <c r="BK249" i="3"/>
  <c r="BM249" i="3"/>
  <c r="BN249" i="3"/>
  <c r="BO249" i="3"/>
  <c r="BL249" i="3"/>
  <c r="BP249" i="3"/>
  <c r="BQ249" i="3"/>
  <c r="BR249" i="3"/>
  <c r="BS249" i="3"/>
  <c r="BT249" i="3"/>
  <c r="BB250" i="3"/>
  <c r="BC250" i="3"/>
  <c r="BD250" i="3"/>
  <c r="BA250" i="3"/>
  <c r="AZ250" i="3"/>
  <c r="BE250" i="3"/>
  <c r="BF250" i="3"/>
  <c r="BG250" i="3"/>
  <c r="BH250" i="3"/>
  <c r="BI250" i="3"/>
  <c r="BJ250" i="3"/>
  <c r="BK250" i="3"/>
  <c r="BM250" i="3"/>
  <c r="BN250" i="3"/>
  <c r="BO250" i="3"/>
  <c r="BP250" i="3"/>
  <c r="BQ250" i="3"/>
  <c r="BR250" i="3"/>
  <c r="BS250" i="3"/>
  <c r="BT250" i="3"/>
  <c r="BL250" i="3"/>
  <c r="BB251" i="3"/>
  <c r="BC251" i="3"/>
  <c r="BA251" i="3"/>
  <c r="AZ251" i="3"/>
  <c r="BD251" i="3"/>
  <c r="BE251" i="3"/>
  <c r="BF251" i="3"/>
  <c r="BG251" i="3"/>
  <c r="BH251" i="3"/>
  <c r="BI251" i="3"/>
  <c r="BJ251" i="3"/>
  <c r="BK251" i="3"/>
  <c r="BM251" i="3"/>
  <c r="BN251" i="3"/>
  <c r="BO251" i="3"/>
  <c r="BL251" i="3"/>
  <c r="BP251" i="3"/>
  <c r="BQ251" i="3"/>
  <c r="BR251" i="3"/>
  <c r="BS251" i="3"/>
  <c r="BT251" i="3"/>
  <c r="BB252" i="3"/>
  <c r="BC252" i="3"/>
  <c r="BD252" i="3"/>
  <c r="BA252" i="3"/>
  <c r="AZ252" i="3"/>
  <c r="BE252" i="3"/>
  <c r="BF252" i="3"/>
  <c r="BG252" i="3"/>
  <c r="BH252" i="3"/>
  <c r="BI252" i="3"/>
  <c r="BJ252" i="3"/>
  <c r="BK252" i="3"/>
  <c r="BM252" i="3"/>
  <c r="BN252" i="3"/>
  <c r="BO252" i="3"/>
  <c r="BP252" i="3"/>
  <c r="BQ252" i="3"/>
  <c r="BR252" i="3"/>
  <c r="BS252" i="3"/>
  <c r="BT252" i="3"/>
  <c r="BL252" i="3"/>
  <c r="BB253" i="3"/>
  <c r="BC253" i="3"/>
  <c r="BA253" i="3"/>
  <c r="BD253" i="3"/>
  <c r="BE253" i="3"/>
  <c r="BF253" i="3"/>
  <c r="BG253" i="3"/>
  <c r="BH253" i="3"/>
  <c r="BI253" i="3"/>
  <c r="BJ253" i="3"/>
  <c r="BK253" i="3"/>
  <c r="BM253" i="3"/>
  <c r="BN253" i="3"/>
  <c r="BO253" i="3"/>
  <c r="BL253" i="3"/>
  <c r="BP253" i="3"/>
  <c r="BQ253" i="3"/>
  <c r="BR253" i="3"/>
  <c r="BS253" i="3"/>
  <c r="BT253" i="3"/>
  <c r="BB254" i="3"/>
  <c r="BC254" i="3"/>
  <c r="BD254" i="3"/>
  <c r="BA254" i="3"/>
  <c r="AZ254" i="3"/>
  <c r="BE254" i="3"/>
  <c r="BF254" i="3"/>
  <c r="BG254" i="3"/>
  <c r="BH254" i="3"/>
  <c r="BI254" i="3"/>
  <c r="BJ254" i="3"/>
  <c r="BK254" i="3"/>
  <c r="BM254" i="3"/>
  <c r="BN254" i="3"/>
  <c r="BO254" i="3"/>
  <c r="BP254" i="3"/>
  <c r="BQ254" i="3"/>
  <c r="BR254" i="3"/>
  <c r="BS254" i="3"/>
  <c r="BT254" i="3"/>
  <c r="BL254" i="3"/>
  <c r="BB255" i="3"/>
  <c r="BC255" i="3"/>
  <c r="BA255" i="3"/>
  <c r="AZ255" i="3"/>
  <c r="BD255" i="3"/>
  <c r="BE255" i="3"/>
  <c r="BF255" i="3"/>
  <c r="BG255" i="3"/>
  <c r="BH255" i="3"/>
  <c r="BI255" i="3"/>
  <c r="BJ255" i="3"/>
  <c r="BK255" i="3"/>
  <c r="BM255" i="3"/>
  <c r="BN255" i="3"/>
  <c r="BO255" i="3"/>
  <c r="BL255" i="3"/>
  <c r="BP255" i="3"/>
  <c r="BQ255" i="3"/>
  <c r="BR255" i="3"/>
  <c r="BS255" i="3"/>
  <c r="BT255" i="3"/>
  <c r="BB256" i="3"/>
  <c r="BC256" i="3"/>
  <c r="BD256" i="3"/>
  <c r="BA256" i="3"/>
  <c r="AZ256" i="3"/>
  <c r="BE256" i="3"/>
  <c r="BF256" i="3"/>
  <c r="BG256" i="3"/>
  <c r="BH256" i="3"/>
  <c r="BI256" i="3"/>
  <c r="BJ256" i="3"/>
  <c r="BK256" i="3"/>
  <c r="BM256" i="3"/>
  <c r="BN256" i="3"/>
  <c r="BO256" i="3"/>
  <c r="BP256" i="3"/>
  <c r="BQ256" i="3"/>
  <c r="BR256" i="3"/>
  <c r="BS256" i="3"/>
  <c r="BT256" i="3"/>
  <c r="BL256" i="3"/>
  <c r="BB257" i="3"/>
  <c r="BC257" i="3"/>
  <c r="BA257" i="3"/>
  <c r="BD257" i="3"/>
  <c r="BE257" i="3"/>
  <c r="BF257" i="3"/>
  <c r="BG257" i="3"/>
  <c r="BH257" i="3"/>
  <c r="BI257" i="3"/>
  <c r="BJ257" i="3"/>
  <c r="BK257" i="3"/>
  <c r="BM257" i="3"/>
  <c r="BN257" i="3"/>
  <c r="BO257" i="3"/>
  <c r="BL257" i="3"/>
  <c r="BP257" i="3"/>
  <c r="BQ257" i="3"/>
  <c r="BR257" i="3"/>
  <c r="BS257" i="3"/>
  <c r="BT257" i="3"/>
  <c r="BB258" i="3"/>
  <c r="BC258" i="3"/>
  <c r="BD258" i="3"/>
  <c r="BA258" i="3"/>
  <c r="AZ258" i="3"/>
  <c r="BE258" i="3"/>
  <c r="BF258" i="3"/>
  <c r="BG258" i="3"/>
  <c r="BH258" i="3"/>
  <c r="BI258" i="3"/>
  <c r="BJ258" i="3"/>
  <c r="BK258" i="3"/>
  <c r="BM258" i="3"/>
  <c r="BN258" i="3"/>
  <c r="BO258" i="3"/>
  <c r="BP258" i="3"/>
  <c r="BQ258" i="3"/>
  <c r="BR258" i="3"/>
  <c r="BS258" i="3"/>
  <c r="BT258" i="3"/>
  <c r="BL258" i="3"/>
  <c r="BB259" i="3"/>
  <c r="BC259" i="3"/>
  <c r="BA259" i="3"/>
  <c r="AZ259" i="3"/>
  <c r="BD259" i="3"/>
  <c r="BE259" i="3"/>
  <c r="BF259" i="3"/>
  <c r="BG259" i="3"/>
  <c r="BH259" i="3"/>
  <c r="BI259" i="3"/>
  <c r="BJ259" i="3"/>
  <c r="BK259" i="3"/>
  <c r="BM259" i="3"/>
  <c r="BN259" i="3"/>
  <c r="BO259" i="3"/>
  <c r="BL259" i="3"/>
  <c r="BP259" i="3"/>
  <c r="BQ259" i="3"/>
  <c r="BR259" i="3"/>
  <c r="BS259" i="3"/>
  <c r="BT259" i="3"/>
  <c r="BB260" i="3"/>
  <c r="BC260" i="3"/>
  <c r="BD260" i="3"/>
  <c r="BA260" i="3"/>
  <c r="AZ260" i="3"/>
  <c r="BE260" i="3"/>
  <c r="BF260" i="3"/>
  <c r="BG260" i="3"/>
  <c r="BH260" i="3"/>
  <c r="BI260" i="3"/>
  <c r="BJ260" i="3"/>
  <c r="BK260" i="3"/>
  <c r="BM260" i="3"/>
  <c r="BN260" i="3"/>
  <c r="BO260" i="3"/>
  <c r="BP260" i="3"/>
  <c r="BQ260" i="3"/>
  <c r="BR260" i="3"/>
  <c r="BS260" i="3"/>
  <c r="BT260" i="3"/>
  <c r="BL260" i="3"/>
  <c r="BB261" i="3"/>
  <c r="BC261" i="3"/>
  <c r="BA261" i="3"/>
  <c r="BD261" i="3"/>
  <c r="BE261" i="3"/>
  <c r="BF261" i="3"/>
  <c r="BG261" i="3"/>
  <c r="BH261" i="3"/>
  <c r="BI261" i="3"/>
  <c r="BJ261" i="3"/>
  <c r="BK261" i="3"/>
  <c r="BM261" i="3"/>
  <c r="BN261" i="3"/>
  <c r="BO261" i="3"/>
  <c r="BL261" i="3"/>
  <c r="BP261" i="3"/>
  <c r="BQ261" i="3"/>
  <c r="BR261" i="3"/>
  <c r="BS261" i="3"/>
  <c r="BT261" i="3"/>
  <c r="BB262" i="3"/>
  <c r="BC262" i="3"/>
  <c r="BD262" i="3"/>
  <c r="BA262" i="3"/>
  <c r="AZ262" i="3"/>
  <c r="BE262" i="3"/>
  <c r="BF262" i="3"/>
  <c r="BG262" i="3"/>
  <c r="BH262" i="3"/>
  <c r="BI262" i="3"/>
  <c r="BJ262" i="3"/>
  <c r="BK262" i="3"/>
  <c r="BM262" i="3"/>
  <c r="BN262" i="3"/>
  <c r="BO262" i="3"/>
  <c r="BP262" i="3"/>
  <c r="BQ262" i="3"/>
  <c r="BR262" i="3"/>
  <c r="BS262" i="3"/>
  <c r="BT262" i="3"/>
  <c r="BL262" i="3"/>
  <c r="BB263" i="3"/>
  <c r="BC263" i="3"/>
  <c r="BA263" i="3"/>
  <c r="AZ263" i="3"/>
  <c r="BD263" i="3"/>
  <c r="BE263" i="3"/>
  <c r="BF263" i="3"/>
  <c r="BG263" i="3"/>
  <c r="BH263" i="3"/>
  <c r="BI263" i="3"/>
  <c r="BJ263" i="3"/>
  <c r="BK263" i="3"/>
  <c r="BM263" i="3"/>
  <c r="BN263" i="3"/>
  <c r="BO263" i="3"/>
  <c r="BL263" i="3"/>
  <c r="BP263" i="3"/>
  <c r="BQ263" i="3"/>
  <c r="BR263" i="3"/>
  <c r="BS263" i="3"/>
  <c r="BT263" i="3"/>
  <c r="BB264" i="3"/>
  <c r="BC264" i="3"/>
  <c r="BD264" i="3"/>
  <c r="BA264" i="3"/>
  <c r="AZ264" i="3"/>
  <c r="BE264" i="3"/>
  <c r="BF264" i="3"/>
  <c r="BG264" i="3"/>
  <c r="BH264" i="3"/>
  <c r="BI264" i="3"/>
  <c r="BJ264" i="3"/>
  <c r="BK264" i="3"/>
  <c r="BM264" i="3"/>
  <c r="BN264" i="3"/>
  <c r="BO264" i="3"/>
  <c r="BP264" i="3"/>
  <c r="BQ264" i="3"/>
  <c r="BR264" i="3"/>
  <c r="BS264" i="3"/>
  <c r="BT264" i="3"/>
  <c r="BL264" i="3"/>
  <c r="BB265" i="3"/>
  <c r="BC265" i="3"/>
  <c r="BA265" i="3"/>
  <c r="BD265" i="3"/>
  <c r="BE265" i="3"/>
  <c r="BF265" i="3"/>
  <c r="BG265" i="3"/>
  <c r="BH265" i="3"/>
  <c r="BI265" i="3"/>
  <c r="BJ265" i="3"/>
  <c r="BK265" i="3"/>
  <c r="BM265" i="3"/>
  <c r="BN265" i="3"/>
  <c r="BO265" i="3"/>
  <c r="BL265" i="3"/>
  <c r="BP265" i="3"/>
  <c r="BQ265" i="3"/>
  <c r="BR265" i="3"/>
  <c r="BS265" i="3"/>
  <c r="BT265" i="3"/>
  <c r="BB266" i="3"/>
  <c r="BC266" i="3"/>
  <c r="BD266" i="3"/>
  <c r="BA266" i="3"/>
  <c r="AZ266" i="3"/>
  <c r="BE266" i="3"/>
  <c r="BF266" i="3"/>
  <c r="BG266" i="3"/>
  <c r="BH266" i="3"/>
  <c r="BI266" i="3"/>
  <c r="BJ266" i="3"/>
  <c r="BK266" i="3"/>
  <c r="BM266" i="3"/>
  <c r="BN266" i="3"/>
  <c r="BO266" i="3"/>
  <c r="BP266" i="3"/>
  <c r="BQ266" i="3"/>
  <c r="BR266" i="3"/>
  <c r="BS266" i="3"/>
  <c r="BT266" i="3"/>
  <c r="BL266" i="3"/>
  <c r="BB267" i="3"/>
  <c r="BC267" i="3"/>
  <c r="BA267" i="3"/>
  <c r="AZ267" i="3"/>
  <c r="BD267" i="3"/>
  <c r="BE267" i="3"/>
  <c r="BF267" i="3"/>
  <c r="BG267" i="3"/>
  <c r="BH267" i="3"/>
  <c r="BI267" i="3"/>
  <c r="BJ267" i="3"/>
  <c r="BK267" i="3"/>
  <c r="BM267" i="3"/>
  <c r="BN267" i="3"/>
  <c r="BO267" i="3"/>
  <c r="BL267" i="3"/>
  <c r="BP267" i="3"/>
  <c r="BQ267" i="3"/>
  <c r="BR267" i="3"/>
  <c r="BS267" i="3"/>
  <c r="BT267" i="3"/>
  <c r="BB268" i="3"/>
  <c r="BC268" i="3"/>
  <c r="BD268" i="3"/>
  <c r="BA268" i="3"/>
  <c r="AZ268" i="3"/>
  <c r="BE268" i="3"/>
  <c r="BF268" i="3"/>
  <c r="BG268" i="3"/>
  <c r="BH268" i="3"/>
  <c r="BI268" i="3"/>
  <c r="BJ268" i="3"/>
  <c r="BK268" i="3"/>
  <c r="BM268" i="3"/>
  <c r="BN268" i="3"/>
  <c r="BO268" i="3"/>
  <c r="BP268" i="3"/>
  <c r="BQ268" i="3"/>
  <c r="BR268" i="3"/>
  <c r="BS268" i="3"/>
  <c r="BT268" i="3"/>
  <c r="BL268" i="3"/>
  <c r="BB269" i="3"/>
  <c r="BC269" i="3"/>
  <c r="BA269" i="3"/>
  <c r="BD269" i="3"/>
  <c r="BE269" i="3"/>
  <c r="BF269" i="3"/>
  <c r="BG269" i="3"/>
  <c r="BH269" i="3"/>
  <c r="BI269" i="3"/>
  <c r="BJ269" i="3"/>
  <c r="BK269" i="3"/>
  <c r="BM269" i="3"/>
  <c r="BN269" i="3"/>
  <c r="BO269" i="3"/>
  <c r="BL269" i="3"/>
  <c r="BP269" i="3"/>
  <c r="BQ269" i="3"/>
  <c r="BR269" i="3"/>
  <c r="BS269" i="3"/>
  <c r="BT269" i="3"/>
  <c r="BB270" i="3"/>
  <c r="BC270" i="3"/>
  <c r="BD270" i="3"/>
  <c r="BA270" i="3"/>
  <c r="AZ270" i="3"/>
  <c r="BE270" i="3"/>
  <c r="BF270" i="3"/>
  <c r="BG270" i="3"/>
  <c r="BH270" i="3"/>
  <c r="BI270" i="3"/>
  <c r="BJ270" i="3"/>
  <c r="BK270" i="3"/>
  <c r="BM270" i="3"/>
  <c r="BN270" i="3"/>
  <c r="BO270" i="3"/>
  <c r="BP270" i="3"/>
  <c r="BQ270" i="3"/>
  <c r="BR270" i="3"/>
  <c r="BS270" i="3"/>
  <c r="BT270" i="3"/>
  <c r="BL270" i="3"/>
  <c r="BB271" i="3"/>
  <c r="BC271" i="3"/>
  <c r="BA271" i="3"/>
  <c r="AZ271" i="3"/>
  <c r="BD271" i="3"/>
  <c r="BE271" i="3"/>
  <c r="BF271" i="3"/>
  <c r="BG271" i="3"/>
  <c r="BH271" i="3"/>
  <c r="BI271" i="3"/>
  <c r="BJ271" i="3"/>
  <c r="BK271" i="3"/>
  <c r="BM271" i="3"/>
  <c r="BN271" i="3"/>
  <c r="BO271" i="3"/>
  <c r="BL271" i="3"/>
  <c r="BP271" i="3"/>
  <c r="BQ271" i="3"/>
  <c r="BR271" i="3"/>
  <c r="BS271" i="3"/>
  <c r="BT271" i="3"/>
  <c r="BB272" i="3"/>
  <c r="BC272" i="3"/>
  <c r="BD272" i="3"/>
  <c r="BA272" i="3"/>
  <c r="AZ272" i="3"/>
  <c r="BE272" i="3"/>
  <c r="BF272" i="3"/>
  <c r="BG272" i="3"/>
  <c r="BH272" i="3"/>
  <c r="BI272" i="3"/>
  <c r="BJ272" i="3"/>
  <c r="BK272" i="3"/>
  <c r="BM272" i="3"/>
  <c r="BN272" i="3"/>
  <c r="BO272" i="3"/>
  <c r="BP272" i="3"/>
  <c r="BQ272" i="3"/>
  <c r="BR272" i="3"/>
  <c r="BS272" i="3"/>
  <c r="BT272" i="3"/>
  <c r="BL272" i="3"/>
  <c r="BB273" i="3"/>
  <c r="BC273" i="3"/>
  <c r="BA273" i="3"/>
  <c r="BD273" i="3"/>
  <c r="BE273" i="3"/>
  <c r="BF273" i="3"/>
  <c r="BG273" i="3"/>
  <c r="BH273" i="3"/>
  <c r="BI273" i="3"/>
  <c r="BJ273" i="3"/>
  <c r="BK273" i="3"/>
  <c r="BM273" i="3"/>
  <c r="BN273" i="3"/>
  <c r="BO273" i="3"/>
  <c r="BL273" i="3"/>
  <c r="BP273" i="3"/>
  <c r="BQ273" i="3"/>
  <c r="BR273" i="3"/>
  <c r="BS273" i="3"/>
  <c r="BT273" i="3"/>
  <c r="BB274" i="3"/>
  <c r="BC274" i="3"/>
  <c r="BD274" i="3"/>
  <c r="BA274" i="3"/>
  <c r="AZ274" i="3"/>
  <c r="BE274" i="3"/>
  <c r="BF274" i="3"/>
  <c r="BG274" i="3"/>
  <c r="BH274" i="3"/>
  <c r="BI274" i="3"/>
  <c r="BJ274" i="3"/>
  <c r="BK274" i="3"/>
  <c r="BM274" i="3"/>
  <c r="BN274" i="3"/>
  <c r="BO274" i="3"/>
  <c r="BP274" i="3"/>
  <c r="BQ274" i="3"/>
  <c r="BR274" i="3"/>
  <c r="BS274" i="3"/>
  <c r="BT274" i="3"/>
  <c r="BL274" i="3"/>
  <c r="BB275" i="3"/>
  <c r="BC275" i="3"/>
  <c r="BA275" i="3"/>
  <c r="AZ275" i="3"/>
  <c r="BD275" i="3"/>
  <c r="BE275" i="3"/>
  <c r="BF275" i="3"/>
  <c r="BG275" i="3"/>
  <c r="BH275" i="3"/>
  <c r="BI275" i="3"/>
  <c r="BJ275" i="3"/>
  <c r="BK275" i="3"/>
  <c r="BM275" i="3"/>
  <c r="BN275" i="3"/>
  <c r="BO275" i="3"/>
  <c r="BL275" i="3"/>
  <c r="BP275" i="3"/>
  <c r="BQ275" i="3"/>
  <c r="BR275" i="3"/>
  <c r="BS275" i="3"/>
  <c r="BT275" i="3"/>
  <c r="BB276" i="3"/>
  <c r="BC276" i="3"/>
  <c r="BD276" i="3"/>
  <c r="BA276" i="3"/>
  <c r="AZ276" i="3"/>
  <c r="BE276" i="3"/>
  <c r="BF276" i="3"/>
  <c r="BG276" i="3"/>
  <c r="BH276" i="3"/>
  <c r="BI276" i="3"/>
  <c r="BJ276" i="3"/>
  <c r="BK276" i="3"/>
  <c r="BM276" i="3"/>
  <c r="BN276" i="3"/>
  <c r="BO276" i="3"/>
  <c r="BP276" i="3"/>
  <c r="BQ276" i="3"/>
  <c r="BR276" i="3"/>
  <c r="BS276" i="3"/>
  <c r="BT276" i="3"/>
  <c r="BL276" i="3"/>
  <c r="BB277" i="3"/>
  <c r="BC277" i="3"/>
  <c r="BA277" i="3"/>
  <c r="BD277" i="3"/>
  <c r="BE277" i="3"/>
  <c r="BF277" i="3"/>
  <c r="BG277" i="3"/>
  <c r="BH277" i="3"/>
  <c r="BI277" i="3"/>
  <c r="BJ277" i="3"/>
  <c r="BK277" i="3"/>
  <c r="BM277" i="3"/>
  <c r="BN277" i="3"/>
  <c r="BO277" i="3"/>
  <c r="BL277" i="3"/>
  <c r="BP277" i="3"/>
  <c r="BQ277" i="3"/>
  <c r="BR277" i="3"/>
  <c r="BS277" i="3"/>
  <c r="BT277" i="3"/>
  <c r="BB278" i="3"/>
  <c r="BC278" i="3"/>
  <c r="BD278" i="3"/>
  <c r="BA278" i="3"/>
  <c r="AZ278" i="3"/>
  <c r="BE278" i="3"/>
  <c r="BF278" i="3"/>
  <c r="BG278" i="3"/>
  <c r="BH278" i="3"/>
  <c r="BI278" i="3"/>
  <c r="BJ278" i="3"/>
  <c r="BK278" i="3"/>
  <c r="BM278" i="3"/>
  <c r="BN278" i="3"/>
  <c r="BO278" i="3"/>
  <c r="BP278" i="3"/>
  <c r="BQ278" i="3"/>
  <c r="BR278" i="3"/>
  <c r="BS278" i="3"/>
  <c r="BT278" i="3"/>
  <c r="BL278" i="3"/>
  <c r="BB279" i="3"/>
  <c r="BC279" i="3"/>
  <c r="BA279" i="3"/>
  <c r="AZ279" i="3"/>
  <c r="BD279" i="3"/>
  <c r="BE279" i="3"/>
  <c r="BF279" i="3"/>
  <c r="BG279" i="3"/>
  <c r="BH279" i="3"/>
  <c r="BI279" i="3"/>
  <c r="BJ279" i="3"/>
  <c r="BK279" i="3"/>
  <c r="BM279" i="3"/>
  <c r="BN279" i="3"/>
  <c r="BO279" i="3"/>
  <c r="BL279" i="3"/>
  <c r="BP279" i="3"/>
  <c r="BQ279" i="3"/>
  <c r="BR279" i="3"/>
  <c r="BS279" i="3"/>
  <c r="BT279" i="3"/>
  <c r="BB280" i="3"/>
  <c r="BC280" i="3"/>
  <c r="BD280" i="3"/>
  <c r="BA280" i="3"/>
  <c r="AZ280" i="3"/>
  <c r="BE280" i="3"/>
  <c r="BF280" i="3"/>
  <c r="BG280" i="3"/>
  <c r="BH280" i="3"/>
  <c r="BI280" i="3"/>
  <c r="BJ280" i="3"/>
  <c r="BK280" i="3"/>
  <c r="BM280" i="3"/>
  <c r="BN280" i="3"/>
  <c r="BO280" i="3"/>
  <c r="BP280" i="3"/>
  <c r="BQ280" i="3"/>
  <c r="BR280" i="3"/>
  <c r="BS280" i="3"/>
  <c r="BT280" i="3"/>
  <c r="BL280" i="3"/>
  <c r="BB281" i="3"/>
  <c r="BC281" i="3"/>
  <c r="BA281" i="3"/>
  <c r="BD281" i="3"/>
  <c r="BE281" i="3"/>
  <c r="BF281" i="3"/>
  <c r="BG281" i="3"/>
  <c r="BH281" i="3"/>
  <c r="BI281" i="3"/>
  <c r="BJ281" i="3"/>
  <c r="BK281" i="3"/>
  <c r="BM281" i="3"/>
  <c r="BN281" i="3"/>
  <c r="BO281" i="3"/>
  <c r="BL281" i="3"/>
  <c r="BP281" i="3"/>
  <c r="BQ281" i="3"/>
  <c r="BR281" i="3"/>
  <c r="BS281" i="3"/>
  <c r="BT281" i="3"/>
  <c r="BB282" i="3"/>
  <c r="BC282" i="3"/>
  <c r="BD282" i="3"/>
  <c r="BA282" i="3"/>
  <c r="AZ282" i="3"/>
  <c r="BE282" i="3"/>
  <c r="BF282" i="3"/>
  <c r="BG282" i="3"/>
  <c r="BH282" i="3"/>
  <c r="BI282" i="3"/>
  <c r="BJ282" i="3"/>
  <c r="BK282" i="3"/>
  <c r="BM282" i="3"/>
  <c r="BN282" i="3"/>
  <c r="BO282" i="3"/>
  <c r="BP282" i="3"/>
  <c r="BQ282" i="3"/>
  <c r="BR282" i="3"/>
  <c r="BS282" i="3"/>
  <c r="BT282" i="3"/>
  <c r="BL282" i="3"/>
  <c r="BB283" i="3"/>
  <c r="BC283" i="3"/>
  <c r="BA283" i="3"/>
  <c r="AZ283" i="3"/>
  <c r="BD283" i="3"/>
  <c r="BE283" i="3"/>
  <c r="BF283" i="3"/>
  <c r="BG283" i="3"/>
  <c r="BH283" i="3"/>
  <c r="BI283" i="3"/>
  <c r="BJ283" i="3"/>
  <c r="BK283" i="3"/>
  <c r="BM283" i="3"/>
  <c r="BN283" i="3"/>
  <c r="BO283" i="3"/>
  <c r="BL283" i="3"/>
  <c r="BP283" i="3"/>
  <c r="BQ283" i="3"/>
  <c r="BR283" i="3"/>
  <c r="BS283" i="3"/>
  <c r="BT283" i="3"/>
  <c r="BB284" i="3"/>
  <c r="BC284" i="3"/>
  <c r="BD284" i="3"/>
  <c r="BA284" i="3"/>
  <c r="AZ284" i="3"/>
  <c r="BE284" i="3"/>
  <c r="BF284" i="3"/>
  <c r="BG284" i="3"/>
  <c r="BH284" i="3"/>
  <c r="BI284" i="3"/>
  <c r="BJ284" i="3"/>
  <c r="BK284" i="3"/>
  <c r="BM284" i="3"/>
  <c r="BN284" i="3"/>
  <c r="BO284" i="3"/>
  <c r="BP284" i="3"/>
  <c r="BQ284" i="3"/>
  <c r="BR284" i="3"/>
  <c r="BS284" i="3"/>
  <c r="BT284" i="3"/>
  <c r="BL284" i="3"/>
  <c r="BB285" i="3"/>
  <c r="BC285" i="3"/>
  <c r="BA285" i="3"/>
  <c r="BD285" i="3"/>
  <c r="BE285" i="3"/>
  <c r="BF285" i="3"/>
  <c r="BG285" i="3"/>
  <c r="BH285" i="3"/>
  <c r="BI285" i="3"/>
  <c r="BJ285" i="3"/>
  <c r="BK285" i="3"/>
  <c r="BM285" i="3"/>
  <c r="BN285" i="3"/>
  <c r="BO285" i="3"/>
  <c r="BL285" i="3"/>
  <c r="BP285" i="3"/>
  <c r="BQ285" i="3"/>
  <c r="BR285" i="3"/>
  <c r="BS285" i="3"/>
  <c r="BT285" i="3"/>
  <c r="BB286" i="3"/>
  <c r="BC286" i="3"/>
  <c r="BD286" i="3"/>
  <c r="BA286" i="3"/>
  <c r="AZ286" i="3"/>
  <c r="BE286" i="3"/>
  <c r="BF286" i="3"/>
  <c r="BG286" i="3"/>
  <c r="BH286" i="3"/>
  <c r="BI286" i="3"/>
  <c r="BJ286" i="3"/>
  <c r="BK286" i="3"/>
  <c r="BM286" i="3"/>
  <c r="BN286" i="3"/>
  <c r="BO286" i="3"/>
  <c r="BP286" i="3"/>
  <c r="BQ286" i="3"/>
  <c r="BR286" i="3"/>
  <c r="BS286" i="3"/>
  <c r="BT286" i="3"/>
  <c r="BL286" i="3"/>
  <c r="BB287" i="3"/>
  <c r="BC287" i="3"/>
  <c r="BA287" i="3"/>
  <c r="AZ287" i="3"/>
  <c r="BD287" i="3"/>
  <c r="BE287" i="3"/>
  <c r="BF287" i="3"/>
  <c r="BG287" i="3"/>
  <c r="BH287" i="3"/>
  <c r="BI287" i="3"/>
  <c r="BJ287" i="3"/>
  <c r="BK287" i="3"/>
  <c r="BM287" i="3"/>
  <c r="BN287" i="3"/>
  <c r="BO287" i="3"/>
  <c r="BL287" i="3"/>
  <c r="BP287" i="3"/>
  <c r="BQ287" i="3"/>
  <c r="BR287" i="3"/>
  <c r="BS287" i="3"/>
  <c r="BT287" i="3"/>
  <c r="BB288" i="3"/>
  <c r="BC288" i="3"/>
  <c r="BD288" i="3"/>
  <c r="BA288" i="3"/>
  <c r="AZ288" i="3"/>
  <c r="BE288" i="3"/>
  <c r="BF288" i="3"/>
  <c r="BG288" i="3"/>
  <c r="BH288" i="3"/>
  <c r="BI288" i="3"/>
  <c r="BJ288" i="3"/>
  <c r="BK288" i="3"/>
  <c r="BM288" i="3"/>
  <c r="BN288" i="3"/>
  <c r="BO288" i="3"/>
  <c r="BP288" i="3"/>
  <c r="BQ288" i="3"/>
  <c r="BR288" i="3"/>
  <c r="BS288" i="3"/>
  <c r="BT288" i="3"/>
  <c r="BL288" i="3"/>
  <c r="BB289" i="3"/>
  <c r="BC289" i="3"/>
  <c r="BA289" i="3"/>
  <c r="BD289" i="3"/>
  <c r="BE289" i="3"/>
  <c r="BF289" i="3"/>
  <c r="BG289" i="3"/>
  <c r="BH289" i="3"/>
  <c r="BI289" i="3"/>
  <c r="BJ289" i="3"/>
  <c r="BK289" i="3"/>
  <c r="BM289" i="3"/>
  <c r="BN289" i="3"/>
  <c r="BO289" i="3"/>
  <c r="BL289" i="3"/>
  <c r="BP289" i="3"/>
  <c r="BQ289" i="3"/>
  <c r="BR289" i="3"/>
  <c r="BS289" i="3"/>
  <c r="BT289" i="3"/>
  <c r="BB290" i="3"/>
  <c r="BC290" i="3"/>
  <c r="BD290" i="3"/>
  <c r="BA290" i="3"/>
  <c r="AZ290" i="3"/>
  <c r="BE290" i="3"/>
  <c r="BF290" i="3"/>
  <c r="BG290" i="3"/>
  <c r="BH290" i="3"/>
  <c r="BI290" i="3"/>
  <c r="BJ290" i="3"/>
  <c r="BK290" i="3"/>
  <c r="BM290" i="3"/>
  <c r="BN290" i="3"/>
  <c r="BO290" i="3"/>
  <c r="BP290" i="3"/>
  <c r="BQ290" i="3"/>
  <c r="BR290" i="3"/>
  <c r="BS290" i="3"/>
  <c r="BT290" i="3"/>
  <c r="BL290" i="3"/>
  <c r="BB291" i="3"/>
  <c r="BC291" i="3"/>
  <c r="BA291" i="3"/>
  <c r="AZ291" i="3"/>
  <c r="BD291" i="3"/>
  <c r="BE291" i="3"/>
  <c r="BF291" i="3"/>
  <c r="BG291" i="3"/>
  <c r="BH291" i="3"/>
  <c r="BI291" i="3"/>
  <c r="BJ291" i="3"/>
  <c r="BK291" i="3"/>
  <c r="BM291" i="3"/>
  <c r="BN291" i="3"/>
  <c r="BO291" i="3"/>
  <c r="BL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L298" i="3"/>
  <c r="BQ298" i="3"/>
  <c r="BR298" i="3"/>
  <c r="BS298" i="3"/>
  <c r="BT298" i="3"/>
  <c r="BB299" i="3"/>
  <c r="BC299" i="3"/>
  <c r="BA299" i="3"/>
  <c r="BD299" i="3"/>
  <c r="BE299" i="3"/>
  <c r="BF299" i="3"/>
  <c r="BG299" i="3"/>
  <c r="BH299" i="3"/>
  <c r="BI299" i="3"/>
  <c r="BJ299" i="3"/>
  <c r="BK299" i="3"/>
  <c r="BM299" i="3"/>
  <c r="BN299" i="3"/>
  <c r="BL299" i="3"/>
  <c r="BO299" i="3"/>
  <c r="BP299" i="3"/>
  <c r="BQ299" i="3"/>
  <c r="BR299" i="3"/>
  <c r="BS299" i="3"/>
  <c r="BT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BD301" i="3"/>
  <c r="BE301" i="3"/>
  <c r="BF301" i="3"/>
  <c r="BG301" i="3"/>
  <c r="BH301" i="3"/>
  <c r="BI301" i="3"/>
  <c r="BJ301" i="3"/>
  <c r="BK301" i="3"/>
  <c r="BM301" i="3"/>
  <c r="BN301" i="3"/>
  <c r="BL301" i="3"/>
  <c r="BO301" i="3"/>
  <c r="BP301" i="3"/>
  <c r="BQ301" i="3"/>
  <c r="BR301" i="3"/>
  <c r="BS301" i="3"/>
  <c r="BT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BD303" i="3"/>
  <c r="BE303" i="3"/>
  <c r="BF303" i="3"/>
  <c r="BG303" i="3"/>
  <c r="BH303" i="3"/>
  <c r="BI303" i="3"/>
  <c r="BJ303" i="3"/>
  <c r="BK303" i="3"/>
  <c r="BM303" i="3"/>
  <c r="BN303" i="3"/>
  <c r="BL303" i="3"/>
  <c r="BO303" i="3"/>
  <c r="BP303" i="3"/>
  <c r="BQ303" i="3"/>
  <c r="BR303" i="3"/>
  <c r="BS303" i="3"/>
  <c r="BT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BD305" i="3"/>
  <c r="BE305" i="3"/>
  <c r="BF305" i="3"/>
  <c r="BG305" i="3"/>
  <c r="BH305" i="3"/>
  <c r="BI305" i="3"/>
  <c r="BJ305" i="3"/>
  <c r="BK305" i="3"/>
  <c r="BM305" i="3"/>
  <c r="BN305" i="3"/>
  <c r="BL305" i="3"/>
  <c r="BO305" i="3"/>
  <c r="BP305" i="3"/>
  <c r="BQ305" i="3"/>
  <c r="BR305" i="3"/>
  <c r="BS305" i="3"/>
  <c r="BT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BD307" i="3"/>
  <c r="BE307" i="3"/>
  <c r="BF307" i="3"/>
  <c r="BG307" i="3"/>
  <c r="BH307" i="3"/>
  <c r="BI307" i="3"/>
  <c r="BJ307" i="3"/>
  <c r="BK307" i="3"/>
  <c r="BM307" i="3"/>
  <c r="BN307" i="3"/>
  <c r="BL307" i="3"/>
  <c r="BO307" i="3"/>
  <c r="BP307" i="3"/>
  <c r="BQ307" i="3"/>
  <c r="BR307" i="3"/>
  <c r="BS307" i="3"/>
  <c r="BT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BD309" i="3"/>
  <c r="BE309" i="3"/>
  <c r="BF309" i="3"/>
  <c r="BG309" i="3"/>
  <c r="BH309" i="3"/>
  <c r="BI309" i="3"/>
  <c r="BJ309" i="3"/>
  <c r="BK309" i="3"/>
  <c r="BM309" i="3"/>
  <c r="BN309" i="3"/>
  <c r="BL309" i="3"/>
  <c r="BO309" i="3"/>
  <c r="BP309" i="3"/>
  <c r="BQ309" i="3"/>
  <c r="BR309" i="3"/>
  <c r="BS309" i="3"/>
  <c r="BT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BD311" i="3"/>
  <c r="BE311" i="3"/>
  <c r="BF311" i="3"/>
  <c r="BG311" i="3"/>
  <c r="BH311" i="3"/>
  <c r="BI311" i="3"/>
  <c r="BJ311" i="3"/>
  <c r="BK311" i="3"/>
  <c r="BM311" i="3"/>
  <c r="BN311" i="3"/>
  <c r="BL311" i="3"/>
  <c r="BO311" i="3"/>
  <c r="BP311" i="3"/>
  <c r="BQ311" i="3"/>
  <c r="BR311" i="3"/>
  <c r="BS311" i="3"/>
  <c r="BT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BD313" i="3"/>
  <c r="BE313" i="3"/>
  <c r="BF313" i="3"/>
  <c r="BG313" i="3"/>
  <c r="BH313" i="3"/>
  <c r="BI313" i="3"/>
  <c r="BJ313" i="3"/>
  <c r="BK313" i="3"/>
  <c r="BM313" i="3"/>
  <c r="BN313" i="3"/>
  <c r="BL313" i="3"/>
  <c r="BO313" i="3"/>
  <c r="BP313" i="3"/>
  <c r="BQ313" i="3"/>
  <c r="BR313" i="3"/>
  <c r="BS313" i="3"/>
  <c r="BT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BD315" i="3"/>
  <c r="BE315" i="3"/>
  <c r="BF315" i="3"/>
  <c r="BG315" i="3"/>
  <c r="BH315" i="3"/>
  <c r="BI315" i="3"/>
  <c r="BJ315" i="3"/>
  <c r="BK315" i="3"/>
  <c r="BM315" i="3"/>
  <c r="BN315" i="3"/>
  <c r="BL315" i="3"/>
  <c r="BO315" i="3"/>
  <c r="BP315" i="3"/>
  <c r="BQ315" i="3"/>
  <c r="BR315" i="3"/>
  <c r="BS315" i="3"/>
  <c r="BT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BD317" i="3"/>
  <c r="BE317" i="3"/>
  <c r="BF317" i="3"/>
  <c r="BG317" i="3"/>
  <c r="BH317" i="3"/>
  <c r="BI317" i="3"/>
  <c r="BJ317" i="3"/>
  <c r="BK317" i="3"/>
  <c r="BM317" i="3"/>
  <c r="BN317" i="3"/>
  <c r="BL317" i="3"/>
  <c r="BO317" i="3"/>
  <c r="BP317" i="3"/>
  <c r="BQ317" i="3"/>
  <c r="BR317" i="3"/>
  <c r="BS317" i="3"/>
  <c r="BT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AZ320" i="3"/>
  <c r="BM320" i="3"/>
  <c r="BN320" i="3"/>
  <c r="BL320" i="3"/>
  <c r="BO320" i="3"/>
  <c r="BP320" i="3"/>
  <c r="BQ320" i="3"/>
  <c r="BR320" i="3"/>
  <c r="BS320" i="3"/>
  <c r="BT320" i="3"/>
  <c r="BB321" i="3"/>
  <c r="BC321" i="3"/>
  <c r="BD321" i="3"/>
  <c r="BA321" i="3"/>
  <c r="AZ321" i="3"/>
  <c r="BE321" i="3"/>
  <c r="BF321" i="3"/>
  <c r="BG321" i="3"/>
  <c r="BH321" i="3"/>
  <c r="BI321" i="3"/>
  <c r="BJ321" i="3"/>
  <c r="BK321" i="3"/>
  <c r="BM321" i="3"/>
  <c r="BN321" i="3"/>
  <c r="BO321" i="3"/>
  <c r="BP321" i="3"/>
  <c r="BQ321" i="3"/>
  <c r="BR321" i="3"/>
  <c r="BS321" i="3"/>
  <c r="BT321" i="3"/>
  <c r="BL321" i="3"/>
  <c r="BB322" i="3"/>
  <c r="BC322" i="3"/>
  <c r="BA322" i="3"/>
  <c r="AZ322" i="3"/>
  <c r="BD322" i="3"/>
  <c r="BE322" i="3"/>
  <c r="BF322" i="3"/>
  <c r="BG322" i="3"/>
  <c r="BH322" i="3"/>
  <c r="BI322" i="3"/>
  <c r="BJ322" i="3"/>
  <c r="BK322" i="3"/>
  <c r="BM322" i="3"/>
  <c r="BN322" i="3"/>
  <c r="BO322" i="3"/>
  <c r="BL322" i="3"/>
  <c r="BP322" i="3"/>
  <c r="BQ322" i="3"/>
  <c r="BR322" i="3"/>
  <c r="BS322" i="3"/>
  <c r="BT322" i="3"/>
  <c r="BB323" i="3"/>
  <c r="BC323" i="3"/>
  <c r="BD323" i="3"/>
  <c r="BA323" i="3"/>
  <c r="AZ323" i="3"/>
  <c r="BE323" i="3"/>
  <c r="BF323" i="3"/>
  <c r="BG323" i="3"/>
  <c r="BH323" i="3"/>
  <c r="BI323" i="3"/>
  <c r="BJ323" i="3"/>
  <c r="BK323" i="3"/>
  <c r="BM323" i="3"/>
  <c r="BN323" i="3"/>
  <c r="BO323" i="3"/>
  <c r="BP323" i="3"/>
  <c r="BQ323" i="3"/>
  <c r="BR323" i="3"/>
  <c r="BS323" i="3"/>
  <c r="BT323" i="3"/>
  <c r="BL323" i="3"/>
  <c r="BB324" i="3"/>
  <c r="BC324" i="3"/>
  <c r="BA324" i="3"/>
  <c r="AZ324" i="3"/>
  <c r="BD324" i="3"/>
  <c r="BE324" i="3"/>
  <c r="BF324" i="3"/>
  <c r="BG324" i="3"/>
  <c r="BH324" i="3"/>
  <c r="BI324" i="3"/>
  <c r="BJ324" i="3"/>
  <c r="BK324" i="3"/>
  <c r="BM324" i="3"/>
  <c r="BN324" i="3"/>
  <c r="BO324" i="3"/>
  <c r="BL324" i="3"/>
  <c r="BP324" i="3"/>
  <c r="BQ324" i="3"/>
  <c r="BR324" i="3"/>
  <c r="BS324" i="3"/>
  <c r="BT324" i="3"/>
  <c r="BB325" i="3"/>
  <c r="BC325" i="3"/>
  <c r="BD325" i="3"/>
  <c r="BA325" i="3"/>
  <c r="AZ325" i="3"/>
  <c r="BE325" i="3"/>
  <c r="BF325" i="3"/>
  <c r="BG325" i="3"/>
  <c r="BH325" i="3"/>
  <c r="BI325" i="3"/>
  <c r="BJ325" i="3"/>
  <c r="BK325" i="3"/>
  <c r="BM325" i="3"/>
  <c r="BN325" i="3"/>
  <c r="BO325" i="3"/>
  <c r="BP325" i="3"/>
  <c r="BQ325" i="3"/>
  <c r="BR325" i="3"/>
  <c r="BS325" i="3"/>
  <c r="BT325" i="3"/>
  <c r="BL325" i="3"/>
  <c r="BB326" i="3"/>
  <c r="BC326" i="3"/>
  <c r="BA326" i="3"/>
  <c r="AZ326" i="3"/>
  <c r="BD326" i="3"/>
  <c r="BE326" i="3"/>
  <c r="BF326" i="3"/>
  <c r="BG326" i="3"/>
  <c r="BH326" i="3"/>
  <c r="BI326" i="3"/>
  <c r="BJ326" i="3"/>
  <c r="BK326" i="3"/>
  <c r="BM326" i="3"/>
  <c r="BN326" i="3"/>
  <c r="BO326" i="3"/>
  <c r="BL326" i="3"/>
  <c r="BP326" i="3"/>
  <c r="BQ326" i="3"/>
  <c r="BR326" i="3"/>
  <c r="BS326" i="3"/>
  <c r="BT326" i="3"/>
  <c r="BB327" i="3"/>
  <c r="BC327" i="3"/>
  <c r="BD327" i="3"/>
  <c r="BA327" i="3"/>
  <c r="AZ327" i="3"/>
  <c r="BE327" i="3"/>
  <c r="BF327" i="3"/>
  <c r="BG327" i="3"/>
  <c r="BH327" i="3"/>
  <c r="BI327" i="3"/>
  <c r="BJ327" i="3"/>
  <c r="BK327" i="3"/>
  <c r="BM327" i="3"/>
  <c r="BN327" i="3"/>
  <c r="BO327" i="3"/>
  <c r="BP327" i="3"/>
  <c r="BQ327" i="3"/>
  <c r="BR327" i="3"/>
  <c r="BS327" i="3"/>
  <c r="BT327" i="3"/>
  <c r="BL327" i="3"/>
  <c r="BB328" i="3"/>
  <c r="BC328" i="3"/>
  <c r="BA328" i="3"/>
  <c r="AZ328" i="3"/>
  <c r="BD328" i="3"/>
  <c r="BE328" i="3"/>
  <c r="BF328" i="3"/>
  <c r="BG328" i="3"/>
  <c r="BH328" i="3"/>
  <c r="BI328" i="3"/>
  <c r="BJ328" i="3"/>
  <c r="BK328" i="3"/>
  <c r="BM328" i="3"/>
  <c r="BN328" i="3"/>
  <c r="BO328" i="3"/>
  <c r="BL328" i="3"/>
  <c r="BP328" i="3"/>
  <c r="BQ328" i="3"/>
  <c r="BR328" i="3"/>
  <c r="BS328" i="3"/>
  <c r="BT328" i="3"/>
  <c r="BB329" i="3"/>
  <c r="BC329" i="3"/>
  <c r="BD329" i="3"/>
  <c r="BA329" i="3"/>
  <c r="AZ329" i="3"/>
  <c r="BE329" i="3"/>
  <c r="BF329" i="3"/>
  <c r="BG329" i="3"/>
  <c r="BH329" i="3"/>
  <c r="BI329" i="3"/>
  <c r="BJ329" i="3"/>
  <c r="BK329" i="3"/>
  <c r="BM329" i="3"/>
  <c r="BN329" i="3"/>
  <c r="BO329" i="3"/>
  <c r="BP329" i="3"/>
  <c r="BQ329" i="3"/>
  <c r="BR329" i="3"/>
  <c r="BS329" i="3"/>
  <c r="BT329" i="3"/>
  <c r="BL329" i="3"/>
  <c r="BB330" i="3"/>
  <c r="BC330" i="3"/>
  <c r="BA330" i="3"/>
  <c r="AZ330" i="3"/>
  <c r="BD330" i="3"/>
  <c r="BE330" i="3"/>
  <c r="BF330" i="3"/>
  <c r="BG330" i="3"/>
  <c r="BH330" i="3"/>
  <c r="BI330" i="3"/>
  <c r="BJ330" i="3"/>
  <c r="BK330" i="3"/>
  <c r="BM330" i="3"/>
  <c r="BN330" i="3"/>
  <c r="BO330" i="3"/>
  <c r="BL330" i="3"/>
  <c r="BP330" i="3"/>
  <c r="BQ330" i="3"/>
  <c r="BR330" i="3"/>
  <c r="BS330" i="3"/>
  <c r="BT330" i="3"/>
  <c r="BB331" i="3"/>
  <c r="BC331" i="3"/>
  <c r="BD331" i="3"/>
  <c r="BA331" i="3"/>
  <c r="AZ331" i="3"/>
  <c r="BE331" i="3"/>
  <c r="BF331" i="3"/>
  <c r="BG331" i="3"/>
  <c r="BH331" i="3"/>
  <c r="BI331" i="3"/>
  <c r="BJ331" i="3"/>
  <c r="BK331" i="3"/>
  <c r="BM331" i="3"/>
  <c r="BN331" i="3"/>
  <c r="BO331" i="3"/>
  <c r="BP331" i="3"/>
  <c r="BQ331" i="3"/>
  <c r="BR331" i="3"/>
  <c r="BS331" i="3"/>
  <c r="BT331" i="3"/>
  <c r="BL331" i="3"/>
  <c r="BB332" i="3"/>
  <c r="BC332" i="3"/>
  <c r="BA332" i="3"/>
  <c r="AZ332" i="3"/>
  <c r="BD332" i="3"/>
  <c r="BE332" i="3"/>
  <c r="BF332" i="3"/>
  <c r="BG332" i="3"/>
  <c r="BH332" i="3"/>
  <c r="BI332" i="3"/>
  <c r="BJ332" i="3"/>
  <c r="BK332" i="3"/>
  <c r="BM332" i="3"/>
  <c r="BN332" i="3"/>
  <c r="BO332" i="3"/>
  <c r="BL332" i="3"/>
  <c r="BP332" i="3"/>
  <c r="BQ332" i="3"/>
  <c r="BR332" i="3"/>
  <c r="BS332" i="3"/>
  <c r="BT332" i="3"/>
  <c r="BB333" i="3"/>
  <c r="BC333" i="3"/>
  <c r="BD333" i="3"/>
  <c r="BA333" i="3"/>
  <c r="AZ333" i="3"/>
  <c r="BE333" i="3"/>
  <c r="BF333" i="3"/>
  <c r="BG333" i="3"/>
  <c r="BH333" i="3"/>
  <c r="BI333" i="3"/>
  <c r="BJ333" i="3"/>
  <c r="BK333" i="3"/>
  <c r="BM333" i="3"/>
  <c r="BN333" i="3"/>
  <c r="BO333" i="3"/>
  <c r="BP333" i="3"/>
  <c r="BQ333" i="3"/>
  <c r="BR333" i="3"/>
  <c r="BS333" i="3"/>
  <c r="BT333" i="3"/>
  <c r="BL333" i="3"/>
  <c r="BB334" i="3"/>
  <c r="BC334" i="3"/>
  <c r="BA334" i="3"/>
  <c r="AZ334" i="3"/>
  <c r="BD334" i="3"/>
  <c r="BE334" i="3"/>
  <c r="BF334" i="3"/>
  <c r="BG334" i="3"/>
  <c r="BH334" i="3"/>
  <c r="BI334" i="3"/>
  <c r="BJ334" i="3"/>
  <c r="BK334" i="3"/>
  <c r="BM334" i="3"/>
  <c r="BN334" i="3"/>
  <c r="BO334" i="3"/>
  <c r="BL334" i="3"/>
  <c r="BP334" i="3"/>
  <c r="BQ334" i="3"/>
  <c r="BR334" i="3"/>
  <c r="BS334" i="3"/>
  <c r="BT334" i="3"/>
  <c r="BB335" i="3"/>
  <c r="BC335" i="3"/>
  <c r="BD335" i="3"/>
  <c r="BA335" i="3"/>
  <c r="AZ335" i="3"/>
  <c r="BE335" i="3"/>
  <c r="BF335" i="3"/>
  <c r="BG335" i="3"/>
  <c r="BH335" i="3"/>
  <c r="BI335" i="3"/>
  <c r="BJ335" i="3"/>
  <c r="BK335" i="3"/>
  <c r="BM335" i="3"/>
  <c r="BN335" i="3"/>
  <c r="BO335" i="3"/>
  <c r="BP335" i="3"/>
  <c r="BQ335" i="3"/>
  <c r="BR335" i="3"/>
  <c r="BS335" i="3"/>
  <c r="BT335" i="3"/>
  <c r="BL335" i="3"/>
  <c r="BB336" i="3"/>
  <c r="BC336" i="3"/>
  <c r="BA336" i="3"/>
  <c r="AZ336" i="3"/>
  <c r="BD336" i="3"/>
  <c r="BE336" i="3"/>
  <c r="BF336" i="3"/>
  <c r="BG336" i="3"/>
  <c r="BH336" i="3"/>
  <c r="BI336" i="3"/>
  <c r="BJ336" i="3"/>
  <c r="BK336" i="3"/>
  <c r="BM336" i="3"/>
  <c r="BN336" i="3"/>
  <c r="BO336" i="3"/>
  <c r="BL336" i="3"/>
  <c r="BP336" i="3"/>
  <c r="BQ336" i="3"/>
  <c r="BR336" i="3"/>
  <c r="BS336" i="3"/>
  <c r="BT336" i="3"/>
  <c r="BB337" i="3"/>
  <c r="BC337" i="3"/>
  <c r="BD337" i="3"/>
  <c r="BA337" i="3"/>
  <c r="AZ337" i="3"/>
  <c r="BE337" i="3"/>
  <c r="BF337" i="3"/>
  <c r="BG337" i="3"/>
  <c r="BH337" i="3"/>
  <c r="BI337" i="3"/>
  <c r="BJ337" i="3"/>
  <c r="BK337" i="3"/>
  <c r="BM337" i="3"/>
  <c r="BN337" i="3"/>
  <c r="BO337" i="3"/>
  <c r="BP337" i="3"/>
  <c r="BQ337" i="3"/>
  <c r="BR337" i="3"/>
  <c r="BS337" i="3"/>
  <c r="BT337" i="3"/>
  <c r="BL337" i="3"/>
  <c r="BB338" i="3"/>
  <c r="BC338" i="3"/>
  <c r="BA338" i="3"/>
  <c r="AZ338" i="3"/>
  <c r="BD338" i="3"/>
  <c r="BE338" i="3"/>
  <c r="BF338" i="3"/>
  <c r="BG338" i="3"/>
  <c r="BH338" i="3"/>
  <c r="BI338" i="3"/>
  <c r="BJ338" i="3"/>
  <c r="BK338" i="3"/>
  <c r="BM338" i="3"/>
  <c r="BN338" i="3"/>
  <c r="BO338" i="3"/>
  <c r="BL338" i="3"/>
  <c r="BP338" i="3"/>
  <c r="BQ338" i="3"/>
  <c r="BR338" i="3"/>
  <c r="BS338" i="3"/>
  <c r="BT338" i="3"/>
  <c r="BB339" i="3"/>
  <c r="BC339" i="3"/>
  <c r="BD339" i="3"/>
  <c r="BA339" i="3"/>
  <c r="AZ339" i="3"/>
  <c r="BE339" i="3"/>
  <c r="BF339" i="3"/>
  <c r="BG339" i="3"/>
  <c r="BH339" i="3"/>
  <c r="BI339" i="3"/>
  <c r="BJ339" i="3"/>
  <c r="BK339" i="3"/>
  <c r="BM339" i="3"/>
  <c r="BN339" i="3"/>
  <c r="BO339" i="3"/>
  <c r="BP339" i="3"/>
  <c r="BQ339" i="3"/>
  <c r="BR339" i="3"/>
  <c r="BS339" i="3"/>
  <c r="BT339" i="3"/>
  <c r="BL339" i="3"/>
  <c r="BB340" i="3"/>
  <c r="BC340" i="3"/>
  <c r="BA340" i="3"/>
  <c r="AZ340" i="3"/>
  <c r="BD340" i="3"/>
  <c r="BE340" i="3"/>
  <c r="BF340" i="3"/>
  <c r="BG340" i="3"/>
  <c r="BH340" i="3"/>
  <c r="BI340" i="3"/>
  <c r="BJ340" i="3"/>
  <c r="BK340" i="3"/>
  <c r="BM340" i="3"/>
  <c r="BN340" i="3"/>
  <c r="BO340" i="3"/>
  <c r="BL340" i="3"/>
  <c r="BP340" i="3"/>
  <c r="BQ340" i="3"/>
  <c r="BR340" i="3"/>
  <c r="BS340" i="3"/>
  <c r="BT340" i="3"/>
  <c r="BB341" i="3"/>
  <c r="BC341" i="3"/>
  <c r="BD341" i="3"/>
  <c r="BA341" i="3"/>
  <c r="AZ341" i="3"/>
  <c r="BE341" i="3"/>
  <c r="BF341" i="3"/>
  <c r="BG341" i="3"/>
  <c r="BH341" i="3"/>
  <c r="BI341" i="3"/>
  <c r="BJ341" i="3"/>
  <c r="BK341" i="3"/>
  <c r="BM341" i="3"/>
  <c r="BN341" i="3"/>
  <c r="BO341" i="3"/>
  <c r="BP341" i="3"/>
  <c r="BQ341" i="3"/>
  <c r="BR341" i="3"/>
  <c r="BS341" i="3"/>
  <c r="BT341" i="3"/>
  <c r="BL341" i="3"/>
  <c r="BB342" i="3"/>
  <c r="BC342" i="3"/>
  <c r="BA342" i="3"/>
  <c r="AZ342" i="3"/>
  <c r="BD342" i="3"/>
  <c r="BE342" i="3"/>
  <c r="BF342" i="3"/>
  <c r="BG342" i="3"/>
  <c r="BH342" i="3"/>
  <c r="BI342" i="3"/>
  <c r="BJ342" i="3"/>
  <c r="BK342" i="3"/>
  <c r="BM342" i="3"/>
  <c r="BN342" i="3"/>
  <c r="BO342" i="3"/>
  <c r="BL342" i="3"/>
  <c r="BP342" i="3"/>
  <c r="BQ342" i="3"/>
  <c r="BR342" i="3"/>
  <c r="BS342" i="3"/>
  <c r="BT342" i="3"/>
  <c r="BB343" i="3"/>
  <c r="BC343" i="3"/>
  <c r="BD343" i="3"/>
  <c r="BA343" i="3"/>
  <c r="AZ343" i="3"/>
  <c r="BE343" i="3"/>
  <c r="BF343" i="3"/>
  <c r="BG343" i="3"/>
  <c r="BH343" i="3"/>
  <c r="BI343" i="3"/>
  <c r="BJ343" i="3"/>
  <c r="BK343" i="3"/>
  <c r="BM343" i="3"/>
  <c r="BN343" i="3"/>
  <c r="BO343" i="3"/>
  <c r="BP343" i="3"/>
  <c r="BQ343" i="3"/>
  <c r="BR343" i="3"/>
  <c r="BS343" i="3"/>
  <c r="BT343" i="3"/>
  <c r="BL343" i="3"/>
  <c r="BB344" i="3"/>
  <c r="BC344" i="3"/>
  <c r="BA344" i="3"/>
  <c r="BD344" i="3"/>
  <c r="BE344" i="3"/>
  <c r="BF344" i="3"/>
  <c r="BG344" i="3"/>
  <c r="BH344" i="3"/>
  <c r="BI344" i="3"/>
  <c r="BJ344" i="3"/>
  <c r="BK344" i="3"/>
  <c r="BM344" i="3"/>
  <c r="BN344" i="3"/>
  <c r="BO344" i="3"/>
  <c r="BL344" i="3"/>
  <c r="BP344" i="3"/>
  <c r="BQ344" i="3"/>
  <c r="BR344" i="3"/>
  <c r="BS344" i="3"/>
  <c r="BT344" i="3"/>
  <c r="BB345" i="3"/>
  <c r="BC345" i="3"/>
  <c r="BD345" i="3"/>
  <c r="BA345" i="3"/>
  <c r="AZ345" i="3"/>
  <c r="BE345" i="3"/>
  <c r="BF345" i="3"/>
  <c r="BG345" i="3"/>
  <c r="BH345" i="3"/>
  <c r="BI345" i="3"/>
  <c r="BJ345" i="3"/>
  <c r="BK345" i="3"/>
  <c r="BM345" i="3"/>
  <c r="BN345" i="3"/>
  <c r="BO345" i="3"/>
  <c r="BP345" i="3"/>
  <c r="BQ345" i="3"/>
  <c r="BR345" i="3"/>
  <c r="BS345" i="3"/>
  <c r="BT345" i="3"/>
  <c r="BL345" i="3"/>
  <c r="BB346" i="3"/>
  <c r="BC346" i="3"/>
  <c r="BA346" i="3"/>
  <c r="AZ346" i="3"/>
  <c r="BD346" i="3"/>
  <c r="BE346" i="3"/>
  <c r="BF346" i="3"/>
  <c r="BG346" i="3"/>
  <c r="BH346" i="3"/>
  <c r="BI346" i="3"/>
  <c r="BJ346" i="3"/>
  <c r="BK346" i="3"/>
  <c r="BM346" i="3"/>
  <c r="BN346" i="3"/>
  <c r="BO346" i="3"/>
  <c r="BL346" i="3"/>
  <c r="BP346" i="3"/>
  <c r="BQ346" i="3"/>
  <c r="BR346" i="3"/>
  <c r="BS346" i="3"/>
  <c r="BT346" i="3"/>
  <c r="BB347" i="3"/>
  <c r="BC347" i="3"/>
  <c r="BD347" i="3"/>
  <c r="BA347" i="3"/>
  <c r="AZ347" i="3"/>
  <c r="BE347" i="3"/>
  <c r="BF347" i="3"/>
  <c r="BG347" i="3"/>
  <c r="BH347" i="3"/>
  <c r="BI347" i="3"/>
  <c r="BJ347" i="3"/>
  <c r="BK347" i="3"/>
  <c r="BM347" i="3"/>
  <c r="BN347" i="3"/>
  <c r="BO347" i="3"/>
  <c r="BP347" i="3"/>
  <c r="BQ347" i="3"/>
  <c r="BR347" i="3"/>
  <c r="BS347" i="3"/>
  <c r="BT347" i="3"/>
  <c r="BL347" i="3"/>
  <c r="BB348" i="3"/>
  <c r="BC348" i="3"/>
  <c r="BA348" i="3"/>
  <c r="AZ348" i="3"/>
  <c r="BD348" i="3"/>
  <c r="BE348" i="3"/>
  <c r="BF348" i="3"/>
  <c r="BG348" i="3"/>
  <c r="BH348" i="3"/>
  <c r="BI348" i="3"/>
  <c r="BJ348" i="3"/>
  <c r="BK348" i="3"/>
  <c r="BM348" i="3"/>
  <c r="BN348" i="3"/>
  <c r="BO348" i="3"/>
  <c r="BL348" i="3"/>
  <c r="BP348" i="3"/>
  <c r="BQ348" i="3"/>
  <c r="BR348" i="3"/>
  <c r="BS348" i="3"/>
  <c r="BT348" i="3"/>
  <c r="BB349" i="3"/>
  <c r="BC349" i="3"/>
  <c r="BD349" i="3"/>
  <c r="BA349" i="3"/>
  <c r="AZ349" i="3"/>
  <c r="BE349" i="3"/>
  <c r="BF349" i="3"/>
  <c r="BG349" i="3"/>
  <c r="BH349" i="3"/>
  <c r="BI349" i="3"/>
  <c r="BJ349" i="3"/>
  <c r="BK349" i="3"/>
  <c r="BM349" i="3"/>
  <c r="BN349" i="3"/>
  <c r="BO349" i="3"/>
  <c r="BP349" i="3"/>
  <c r="BQ349" i="3"/>
  <c r="BR349" i="3"/>
  <c r="BS349" i="3"/>
  <c r="BT349" i="3"/>
  <c r="BL349" i="3"/>
  <c r="BB350" i="3"/>
  <c r="BC350" i="3"/>
  <c r="BA350" i="3"/>
  <c r="BD350" i="3"/>
  <c r="BE350" i="3"/>
  <c r="BF350" i="3"/>
  <c r="BG350" i="3"/>
  <c r="BH350" i="3"/>
  <c r="BI350" i="3"/>
  <c r="BJ350" i="3"/>
  <c r="BK350" i="3"/>
  <c r="BM350" i="3"/>
  <c r="BN350" i="3"/>
  <c r="BO350" i="3"/>
  <c r="BL350" i="3"/>
  <c r="BP350" i="3"/>
  <c r="BQ350" i="3"/>
  <c r="BR350" i="3"/>
  <c r="BS350" i="3"/>
  <c r="BT350" i="3"/>
  <c r="BB351" i="3"/>
  <c r="BC351" i="3"/>
  <c r="BD351" i="3"/>
  <c r="BA351" i="3"/>
  <c r="AZ351" i="3"/>
  <c r="BE351" i="3"/>
  <c r="BF351" i="3"/>
  <c r="BG351" i="3"/>
  <c r="BH351" i="3"/>
  <c r="BI351" i="3"/>
  <c r="BJ351" i="3"/>
  <c r="BK351" i="3"/>
  <c r="BM351" i="3"/>
  <c r="BN351" i="3"/>
  <c r="BO351" i="3"/>
  <c r="BP351" i="3"/>
  <c r="BQ351" i="3"/>
  <c r="BR351" i="3"/>
  <c r="BS351" i="3"/>
  <c r="BT351" i="3"/>
  <c r="BL351" i="3"/>
  <c r="BB352" i="3"/>
  <c r="BC352" i="3"/>
  <c r="BA352" i="3"/>
  <c r="AZ352" i="3"/>
  <c r="BD352" i="3"/>
  <c r="BE352" i="3"/>
  <c r="BF352" i="3"/>
  <c r="BG352" i="3"/>
  <c r="BH352" i="3"/>
  <c r="BI352" i="3"/>
  <c r="BJ352" i="3"/>
  <c r="BK352" i="3"/>
  <c r="BM352" i="3"/>
  <c r="BN352" i="3"/>
  <c r="BO352" i="3"/>
  <c r="BL352" i="3"/>
  <c r="BP352" i="3"/>
  <c r="BQ352" i="3"/>
  <c r="BR352" i="3"/>
  <c r="BS352" i="3"/>
  <c r="BT352" i="3"/>
  <c r="BB353" i="3"/>
  <c r="BC353" i="3"/>
  <c r="BD353" i="3"/>
  <c r="BA353" i="3"/>
  <c r="AZ353" i="3"/>
  <c r="BE353" i="3"/>
  <c r="BF353" i="3"/>
  <c r="BG353" i="3"/>
  <c r="BH353" i="3"/>
  <c r="BI353" i="3"/>
  <c r="BJ353" i="3"/>
  <c r="BK353" i="3"/>
  <c r="BM353" i="3"/>
  <c r="BN353" i="3"/>
  <c r="BO353" i="3"/>
  <c r="BP353" i="3"/>
  <c r="BQ353" i="3"/>
  <c r="BR353" i="3"/>
  <c r="BS353" i="3"/>
  <c r="BT353" i="3"/>
  <c r="BL353" i="3"/>
  <c r="BB354" i="3"/>
  <c r="BC354" i="3"/>
  <c r="BA354" i="3"/>
  <c r="BD354" i="3"/>
  <c r="BE354" i="3"/>
  <c r="BF354" i="3"/>
  <c r="BG354" i="3"/>
  <c r="BH354" i="3"/>
  <c r="BI354" i="3"/>
  <c r="BJ354" i="3"/>
  <c r="BK354" i="3"/>
  <c r="BM354" i="3"/>
  <c r="BN354" i="3"/>
  <c r="BO354" i="3"/>
  <c r="BL354" i="3"/>
  <c r="BP354" i="3"/>
  <c r="BQ354" i="3"/>
  <c r="BR354" i="3"/>
  <c r="BS354" i="3"/>
  <c r="BT354" i="3"/>
  <c r="BB355" i="3"/>
  <c r="BC355" i="3"/>
  <c r="BD355" i="3"/>
  <c r="BA355" i="3"/>
  <c r="AZ355" i="3"/>
  <c r="BE355" i="3"/>
  <c r="BF355" i="3"/>
  <c r="BG355" i="3"/>
  <c r="BH355" i="3"/>
  <c r="BI355" i="3"/>
  <c r="BJ355" i="3"/>
  <c r="BK355" i="3"/>
  <c r="BM355" i="3"/>
  <c r="BN355" i="3"/>
  <c r="BO355" i="3"/>
  <c r="BP355" i="3"/>
  <c r="BQ355" i="3"/>
  <c r="BR355" i="3"/>
  <c r="BS355" i="3"/>
  <c r="BT355" i="3"/>
  <c r="BL355" i="3"/>
  <c r="BB356" i="3"/>
  <c r="BC356" i="3"/>
  <c r="BA356" i="3"/>
  <c r="AZ356" i="3"/>
  <c r="BD356" i="3"/>
  <c r="BE356" i="3"/>
  <c r="BF356" i="3"/>
  <c r="BG356" i="3"/>
  <c r="BH356" i="3"/>
  <c r="BI356" i="3"/>
  <c r="BJ356" i="3"/>
  <c r="BK356" i="3"/>
  <c r="BM356" i="3"/>
  <c r="BN356" i="3"/>
  <c r="BO356" i="3"/>
  <c r="BL356" i="3"/>
  <c r="BP356" i="3"/>
  <c r="BQ356" i="3"/>
  <c r="BR356" i="3"/>
  <c r="BS356" i="3"/>
  <c r="BT356" i="3"/>
  <c r="BB357" i="3"/>
  <c r="BC357" i="3"/>
  <c r="BD357" i="3"/>
  <c r="BA357" i="3"/>
  <c r="AZ357" i="3"/>
  <c r="BE357" i="3"/>
  <c r="BF357" i="3"/>
  <c r="BG357" i="3"/>
  <c r="BH357" i="3"/>
  <c r="BI357" i="3"/>
  <c r="BJ357" i="3"/>
  <c r="BK357" i="3"/>
  <c r="BM357" i="3"/>
  <c r="BN357" i="3"/>
  <c r="BO357" i="3"/>
  <c r="BP357" i="3"/>
  <c r="BQ357" i="3"/>
  <c r="BR357" i="3"/>
  <c r="BS357" i="3"/>
  <c r="BT357" i="3"/>
  <c r="BL357" i="3"/>
  <c r="BB358" i="3"/>
  <c r="BC358" i="3"/>
  <c r="BA358" i="3"/>
  <c r="BD358" i="3"/>
  <c r="BE358" i="3"/>
  <c r="BF358" i="3"/>
  <c r="BG358" i="3"/>
  <c r="BH358" i="3"/>
  <c r="BI358" i="3"/>
  <c r="BJ358" i="3"/>
  <c r="BK358" i="3"/>
  <c r="BM358" i="3"/>
  <c r="BN358" i="3"/>
  <c r="BO358" i="3"/>
  <c r="BL358" i="3"/>
  <c r="BP358" i="3"/>
  <c r="BQ358" i="3"/>
  <c r="BR358" i="3"/>
  <c r="BS358" i="3"/>
  <c r="BT358" i="3"/>
  <c r="BB359" i="3"/>
  <c r="BC359" i="3"/>
  <c r="BD359" i="3"/>
  <c r="BA359" i="3"/>
  <c r="AZ359" i="3"/>
  <c r="BE359" i="3"/>
  <c r="BF359" i="3"/>
  <c r="BG359" i="3"/>
  <c r="BH359" i="3"/>
  <c r="BI359" i="3"/>
  <c r="BJ359" i="3"/>
  <c r="BK359" i="3"/>
  <c r="BM359" i="3"/>
  <c r="BN359" i="3"/>
  <c r="BO359" i="3"/>
  <c r="BP359" i="3"/>
  <c r="BQ359" i="3"/>
  <c r="BR359" i="3"/>
  <c r="BS359" i="3"/>
  <c r="BT359" i="3"/>
  <c r="BL359" i="3"/>
  <c r="BB360" i="3"/>
  <c r="BC360" i="3"/>
  <c r="BA360" i="3"/>
  <c r="AZ360" i="3"/>
  <c r="BD360" i="3"/>
  <c r="BE360" i="3"/>
  <c r="BF360" i="3"/>
  <c r="BG360" i="3"/>
  <c r="BH360" i="3"/>
  <c r="BI360" i="3"/>
  <c r="BJ360" i="3"/>
  <c r="BK360" i="3"/>
  <c r="BM360" i="3"/>
  <c r="BN360" i="3"/>
  <c r="BO360" i="3"/>
  <c r="BL360" i="3"/>
  <c r="BP360" i="3"/>
  <c r="BQ360" i="3"/>
  <c r="BR360" i="3"/>
  <c r="BS360" i="3"/>
  <c r="BT360" i="3"/>
  <c r="BB361" i="3"/>
  <c r="BC361" i="3"/>
  <c r="BD361" i="3"/>
  <c r="BA361" i="3"/>
  <c r="AZ361" i="3"/>
  <c r="BE361" i="3"/>
  <c r="BF361" i="3"/>
  <c r="BG361" i="3"/>
  <c r="BH361" i="3"/>
  <c r="BI361" i="3"/>
  <c r="BJ361" i="3"/>
  <c r="BK361" i="3"/>
  <c r="BM361" i="3"/>
  <c r="BN361" i="3"/>
  <c r="BO361" i="3"/>
  <c r="BP361" i="3"/>
  <c r="BQ361" i="3"/>
  <c r="BR361" i="3"/>
  <c r="BS361" i="3"/>
  <c r="BT361" i="3"/>
  <c r="BL361" i="3"/>
  <c r="BB362" i="3"/>
  <c r="BC362" i="3"/>
  <c r="BA362" i="3"/>
  <c r="BD362" i="3"/>
  <c r="BE362" i="3"/>
  <c r="BF362" i="3"/>
  <c r="BG362" i="3"/>
  <c r="BH362" i="3"/>
  <c r="BI362" i="3"/>
  <c r="BJ362" i="3"/>
  <c r="BK362" i="3"/>
  <c r="BM362" i="3"/>
  <c r="BN362" i="3"/>
  <c r="BO362" i="3"/>
  <c r="BL362" i="3"/>
  <c r="BP362" i="3"/>
  <c r="BQ362" i="3"/>
  <c r="BR362" i="3"/>
  <c r="BS362" i="3"/>
  <c r="BT362" i="3"/>
  <c r="BB363" i="3"/>
  <c r="BC363" i="3"/>
  <c r="BD363" i="3"/>
  <c r="BA363" i="3"/>
  <c r="AZ363" i="3"/>
  <c r="BE363" i="3"/>
  <c r="BF363" i="3"/>
  <c r="BG363" i="3"/>
  <c r="BH363" i="3"/>
  <c r="BI363" i="3"/>
  <c r="BJ363" i="3"/>
  <c r="BK363" i="3"/>
  <c r="BM363" i="3"/>
  <c r="BN363" i="3"/>
  <c r="BO363" i="3"/>
  <c r="BP363" i="3"/>
  <c r="BQ363" i="3"/>
  <c r="BR363" i="3"/>
  <c r="BS363" i="3"/>
  <c r="BT363" i="3"/>
  <c r="BL363" i="3"/>
  <c r="BB364" i="3"/>
  <c r="BC364" i="3"/>
  <c r="BA364" i="3"/>
  <c r="AZ364" i="3"/>
  <c r="BD364" i="3"/>
  <c r="BE364" i="3"/>
  <c r="BF364" i="3"/>
  <c r="BG364" i="3"/>
  <c r="BH364" i="3"/>
  <c r="BI364" i="3"/>
  <c r="BJ364" i="3"/>
  <c r="BK364" i="3"/>
  <c r="BM364" i="3"/>
  <c r="BN364" i="3"/>
  <c r="BO364" i="3"/>
  <c r="BL364" i="3"/>
  <c r="BP364" i="3"/>
  <c r="BQ364" i="3"/>
  <c r="BR364" i="3"/>
  <c r="BS364" i="3"/>
  <c r="BT364" i="3"/>
  <c r="BB365" i="3"/>
  <c r="BC365" i="3"/>
  <c r="BD365" i="3"/>
  <c r="BA365" i="3"/>
  <c r="AZ365" i="3"/>
  <c r="BE365" i="3"/>
  <c r="BF365" i="3"/>
  <c r="BG365" i="3"/>
  <c r="BH365" i="3"/>
  <c r="BI365" i="3"/>
  <c r="BJ365" i="3"/>
  <c r="BK365" i="3"/>
  <c r="BM365" i="3"/>
  <c r="BN365" i="3"/>
  <c r="BO365" i="3"/>
  <c r="BP365" i="3"/>
  <c r="BQ365" i="3"/>
  <c r="BR365" i="3"/>
  <c r="BS365" i="3"/>
  <c r="BT365" i="3"/>
  <c r="BL365" i="3"/>
  <c r="BB366" i="3"/>
  <c r="BC366" i="3"/>
  <c r="BA366" i="3"/>
  <c r="BD366" i="3"/>
  <c r="BE366" i="3"/>
  <c r="BF366" i="3"/>
  <c r="BG366" i="3"/>
  <c r="BH366" i="3"/>
  <c r="BI366" i="3"/>
  <c r="BJ366" i="3"/>
  <c r="BK366" i="3"/>
  <c r="BM366" i="3"/>
  <c r="BN366" i="3"/>
  <c r="BO366" i="3"/>
  <c r="BL366" i="3"/>
  <c r="BP366" i="3"/>
  <c r="BQ366" i="3"/>
  <c r="BR366" i="3"/>
  <c r="BS366" i="3"/>
  <c r="BT366" i="3"/>
  <c r="BB367" i="3"/>
  <c r="BC367" i="3"/>
  <c r="BD367" i="3"/>
  <c r="BA367" i="3"/>
  <c r="AZ367" i="3"/>
  <c r="BE367" i="3"/>
  <c r="BF367" i="3"/>
  <c r="BG367" i="3"/>
  <c r="BH367" i="3"/>
  <c r="BI367" i="3"/>
  <c r="BJ367" i="3"/>
  <c r="BK367" i="3"/>
  <c r="BM367" i="3"/>
  <c r="BN367" i="3"/>
  <c r="BO367" i="3"/>
  <c r="BP367" i="3"/>
  <c r="BQ367" i="3"/>
  <c r="BR367" i="3"/>
  <c r="BS367" i="3"/>
  <c r="BT367" i="3"/>
  <c r="BL367" i="3"/>
  <c r="BB368" i="3"/>
  <c r="BC368" i="3"/>
  <c r="BA368" i="3"/>
  <c r="AZ368" i="3"/>
  <c r="BD368" i="3"/>
  <c r="BE368" i="3"/>
  <c r="BF368" i="3"/>
  <c r="BG368" i="3"/>
  <c r="BH368" i="3"/>
  <c r="BI368" i="3"/>
  <c r="BJ368" i="3"/>
  <c r="BK368" i="3"/>
  <c r="BM368" i="3"/>
  <c r="BN368" i="3"/>
  <c r="BO368" i="3"/>
  <c r="BL368" i="3"/>
  <c r="BP368" i="3"/>
  <c r="BQ368" i="3"/>
  <c r="BR368" i="3"/>
  <c r="BS368" i="3"/>
  <c r="BT368" i="3"/>
  <c r="BB369" i="3"/>
  <c r="BC369" i="3"/>
  <c r="BD369" i="3"/>
  <c r="BA369" i="3"/>
  <c r="AZ369" i="3"/>
  <c r="BE369" i="3"/>
  <c r="BF369" i="3"/>
  <c r="BG369" i="3"/>
  <c r="BH369" i="3"/>
  <c r="BI369" i="3"/>
  <c r="BJ369" i="3"/>
  <c r="BK369" i="3"/>
  <c r="BM369" i="3"/>
  <c r="BN369" i="3"/>
  <c r="BO369" i="3"/>
  <c r="BP369" i="3"/>
  <c r="BQ369" i="3"/>
  <c r="BR369" i="3"/>
  <c r="BS369" i="3"/>
  <c r="BT369" i="3"/>
  <c r="BL369" i="3"/>
  <c r="BB370" i="3"/>
  <c r="BC370" i="3"/>
  <c r="BA370" i="3"/>
  <c r="BD370" i="3"/>
  <c r="BE370" i="3"/>
  <c r="BF370" i="3"/>
  <c r="BG370" i="3"/>
  <c r="BH370" i="3"/>
  <c r="BI370" i="3"/>
  <c r="BJ370" i="3"/>
  <c r="BK370" i="3"/>
  <c r="BM370" i="3"/>
  <c r="BN370" i="3"/>
  <c r="BO370" i="3"/>
  <c r="BL370" i="3"/>
  <c r="BP370" i="3"/>
  <c r="BQ370" i="3"/>
  <c r="BR370" i="3"/>
  <c r="BS370" i="3"/>
  <c r="BT370" i="3"/>
  <c r="BB371" i="3"/>
  <c r="BC371" i="3"/>
  <c r="BD371" i="3"/>
  <c r="BA371" i="3"/>
  <c r="AZ371" i="3"/>
  <c r="BE371" i="3"/>
  <c r="BF371" i="3"/>
  <c r="BG371" i="3"/>
  <c r="BH371" i="3"/>
  <c r="BI371" i="3"/>
  <c r="BJ371" i="3"/>
  <c r="BK371" i="3"/>
  <c r="BM371" i="3"/>
  <c r="BN371" i="3"/>
  <c r="BO371" i="3"/>
  <c r="BP371" i="3"/>
  <c r="BQ371" i="3"/>
  <c r="BR371" i="3"/>
  <c r="BS371" i="3"/>
  <c r="BT371" i="3"/>
  <c r="BL371" i="3"/>
  <c r="BB372" i="3"/>
  <c r="BC372" i="3"/>
  <c r="BA372" i="3"/>
  <c r="AZ372" i="3"/>
  <c r="BD372" i="3"/>
  <c r="BE372" i="3"/>
  <c r="BF372" i="3"/>
  <c r="BG372" i="3"/>
  <c r="BH372" i="3"/>
  <c r="BI372" i="3"/>
  <c r="BJ372" i="3"/>
  <c r="BK372" i="3"/>
  <c r="BM372" i="3"/>
  <c r="BN372" i="3"/>
  <c r="BO372" i="3"/>
  <c r="BL372" i="3"/>
  <c r="BP372" i="3"/>
  <c r="BQ372" i="3"/>
  <c r="BR372" i="3"/>
  <c r="BS372" i="3"/>
  <c r="BT372" i="3"/>
  <c r="BB373" i="3"/>
  <c r="BC373" i="3"/>
  <c r="BD373" i="3"/>
  <c r="BA373" i="3"/>
  <c r="AZ373" i="3"/>
  <c r="BE373" i="3"/>
  <c r="BF373" i="3"/>
  <c r="BG373" i="3"/>
  <c r="BH373" i="3"/>
  <c r="BI373" i="3"/>
  <c r="BJ373" i="3"/>
  <c r="BK373" i="3"/>
  <c r="BM373" i="3"/>
  <c r="BN373" i="3"/>
  <c r="BO373" i="3"/>
  <c r="BP373" i="3"/>
  <c r="BQ373" i="3"/>
  <c r="BR373" i="3"/>
  <c r="BS373" i="3"/>
  <c r="BT373" i="3"/>
  <c r="BL373" i="3"/>
  <c r="BB374" i="3"/>
  <c r="BC374" i="3"/>
  <c r="BA374" i="3"/>
  <c r="BD374" i="3"/>
  <c r="BE374" i="3"/>
  <c r="BF374" i="3"/>
  <c r="BG374" i="3"/>
  <c r="BH374" i="3"/>
  <c r="BI374" i="3"/>
  <c r="BJ374" i="3"/>
  <c r="BK374" i="3"/>
  <c r="BM374" i="3"/>
  <c r="BN374" i="3"/>
  <c r="BO374" i="3"/>
  <c r="BL374" i="3"/>
  <c r="BP374" i="3"/>
  <c r="BQ374" i="3"/>
  <c r="BR374" i="3"/>
  <c r="BS374" i="3"/>
  <c r="BT374" i="3"/>
  <c r="BB375" i="3"/>
  <c r="BC375" i="3"/>
  <c r="BD375" i="3"/>
  <c r="BA375" i="3"/>
  <c r="AZ375" i="3"/>
  <c r="BE375" i="3"/>
  <c r="BF375" i="3"/>
  <c r="BG375" i="3"/>
  <c r="BH375" i="3"/>
  <c r="BI375" i="3"/>
  <c r="BJ375" i="3"/>
  <c r="BK375" i="3"/>
  <c r="BM375" i="3"/>
  <c r="BN375" i="3"/>
  <c r="BO375" i="3"/>
  <c r="BP375" i="3"/>
  <c r="BQ375" i="3"/>
  <c r="BR375" i="3"/>
  <c r="BS375" i="3"/>
  <c r="BT375" i="3"/>
  <c r="BL375" i="3"/>
  <c r="BB376" i="3"/>
  <c r="BC376" i="3"/>
  <c r="BA376" i="3"/>
  <c r="AZ376" i="3"/>
  <c r="BD376" i="3"/>
  <c r="BE376" i="3"/>
  <c r="BF376" i="3"/>
  <c r="BG376" i="3"/>
  <c r="BH376" i="3"/>
  <c r="BI376" i="3"/>
  <c r="BJ376" i="3"/>
  <c r="BK376" i="3"/>
  <c r="BM376" i="3"/>
  <c r="BN376" i="3"/>
  <c r="BO376" i="3"/>
  <c r="BL376" i="3"/>
  <c r="BP376" i="3"/>
  <c r="BQ376" i="3"/>
  <c r="BR376" i="3"/>
  <c r="BS376" i="3"/>
  <c r="BT376" i="3"/>
  <c r="BB377" i="3"/>
  <c r="BC377" i="3"/>
  <c r="BD377" i="3"/>
  <c r="BA377" i="3"/>
  <c r="AZ377" i="3"/>
  <c r="BE377" i="3"/>
  <c r="BF377" i="3"/>
  <c r="BG377" i="3"/>
  <c r="BH377" i="3"/>
  <c r="BI377" i="3"/>
  <c r="BJ377" i="3"/>
  <c r="BK377" i="3"/>
  <c r="BM377" i="3"/>
  <c r="BN377" i="3"/>
  <c r="BO377" i="3"/>
  <c r="BP377" i="3"/>
  <c r="BQ377" i="3"/>
  <c r="BR377" i="3"/>
  <c r="BS377" i="3"/>
  <c r="BT377" i="3"/>
  <c r="BL377" i="3"/>
  <c r="BB378" i="3"/>
  <c r="BC378" i="3"/>
  <c r="BA378" i="3"/>
  <c r="BD378" i="3"/>
  <c r="BE378" i="3"/>
  <c r="BF378" i="3"/>
  <c r="BG378" i="3"/>
  <c r="BH378" i="3"/>
  <c r="BI378" i="3"/>
  <c r="BJ378" i="3"/>
  <c r="BK378" i="3"/>
  <c r="BM378" i="3"/>
  <c r="BN378" i="3"/>
  <c r="BO378" i="3"/>
  <c r="BL378" i="3"/>
  <c r="BP378" i="3"/>
  <c r="BQ378" i="3"/>
  <c r="BR378" i="3"/>
  <c r="BS378" i="3"/>
  <c r="BT378" i="3"/>
  <c r="BB379" i="3"/>
  <c r="BC379" i="3"/>
  <c r="BD379" i="3"/>
  <c r="BA379" i="3"/>
  <c r="AZ379" i="3"/>
  <c r="BE379" i="3"/>
  <c r="BF379" i="3"/>
  <c r="BG379" i="3"/>
  <c r="BH379" i="3"/>
  <c r="BI379" i="3"/>
  <c r="BJ379" i="3"/>
  <c r="BK379" i="3"/>
  <c r="BM379" i="3"/>
  <c r="BN379" i="3"/>
  <c r="BO379" i="3"/>
  <c r="BP379" i="3"/>
  <c r="BQ379" i="3"/>
  <c r="BR379" i="3"/>
  <c r="BS379" i="3"/>
  <c r="BT379" i="3"/>
  <c r="BL379" i="3"/>
  <c r="BB380" i="3"/>
  <c r="BC380" i="3"/>
  <c r="BA380" i="3"/>
  <c r="AZ380" i="3"/>
  <c r="BD380" i="3"/>
  <c r="BE380" i="3"/>
  <c r="BF380" i="3"/>
  <c r="BG380" i="3"/>
  <c r="BH380" i="3"/>
  <c r="BI380" i="3"/>
  <c r="BJ380" i="3"/>
  <c r="BK380" i="3"/>
  <c r="BM380" i="3"/>
  <c r="BN380" i="3"/>
  <c r="BO380" i="3"/>
  <c r="BL380" i="3"/>
  <c r="BP380" i="3"/>
  <c r="BQ380" i="3"/>
  <c r="BR380" i="3"/>
  <c r="BS380" i="3"/>
  <c r="BT380" i="3"/>
  <c r="BB381" i="3"/>
  <c r="BC381" i="3"/>
  <c r="BD381" i="3"/>
  <c r="BA381" i="3"/>
  <c r="AZ381" i="3"/>
  <c r="BE381" i="3"/>
  <c r="BF381" i="3"/>
  <c r="BG381" i="3"/>
  <c r="BH381" i="3"/>
  <c r="BI381" i="3"/>
  <c r="BJ381" i="3"/>
  <c r="BK381" i="3"/>
  <c r="BM381" i="3"/>
  <c r="BN381" i="3"/>
  <c r="BO381" i="3"/>
  <c r="BP381" i="3"/>
  <c r="BQ381" i="3"/>
  <c r="BR381" i="3"/>
  <c r="BS381" i="3"/>
  <c r="BT381" i="3"/>
  <c r="BL381" i="3"/>
  <c r="BB382" i="3"/>
  <c r="BC382" i="3"/>
  <c r="BA382" i="3"/>
  <c r="BD382" i="3"/>
  <c r="BE382" i="3"/>
  <c r="BF382" i="3"/>
  <c r="BG382" i="3"/>
  <c r="BH382" i="3"/>
  <c r="BI382" i="3"/>
  <c r="BJ382" i="3"/>
  <c r="BK382" i="3"/>
  <c r="BM382" i="3"/>
  <c r="BN382" i="3"/>
  <c r="BO382" i="3"/>
  <c r="BL382" i="3"/>
  <c r="BP382" i="3"/>
  <c r="BQ382" i="3"/>
  <c r="BR382" i="3"/>
  <c r="BS382" i="3"/>
  <c r="BT382" i="3"/>
  <c r="BB383" i="3"/>
  <c r="BC383" i="3"/>
  <c r="BD383" i="3"/>
  <c r="BA383" i="3"/>
  <c r="AZ383" i="3"/>
  <c r="BE383" i="3"/>
  <c r="BF383" i="3"/>
  <c r="BG383" i="3"/>
  <c r="BH383" i="3"/>
  <c r="BI383" i="3"/>
  <c r="BJ383" i="3"/>
  <c r="BK383" i="3"/>
  <c r="BM383" i="3"/>
  <c r="BN383" i="3"/>
  <c r="BO383" i="3"/>
  <c r="BP383" i="3"/>
  <c r="BQ383" i="3"/>
  <c r="BR383" i="3"/>
  <c r="BS383" i="3"/>
  <c r="BT383" i="3"/>
  <c r="BL383" i="3"/>
  <c r="BB384" i="3"/>
  <c r="BC384" i="3"/>
  <c r="BA384" i="3"/>
  <c r="AZ384" i="3"/>
  <c r="BD384" i="3"/>
  <c r="BE384" i="3"/>
  <c r="BF384" i="3"/>
  <c r="BG384" i="3"/>
  <c r="BH384" i="3"/>
  <c r="BI384" i="3"/>
  <c r="BJ384" i="3"/>
  <c r="BK384" i="3"/>
  <c r="BM384" i="3"/>
  <c r="BN384" i="3"/>
  <c r="BO384" i="3"/>
  <c r="BL384" i="3"/>
  <c r="BP384" i="3"/>
  <c r="BQ384" i="3"/>
  <c r="BR384" i="3"/>
  <c r="BS384" i="3"/>
  <c r="BT384" i="3"/>
  <c r="BB385" i="3"/>
  <c r="BC385" i="3"/>
  <c r="BD385" i="3"/>
  <c r="BA385" i="3"/>
  <c r="AZ385" i="3"/>
  <c r="BE385" i="3"/>
  <c r="BF385" i="3"/>
  <c r="BG385" i="3"/>
  <c r="BH385" i="3"/>
  <c r="BI385" i="3"/>
  <c r="BJ385" i="3"/>
  <c r="BK385" i="3"/>
  <c r="BM385" i="3"/>
  <c r="BN385" i="3"/>
  <c r="BO385" i="3"/>
  <c r="BP385" i="3"/>
  <c r="BQ385" i="3"/>
  <c r="BR385" i="3"/>
  <c r="BS385" i="3"/>
  <c r="BT385" i="3"/>
  <c r="BL385" i="3"/>
  <c r="BB386" i="3"/>
  <c r="BC386" i="3"/>
  <c r="BA386" i="3"/>
  <c r="BD386" i="3"/>
  <c r="BE386" i="3"/>
  <c r="BF386" i="3"/>
  <c r="BG386" i="3"/>
  <c r="BH386" i="3"/>
  <c r="BI386" i="3"/>
  <c r="BJ386" i="3"/>
  <c r="BK386" i="3"/>
  <c r="BM386" i="3"/>
  <c r="BN386" i="3"/>
  <c r="BO386" i="3"/>
  <c r="BL386" i="3"/>
  <c r="BP386" i="3"/>
  <c r="BQ386" i="3"/>
  <c r="BR386" i="3"/>
  <c r="BS386" i="3"/>
  <c r="BT386" i="3"/>
  <c r="BB387" i="3"/>
  <c r="BC387" i="3"/>
  <c r="BD387" i="3"/>
  <c r="BA387" i="3"/>
  <c r="AZ387" i="3"/>
  <c r="BE387" i="3"/>
  <c r="BF387" i="3"/>
  <c r="BG387" i="3"/>
  <c r="BH387" i="3"/>
  <c r="BI387" i="3"/>
  <c r="BJ387" i="3"/>
  <c r="BK387" i="3"/>
  <c r="BM387" i="3"/>
  <c r="BN387" i="3"/>
  <c r="BO387" i="3"/>
  <c r="BP387" i="3"/>
  <c r="BQ387" i="3"/>
  <c r="BR387" i="3"/>
  <c r="BS387" i="3"/>
  <c r="BT387" i="3"/>
  <c r="BL387" i="3"/>
  <c r="BB388" i="3"/>
  <c r="BC388" i="3"/>
  <c r="BA388" i="3"/>
  <c r="AZ388" i="3"/>
  <c r="BD388" i="3"/>
  <c r="BE388" i="3"/>
  <c r="BF388" i="3"/>
  <c r="BG388" i="3"/>
  <c r="BH388" i="3"/>
  <c r="BI388" i="3"/>
  <c r="BJ388" i="3"/>
  <c r="BK388" i="3"/>
  <c r="BM388" i="3"/>
  <c r="BN388" i="3"/>
  <c r="BO388" i="3"/>
  <c r="BL388" i="3"/>
  <c r="BP388" i="3"/>
  <c r="BQ388" i="3"/>
  <c r="BR388" i="3"/>
  <c r="BS388" i="3"/>
  <c r="BT388" i="3"/>
  <c r="BB389" i="3"/>
  <c r="BC389" i="3"/>
  <c r="BD389" i="3"/>
  <c r="BA389" i="3"/>
  <c r="AZ389" i="3"/>
  <c r="BE389" i="3"/>
  <c r="BF389" i="3"/>
  <c r="BG389" i="3"/>
  <c r="BH389" i="3"/>
  <c r="BI389" i="3"/>
  <c r="BJ389" i="3"/>
  <c r="BK389" i="3"/>
  <c r="BM389" i="3"/>
  <c r="BN389" i="3"/>
  <c r="BO389" i="3"/>
  <c r="BP389" i="3"/>
  <c r="BQ389" i="3"/>
  <c r="BR389" i="3"/>
  <c r="BS389" i="3"/>
  <c r="BT389" i="3"/>
  <c r="BL389" i="3"/>
  <c r="BB390" i="3"/>
  <c r="BC390" i="3"/>
  <c r="BA390" i="3"/>
  <c r="BD390" i="3"/>
  <c r="BE390" i="3"/>
  <c r="BF390" i="3"/>
  <c r="BG390" i="3"/>
  <c r="BH390" i="3"/>
  <c r="BI390" i="3"/>
  <c r="BJ390" i="3"/>
  <c r="BK390" i="3"/>
  <c r="BM390" i="3"/>
  <c r="BN390" i="3"/>
  <c r="BO390" i="3"/>
  <c r="BL390" i="3"/>
  <c r="BP390" i="3"/>
  <c r="BQ390" i="3"/>
  <c r="BR390" i="3"/>
  <c r="BS390" i="3"/>
  <c r="BT390" i="3"/>
  <c r="BB391" i="3"/>
  <c r="BC391" i="3"/>
  <c r="BD391" i="3"/>
  <c r="BA391" i="3"/>
  <c r="AZ391" i="3"/>
  <c r="BE391" i="3"/>
  <c r="BF391" i="3"/>
  <c r="BG391" i="3"/>
  <c r="BH391" i="3"/>
  <c r="BI391" i="3"/>
  <c r="BJ391" i="3"/>
  <c r="BK391" i="3"/>
  <c r="BM391" i="3"/>
  <c r="BN391" i="3"/>
  <c r="BO391" i="3"/>
  <c r="BP391" i="3"/>
  <c r="BQ391" i="3"/>
  <c r="BR391" i="3"/>
  <c r="BS391" i="3"/>
  <c r="BT391" i="3"/>
  <c r="BL391" i="3"/>
  <c r="BB392" i="3"/>
  <c r="BC392" i="3"/>
  <c r="BA392" i="3"/>
  <c r="AZ392" i="3"/>
  <c r="BD392" i="3"/>
  <c r="BE392" i="3"/>
  <c r="BF392" i="3"/>
  <c r="BG392" i="3"/>
  <c r="BH392" i="3"/>
  <c r="BI392" i="3"/>
  <c r="BJ392" i="3"/>
  <c r="BK392" i="3"/>
  <c r="BM392" i="3"/>
  <c r="BN392" i="3"/>
  <c r="BO392" i="3"/>
  <c r="BL392" i="3"/>
  <c r="BP392" i="3"/>
  <c r="BQ392" i="3"/>
  <c r="BR392" i="3"/>
  <c r="BS392" i="3"/>
  <c r="BT392" i="3"/>
  <c r="BB393" i="3"/>
  <c r="BC393" i="3"/>
  <c r="BD393" i="3"/>
  <c r="BA393" i="3"/>
  <c r="AZ393" i="3"/>
  <c r="BE393" i="3"/>
  <c r="BF393" i="3"/>
  <c r="BG393" i="3"/>
  <c r="BH393" i="3"/>
  <c r="BI393" i="3"/>
  <c r="BJ393" i="3"/>
  <c r="BK393" i="3"/>
  <c r="BM393" i="3"/>
  <c r="BN393" i="3"/>
  <c r="BO393" i="3"/>
  <c r="BP393" i="3"/>
  <c r="BQ393" i="3"/>
  <c r="BR393" i="3"/>
  <c r="BS393" i="3"/>
  <c r="BT393" i="3"/>
  <c r="BL393" i="3"/>
  <c r="BB394" i="3"/>
  <c r="BC394" i="3"/>
  <c r="BA394" i="3"/>
  <c r="BD394" i="3"/>
  <c r="BE394" i="3"/>
  <c r="BF394" i="3"/>
  <c r="BG394" i="3"/>
  <c r="BH394" i="3"/>
  <c r="BI394" i="3"/>
  <c r="BJ394" i="3"/>
  <c r="BK394" i="3"/>
  <c r="BM394" i="3"/>
  <c r="BN394" i="3"/>
  <c r="BO394" i="3"/>
  <c r="BL394" i="3"/>
  <c r="BP394" i="3"/>
  <c r="BQ394" i="3"/>
  <c r="BR394" i="3"/>
  <c r="BS394" i="3"/>
  <c r="BT394" i="3"/>
  <c r="BB395" i="3"/>
  <c r="BC395" i="3"/>
  <c r="BD395" i="3"/>
  <c r="BA395" i="3"/>
  <c r="AZ395" i="3"/>
  <c r="BE395" i="3"/>
  <c r="BF395" i="3"/>
  <c r="BG395" i="3"/>
  <c r="BH395" i="3"/>
  <c r="BI395" i="3"/>
  <c r="BJ395" i="3"/>
  <c r="BK395" i="3"/>
  <c r="BM395" i="3"/>
  <c r="BN395" i="3"/>
  <c r="BO395" i="3"/>
  <c r="BP395" i="3"/>
  <c r="BQ395" i="3"/>
  <c r="BR395" i="3"/>
  <c r="BS395" i="3"/>
  <c r="BT395" i="3"/>
  <c r="BL395" i="3"/>
  <c r="BB396" i="3"/>
  <c r="BC396" i="3"/>
  <c r="BA396" i="3"/>
  <c r="AZ396" i="3"/>
  <c r="BD396" i="3"/>
  <c r="BE396" i="3"/>
  <c r="BF396" i="3"/>
  <c r="BG396" i="3"/>
  <c r="BH396" i="3"/>
  <c r="BI396" i="3"/>
  <c r="BJ396" i="3"/>
  <c r="BK396" i="3"/>
  <c r="BM396" i="3"/>
  <c r="BN396" i="3"/>
  <c r="BO396" i="3"/>
  <c r="BL396" i="3"/>
  <c r="BP396" i="3"/>
  <c r="BQ396" i="3"/>
  <c r="BR396" i="3"/>
  <c r="BS396" i="3"/>
  <c r="BT396" i="3"/>
  <c r="BB397" i="3"/>
  <c r="BC397" i="3"/>
  <c r="BD397" i="3"/>
  <c r="BA397" i="3"/>
  <c r="AZ397" i="3"/>
  <c r="BE397" i="3"/>
  <c r="BF397" i="3"/>
  <c r="BG397" i="3"/>
  <c r="BH397" i="3"/>
  <c r="BI397" i="3"/>
  <c r="BJ397" i="3"/>
  <c r="BK397" i="3"/>
  <c r="BM397" i="3"/>
  <c r="BN397" i="3"/>
  <c r="BO397" i="3"/>
  <c r="BP397" i="3"/>
  <c r="BQ397" i="3"/>
  <c r="BR397" i="3"/>
  <c r="BS397" i="3"/>
  <c r="BT397" i="3"/>
  <c r="BL397" i="3"/>
  <c r="BB398" i="3"/>
  <c r="BC398" i="3"/>
  <c r="BA398" i="3"/>
  <c r="BD398" i="3"/>
  <c r="BE398" i="3"/>
  <c r="BF398" i="3"/>
  <c r="BG398" i="3"/>
  <c r="BH398" i="3"/>
  <c r="BI398" i="3"/>
  <c r="BJ398" i="3"/>
  <c r="BK398" i="3"/>
  <c r="BM398" i="3"/>
  <c r="BN398" i="3"/>
  <c r="BO398" i="3"/>
  <c r="BL398" i="3"/>
  <c r="BP398" i="3"/>
  <c r="BQ398" i="3"/>
  <c r="BR398" i="3"/>
  <c r="BS398" i="3"/>
  <c r="BT398" i="3"/>
  <c r="BB399" i="3"/>
  <c r="BC399" i="3"/>
  <c r="BD399" i="3"/>
  <c r="BA399" i="3"/>
  <c r="AZ399" i="3"/>
  <c r="BE399" i="3"/>
  <c r="BF399" i="3"/>
  <c r="BG399" i="3"/>
  <c r="BH399" i="3"/>
  <c r="BI399" i="3"/>
  <c r="BJ399" i="3"/>
  <c r="BK399" i="3"/>
  <c r="BM399" i="3"/>
  <c r="BN399" i="3"/>
  <c r="BO399" i="3"/>
  <c r="BP399" i="3"/>
  <c r="BQ399" i="3"/>
  <c r="BR399" i="3"/>
  <c r="BS399" i="3"/>
  <c r="BT399" i="3"/>
  <c r="BL399" i="3"/>
  <c r="BB400" i="3"/>
  <c r="BC400" i="3"/>
  <c r="BA400" i="3"/>
  <c r="AZ400" i="3"/>
  <c r="BD400" i="3"/>
  <c r="BE400" i="3"/>
  <c r="BF400" i="3"/>
  <c r="BG400" i="3"/>
  <c r="BH400" i="3"/>
  <c r="BI400" i="3"/>
  <c r="BJ400" i="3"/>
  <c r="BK400" i="3"/>
  <c r="BM400" i="3"/>
  <c r="BN400" i="3"/>
  <c r="BO400" i="3"/>
  <c r="BL400" i="3"/>
  <c r="BP400" i="3"/>
  <c r="BQ400" i="3"/>
  <c r="BR400" i="3"/>
  <c r="BS400" i="3"/>
  <c r="BT400" i="3"/>
  <c r="BB401" i="3"/>
  <c r="BC401" i="3"/>
  <c r="BD401" i="3"/>
  <c r="BA401" i="3"/>
  <c r="AZ401" i="3"/>
  <c r="BE401" i="3"/>
  <c r="BF401" i="3"/>
  <c r="BG401" i="3"/>
  <c r="BH401" i="3"/>
  <c r="BI401" i="3"/>
  <c r="BJ401" i="3"/>
  <c r="BK401" i="3"/>
  <c r="BM401" i="3"/>
  <c r="BN401" i="3"/>
  <c r="BO401" i="3"/>
  <c r="BP401" i="3"/>
  <c r="BQ401" i="3"/>
  <c r="BR401" i="3"/>
  <c r="BS401" i="3"/>
  <c r="BT401" i="3"/>
  <c r="BL401" i="3"/>
  <c r="BB402" i="3"/>
  <c r="BC402" i="3"/>
  <c r="BA402" i="3"/>
  <c r="BD402" i="3"/>
  <c r="BE402" i="3"/>
  <c r="BF402" i="3"/>
  <c r="BG402" i="3"/>
  <c r="BH402" i="3"/>
  <c r="BI402" i="3"/>
  <c r="BJ402" i="3"/>
  <c r="BK402" i="3"/>
  <c r="BM402" i="3"/>
  <c r="BN402" i="3"/>
  <c r="BO402" i="3"/>
  <c r="BL402" i="3"/>
  <c r="BP402" i="3"/>
  <c r="BQ402" i="3"/>
  <c r="BR402" i="3"/>
  <c r="BS402" i="3"/>
  <c r="BT402" i="3"/>
  <c r="BB403" i="3"/>
  <c r="BC403" i="3"/>
  <c r="BD403" i="3"/>
  <c r="BA403" i="3"/>
  <c r="AZ403" i="3"/>
  <c r="BE403" i="3"/>
  <c r="BF403" i="3"/>
  <c r="BG403" i="3"/>
  <c r="BH403" i="3"/>
  <c r="BI403" i="3"/>
  <c r="BJ403" i="3"/>
  <c r="BK403" i="3"/>
  <c r="BM403" i="3"/>
  <c r="BN403" i="3"/>
  <c r="BO403" i="3"/>
  <c r="BP403" i="3"/>
  <c r="BQ403" i="3"/>
  <c r="BR403" i="3"/>
  <c r="BS403" i="3"/>
  <c r="BT403" i="3"/>
  <c r="BL403" i="3"/>
  <c r="BB404" i="3"/>
  <c r="BC404" i="3"/>
  <c r="BA404" i="3"/>
  <c r="AZ404" i="3"/>
  <c r="BD404" i="3"/>
  <c r="BE404" i="3"/>
  <c r="BF404" i="3"/>
  <c r="BG404" i="3"/>
  <c r="BH404" i="3"/>
  <c r="BI404" i="3"/>
  <c r="BJ404" i="3"/>
  <c r="BK404" i="3"/>
  <c r="BM404" i="3"/>
  <c r="BN404" i="3"/>
  <c r="BO404" i="3"/>
  <c r="BL404" i="3"/>
  <c r="BP404" i="3"/>
  <c r="BQ404" i="3"/>
  <c r="BR404" i="3"/>
  <c r="BS404" i="3"/>
  <c r="BT404" i="3"/>
  <c r="BB405" i="3"/>
  <c r="BC405" i="3"/>
  <c r="BD405" i="3"/>
  <c r="BA405" i="3"/>
  <c r="AZ405" i="3"/>
  <c r="BE405" i="3"/>
  <c r="BF405" i="3"/>
  <c r="BG405" i="3"/>
  <c r="BH405" i="3"/>
  <c r="BI405" i="3"/>
  <c r="BJ405" i="3"/>
  <c r="BK405" i="3"/>
  <c r="BM405" i="3"/>
  <c r="BN405" i="3"/>
  <c r="BO405" i="3"/>
  <c r="BP405" i="3"/>
  <c r="BQ405" i="3"/>
  <c r="BR405" i="3"/>
  <c r="BS405" i="3"/>
  <c r="BT405" i="3"/>
  <c r="BL405" i="3"/>
  <c r="BB406" i="3"/>
  <c r="BC406" i="3"/>
  <c r="BA406" i="3"/>
  <c r="BD406" i="3"/>
  <c r="BE406" i="3"/>
  <c r="BF406" i="3"/>
  <c r="BG406" i="3"/>
  <c r="BH406" i="3"/>
  <c r="BI406" i="3"/>
  <c r="BJ406" i="3"/>
  <c r="BK406" i="3"/>
  <c r="BM406" i="3"/>
  <c r="BN406" i="3"/>
  <c r="BO406" i="3"/>
  <c r="BL406" i="3"/>
  <c r="BP406" i="3"/>
  <c r="BQ406" i="3"/>
  <c r="BR406" i="3"/>
  <c r="BS406" i="3"/>
  <c r="BT406" i="3"/>
  <c r="BB407" i="3"/>
  <c r="BC407" i="3"/>
  <c r="BD407" i="3"/>
  <c r="BA407" i="3"/>
  <c r="AZ407" i="3"/>
  <c r="BE407" i="3"/>
  <c r="BF407" i="3"/>
  <c r="BG407" i="3"/>
  <c r="BH407" i="3"/>
  <c r="BI407" i="3"/>
  <c r="BJ407" i="3"/>
  <c r="BK407" i="3"/>
  <c r="BM407" i="3"/>
  <c r="BN407" i="3"/>
  <c r="BO407" i="3"/>
  <c r="BP407" i="3"/>
  <c r="BQ407" i="3"/>
  <c r="BR407" i="3"/>
  <c r="BS407" i="3"/>
  <c r="BT407" i="3"/>
  <c r="BL407" i="3"/>
  <c r="BB408" i="3"/>
  <c r="BC408" i="3"/>
  <c r="BA408" i="3"/>
  <c r="AZ408" i="3"/>
  <c r="BD408" i="3"/>
  <c r="BE408" i="3"/>
  <c r="BF408" i="3"/>
  <c r="BG408" i="3"/>
  <c r="BH408" i="3"/>
  <c r="BI408" i="3"/>
  <c r="BJ408" i="3"/>
  <c r="BK408" i="3"/>
  <c r="BM408" i="3"/>
  <c r="BN408" i="3"/>
  <c r="BO408" i="3"/>
  <c r="BL408" i="3"/>
  <c r="BP408" i="3"/>
  <c r="BQ408" i="3"/>
  <c r="BR408" i="3"/>
  <c r="BS408" i="3"/>
  <c r="BT408" i="3"/>
  <c r="BB409" i="3"/>
  <c r="BC409" i="3"/>
  <c r="BD409" i="3"/>
  <c r="BA409" i="3"/>
  <c r="AZ409" i="3"/>
  <c r="BE409" i="3"/>
  <c r="BF409" i="3"/>
  <c r="BG409" i="3"/>
  <c r="BH409" i="3"/>
  <c r="BI409" i="3"/>
  <c r="BJ409" i="3"/>
  <c r="BK409" i="3"/>
  <c r="BM409" i="3"/>
  <c r="BN409" i="3"/>
  <c r="BO409" i="3"/>
  <c r="BP409" i="3"/>
  <c r="BQ409" i="3"/>
  <c r="BR409" i="3"/>
  <c r="BS409" i="3"/>
  <c r="BT409" i="3"/>
  <c r="BL409" i="3"/>
  <c r="BB410" i="3"/>
  <c r="BC410" i="3"/>
  <c r="BA410" i="3"/>
  <c r="BD410" i="3"/>
  <c r="BE410" i="3"/>
  <c r="BF410" i="3"/>
  <c r="BG410" i="3"/>
  <c r="BH410" i="3"/>
  <c r="BI410" i="3"/>
  <c r="BJ410" i="3"/>
  <c r="BK410" i="3"/>
  <c r="BM410" i="3"/>
  <c r="BN410" i="3"/>
  <c r="BO410" i="3"/>
  <c r="BL410" i="3"/>
  <c r="BP410" i="3"/>
  <c r="BQ410" i="3"/>
  <c r="BR410" i="3"/>
  <c r="BS410" i="3"/>
  <c r="BT410" i="3"/>
  <c r="BB411" i="3"/>
  <c r="BC411" i="3"/>
  <c r="BD411" i="3"/>
  <c r="BA411" i="3"/>
  <c r="AZ411" i="3"/>
  <c r="BE411" i="3"/>
  <c r="BF411" i="3"/>
  <c r="BG411" i="3"/>
  <c r="BH411" i="3"/>
  <c r="BI411" i="3"/>
  <c r="BJ411" i="3"/>
  <c r="BK411" i="3"/>
  <c r="BM411" i="3"/>
  <c r="BN411" i="3"/>
  <c r="BO411" i="3"/>
  <c r="BP411" i="3"/>
  <c r="BQ411" i="3"/>
  <c r="BR411" i="3"/>
  <c r="BS411" i="3"/>
  <c r="BT411" i="3"/>
  <c r="BL411" i="3"/>
  <c r="BB412" i="3"/>
  <c r="BC412" i="3"/>
  <c r="BA412" i="3"/>
  <c r="AZ412" i="3"/>
  <c r="BD412" i="3"/>
  <c r="BE412" i="3"/>
  <c r="BF412" i="3"/>
  <c r="BG412" i="3"/>
  <c r="BH412" i="3"/>
  <c r="BI412" i="3"/>
  <c r="BJ412" i="3"/>
  <c r="BK412" i="3"/>
  <c r="BM412" i="3"/>
  <c r="BN412" i="3"/>
  <c r="BO412" i="3"/>
  <c r="BL412" i="3"/>
  <c r="BP412" i="3"/>
  <c r="BQ412" i="3"/>
  <c r="BR412" i="3"/>
  <c r="BS412" i="3"/>
  <c r="BT412" i="3"/>
  <c r="BB413" i="3"/>
  <c r="BC413" i="3"/>
  <c r="BD413" i="3"/>
  <c r="BA413" i="3"/>
  <c r="AZ413" i="3"/>
  <c r="BE413" i="3"/>
  <c r="BF413" i="3"/>
  <c r="BG413" i="3"/>
  <c r="BH413" i="3"/>
  <c r="BI413" i="3"/>
  <c r="BJ413" i="3"/>
  <c r="BK413" i="3"/>
  <c r="BM413" i="3"/>
  <c r="BN413" i="3"/>
  <c r="BO413" i="3"/>
  <c r="BP413" i="3"/>
  <c r="BQ413" i="3"/>
  <c r="BR413" i="3"/>
  <c r="BS413" i="3"/>
  <c r="BT413" i="3"/>
  <c r="BL413" i="3"/>
  <c r="BB414" i="3"/>
  <c r="BC414" i="3"/>
  <c r="BA414" i="3"/>
  <c r="BD414" i="3"/>
  <c r="BE414" i="3"/>
  <c r="BF414" i="3"/>
  <c r="BG414" i="3"/>
  <c r="BH414" i="3"/>
  <c r="BI414" i="3"/>
  <c r="BJ414" i="3"/>
  <c r="BK414" i="3"/>
  <c r="BM414" i="3"/>
  <c r="BN414" i="3"/>
  <c r="BO414" i="3"/>
  <c r="BL414" i="3"/>
  <c r="BP414" i="3"/>
  <c r="BQ414" i="3"/>
  <c r="BR414" i="3"/>
  <c r="BS414" i="3"/>
  <c r="BT414" i="3"/>
  <c r="BB415" i="3"/>
  <c r="BC415" i="3"/>
  <c r="BD415" i="3"/>
  <c r="BA415" i="3"/>
  <c r="AZ415" i="3"/>
  <c r="BE415" i="3"/>
  <c r="BF415" i="3"/>
  <c r="BG415" i="3"/>
  <c r="BH415" i="3"/>
  <c r="BI415" i="3"/>
  <c r="BJ415" i="3"/>
  <c r="BK415" i="3"/>
  <c r="BM415" i="3"/>
  <c r="BN415" i="3"/>
  <c r="BO415" i="3"/>
  <c r="BP415" i="3"/>
  <c r="BQ415" i="3"/>
  <c r="BR415" i="3"/>
  <c r="BS415" i="3"/>
  <c r="BT415" i="3"/>
  <c r="BL415" i="3"/>
  <c r="BB416" i="3"/>
  <c r="BC416" i="3"/>
  <c r="BA416" i="3"/>
  <c r="AZ416" i="3"/>
  <c r="BD416" i="3"/>
  <c r="BE416" i="3"/>
  <c r="BF416" i="3"/>
  <c r="BG416" i="3"/>
  <c r="BH416" i="3"/>
  <c r="BI416" i="3"/>
  <c r="BJ416" i="3"/>
  <c r="BK416" i="3"/>
  <c r="BM416" i="3"/>
  <c r="BN416" i="3"/>
  <c r="BO416" i="3"/>
  <c r="BL416" i="3"/>
  <c r="BP416" i="3"/>
  <c r="BQ416" i="3"/>
  <c r="BR416" i="3"/>
  <c r="BS416" i="3"/>
  <c r="BT416" i="3"/>
  <c r="BB417" i="3"/>
  <c r="BC417" i="3"/>
  <c r="BD417" i="3"/>
  <c r="BA417" i="3"/>
  <c r="AZ417" i="3"/>
  <c r="BE417" i="3"/>
  <c r="BF417" i="3"/>
  <c r="BG417" i="3"/>
  <c r="BH417" i="3"/>
  <c r="BI417" i="3"/>
  <c r="BJ417" i="3"/>
  <c r="BK417" i="3"/>
  <c r="BM417" i="3"/>
  <c r="BN417" i="3"/>
  <c r="BO417" i="3"/>
  <c r="BP417" i="3"/>
  <c r="BQ417" i="3"/>
  <c r="BR417" i="3"/>
  <c r="BS417" i="3"/>
  <c r="BT417" i="3"/>
  <c r="BL417" i="3"/>
  <c r="BB418" i="3"/>
  <c r="BC418" i="3"/>
  <c r="BA418" i="3"/>
  <c r="BD418" i="3"/>
  <c r="BE418" i="3"/>
  <c r="BF418" i="3"/>
  <c r="BG418" i="3"/>
  <c r="BH418" i="3"/>
  <c r="BI418" i="3"/>
  <c r="BJ418" i="3"/>
  <c r="BK418" i="3"/>
  <c r="BM418" i="3"/>
  <c r="BN418" i="3"/>
  <c r="BO418" i="3"/>
  <c r="BL418" i="3"/>
  <c r="BP418" i="3"/>
  <c r="BQ418" i="3"/>
  <c r="BR418" i="3"/>
  <c r="BS418" i="3"/>
  <c r="BT418" i="3"/>
  <c r="BB419" i="3"/>
  <c r="BC419" i="3"/>
  <c r="BD419" i="3"/>
  <c r="BA419" i="3"/>
  <c r="AZ419" i="3"/>
  <c r="BE419" i="3"/>
  <c r="BF419" i="3"/>
  <c r="BG419" i="3"/>
  <c r="BH419" i="3"/>
  <c r="BI419" i="3"/>
  <c r="BJ419" i="3"/>
  <c r="BK419" i="3"/>
  <c r="BM419" i="3"/>
  <c r="BN419" i="3"/>
  <c r="BO419" i="3"/>
  <c r="BP419" i="3"/>
  <c r="BQ419" i="3"/>
  <c r="BR419" i="3"/>
  <c r="BS419" i="3"/>
  <c r="BT419" i="3"/>
  <c r="BL419" i="3"/>
  <c r="BB420" i="3"/>
  <c r="BC420" i="3"/>
  <c r="BA420" i="3"/>
  <c r="AZ420" i="3"/>
  <c r="BD420" i="3"/>
  <c r="BE420" i="3"/>
  <c r="BF420" i="3"/>
  <c r="BG420" i="3"/>
  <c r="BH420" i="3"/>
  <c r="BI420" i="3"/>
  <c r="BJ420" i="3"/>
  <c r="BK420" i="3"/>
  <c r="BM420" i="3"/>
  <c r="BN420" i="3"/>
  <c r="BO420" i="3"/>
  <c r="BL420" i="3"/>
  <c r="BP420" i="3"/>
  <c r="BQ420" i="3"/>
  <c r="BR420" i="3"/>
  <c r="BS420" i="3"/>
  <c r="BT420" i="3"/>
  <c r="BB421" i="3"/>
  <c r="BC421" i="3"/>
  <c r="BD421" i="3"/>
  <c r="BA421" i="3"/>
  <c r="AZ421" i="3"/>
  <c r="BE421" i="3"/>
  <c r="BF421" i="3"/>
  <c r="BG421" i="3"/>
  <c r="BH421" i="3"/>
  <c r="BI421" i="3"/>
  <c r="BJ421" i="3"/>
  <c r="BK421" i="3"/>
  <c r="BM421" i="3"/>
  <c r="BN421" i="3"/>
  <c r="BO421" i="3"/>
  <c r="BP421" i="3"/>
  <c r="BQ421" i="3"/>
  <c r="BR421" i="3"/>
  <c r="BS421" i="3"/>
  <c r="BT421" i="3"/>
  <c r="BL421" i="3"/>
  <c r="BB422" i="3"/>
  <c r="BC422" i="3"/>
  <c r="BA422" i="3"/>
  <c r="BD422" i="3"/>
  <c r="BE422" i="3"/>
  <c r="BF422" i="3"/>
  <c r="BG422" i="3"/>
  <c r="BH422" i="3"/>
  <c r="BI422" i="3"/>
  <c r="BJ422" i="3"/>
  <c r="BK422" i="3"/>
  <c r="BM422" i="3"/>
  <c r="BN422" i="3"/>
  <c r="BO422" i="3"/>
  <c r="BL422" i="3"/>
  <c r="BP422" i="3"/>
  <c r="BQ422" i="3"/>
  <c r="BR422" i="3"/>
  <c r="BS422" i="3"/>
  <c r="BT422" i="3"/>
  <c r="BB423" i="3"/>
  <c r="BC423" i="3"/>
  <c r="BD423" i="3"/>
  <c r="BA423" i="3"/>
  <c r="AZ423" i="3"/>
  <c r="BE423" i="3"/>
  <c r="BF423" i="3"/>
  <c r="BG423" i="3"/>
  <c r="BH423" i="3"/>
  <c r="BI423" i="3"/>
  <c r="BJ423" i="3"/>
  <c r="BK423" i="3"/>
  <c r="BM423" i="3"/>
  <c r="BN423" i="3"/>
  <c r="BO423" i="3"/>
  <c r="BP423" i="3"/>
  <c r="BQ423" i="3"/>
  <c r="BR423" i="3"/>
  <c r="BS423" i="3"/>
  <c r="BT423" i="3"/>
  <c r="BL423" i="3"/>
  <c r="BB424" i="3"/>
  <c r="BC424" i="3"/>
  <c r="BA424" i="3"/>
  <c r="AZ424" i="3"/>
  <c r="BD424" i="3"/>
  <c r="BE424" i="3"/>
  <c r="BF424" i="3"/>
  <c r="BG424" i="3"/>
  <c r="BH424" i="3"/>
  <c r="BI424" i="3"/>
  <c r="BJ424" i="3"/>
  <c r="BK424" i="3"/>
  <c r="BM424" i="3"/>
  <c r="BN424" i="3"/>
  <c r="BO424" i="3"/>
  <c r="BL424" i="3"/>
  <c r="BP424" i="3"/>
  <c r="BQ424" i="3"/>
  <c r="BR424" i="3"/>
  <c r="BS424" i="3"/>
  <c r="BT424" i="3"/>
  <c r="BB425" i="3"/>
  <c r="BC425" i="3"/>
  <c r="BD425" i="3"/>
  <c r="BA425" i="3"/>
  <c r="AZ425" i="3"/>
  <c r="BE425" i="3"/>
  <c r="BF425" i="3"/>
  <c r="BG425" i="3"/>
  <c r="BH425" i="3"/>
  <c r="BI425" i="3"/>
  <c r="BJ425" i="3"/>
  <c r="BK425" i="3"/>
  <c r="BM425" i="3"/>
  <c r="BN425" i="3"/>
  <c r="BO425" i="3"/>
  <c r="BP425" i="3"/>
  <c r="BQ425" i="3"/>
  <c r="BR425" i="3"/>
  <c r="BS425" i="3"/>
  <c r="BT425" i="3"/>
  <c r="BL425" i="3"/>
  <c r="BB426" i="3"/>
  <c r="BC426" i="3"/>
  <c r="BA426" i="3"/>
  <c r="BD426" i="3"/>
  <c r="BE426" i="3"/>
  <c r="BF426" i="3"/>
  <c r="BG426" i="3"/>
  <c r="BH426" i="3"/>
  <c r="BI426" i="3"/>
  <c r="BJ426" i="3"/>
  <c r="BK426" i="3"/>
  <c r="BM426" i="3"/>
  <c r="BN426" i="3"/>
  <c r="BO426" i="3"/>
  <c r="BL426" i="3"/>
  <c r="BP426" i="3"/>
  <c r="BQ426" i="3"/>
  <c r="BR426" i="3"/>
  <c r="BS426" i="3"/>
  <c r="BT426" i="3"/>
  <c r="BB427" i="3"/>
  <c r="BC427" i="3"/>
  <c r="BD427" i="3"/>
  <c r="BA427" i="3"/>
  <c r="AZ427" i="3"/>
  <c r="BE427" i="3"/>
  <c r="BF427" i="3"/>
  <c r="BG427" i="3"/>
  <c r="BH427" i="3"/>
  <c r="BI427" i="3"/>
  <c r="BJ427" i="3"/>
  <c r="BK427" i="3"/>
  <c r="BM427" i="3"/>
  <c r="BN427" i="3"/>
  <c r="BO427" i="3"/>
  <c r="BP427" i="3"/>
  <c r="BQ427" i="3"/>
  <c r="BR427" i="3"/>
  <c r="BS427" i="3"/>
  <c r="BT427" i="3"/>
  <c r="BL427" i="3"/>
  <c r="BB428" i="3"/>
  <c r="BC428" i="3"/>
  <c r="BA428" i="3"/>
  <c r="AZ428" i="3"/>
  <c r="BD428" i="3"/>
  <c r="BE428" i="3"/>
  <c r="BF428" i="3"/>
  <c r="BG428" i="3"/>
  <c r="BH428" i="3"/>
  <c r="BI428" i="3"/>
  <c r="BJ428" i="3"/>
  <c r="BK428" i="3"/>
  <c r="BM428" i="3"/>
  <c r="BN428" i="3"/>
  <c r="BO428" i="3"/>
  <c r="BL428" i="3"/>
  <c r="BP428" i="3"/>
  <c r="BQ428" i="3"/>
  <c r="BR428" i="3"/>
  <c r="BS428" i="3"/>
  <c r="BT428" i="3"/>
  <c r="BB429" i="3"/>
  <c r="BC429" i="3"/>
  <c r="BD429" i="3"/>
  <c r="BA429" i="3"/>
  <c r="AZ429" i="3"/>
  <c r="BE429" i="3"/>
  <c r="BF429" i="3"/>
  <c r="BG429" i="3"/>
  <c r="BH429" i="3"/>
  <c r="BI429" i="3"/>
  <c r="BJ429" i="3"/>
  <c r="BK429" i="3"/>
  <c r="BM429" i="3"/>
  <c r="BN429" i="3"/>
  <c r="BO429" i="3"/>
  <c r="BP429" i="3"/>
  <c r="BQ429" i="3"/>
  <c r="BR429" i="3"/>
  <c r="BS429" i="3"/>
  <c r="BT429" i="3"/>
  <c r="BL429" i="3"/>
  <c r="BB430" i="3"/>
  <c r="BC430" i="3"/>
  <c r="BA430" i="3"/>
  <c r="BD430" i="3"/>
  <c r="BE430" i="3"/>
  <c r="BF430" i="3"/>
  <c r="BG430" i="3"/>
  <c r="BH430" i="3"/>
  <c r="BI430" i="3"/>
  <c r="BJ430" i="3"/>
  <c r="BK430" i="3"/>
  <c r="BM430" i="3"/>
  <c r="BN430" i="3"/>
  <c r="BO430" i="3"/>
  <c r="BL430" i="3"/>
  <c r="BP430" i="3"/>
  <c r="BQ430" i="3"/>
  <c r="BR430" i="3"/>
  <c r="BS430" i="3"/>
  <c r="BT430" i="3"/>
  <c r="BB431" i="3"/>
  <c r="BC431" i="3"/>
  <c r="BD431" i="3"/>
  <c r="BA431" i="3"/>
  <c r="AZ431" i="3"/>
  <c r="BE431" i="3"/>
  <c r="BF431" i="3"/>
  <c r="BG431" i="3"/>
  <c r="BH431" i="3"/>
  <c r="BI431" i="3"/>
  <c r="BJ431" i="3"/>
  <c r="BK431" i="3"/>
  <c r="BM431" i="3"/>
  <c r="BN431" i="3"/>
  <c r="BO431" i="3"/>
  <c r="BP431" i="3"/>
  <c r="BQ431" i="3"/>
  <c r="BR431" i="3"/>
  <c r="BS431" i="3"/>
  <c r="BT431" i="3"/>
  <c r="BL431" i="3"/>
  <c r="BB432" i="3"/>
  <c r="BC432" i="3"/>
  <c r="BA432" i="3"/>
  <c r="AZ432" i="3"/>
  <c r="BD432" i="3"/>
  <c r="BE432" i="3"/>
  <c r="BF432" i="3"/>
  <c r="BG432" i="3"/>
  <c r="BH432" i="3"/>
  <c r="BI432" i="3"/>
  <c r="BJ432" i="3"/>
  <c r="BK432" i="3"/>
  <c r="BM432" i="3"/>
  <c r="BN432" i="3"/>
  <c r="BO432" i="3"/>
  <c r="BL432" i="3"/>
  <c r="BP432" i="3"/>
  <c r="BQ432" i="3"/>
  <c r="BR432" i="3"/>
  <c r="BS432" i="3"/>
  <c r="BT432" i="3"/>
  <c r="BB433" i="3"/>
  <c r="BC433" i="3"/>
  <c r="BD433" i="3"/>
  <c r="BA433" i="3"/>
  <c r="AZ433" i="3"/>
  <c r="BE433" i="3"/>
  <c r="BF433" i="3"/>
  <c r="BG433" i="3"/>
  <c r="BH433" i="3"/>
  <c r="BI433" i="3"/>
  <c r="BJ433" i="3"/>
  <c r="BK433" i="3"/>
  <c r="BM433" i="3"/>
  <c r="BN433" i="3"/>
  <c r="BO433" i="3"/>
  <c r="BP433" i="3"/>
  <c r="BQ433" i="3"/>
  <c r="BR433" i="3"/>
  <c r="BS433" i="3"/>
  <c r="BT433" i="3"/>
  <c r="BL433" i="3"/>
  <c r="BB434" i="3"/>
  <c r="BC434" i="3"/>
  <c r="BA434" i="3"/>
  <c r="BD434" i="3"/>
  <c r="BE434" i="3"/>
  <c r="BF434" i="3"/>
  <c r="BG434" i="3"/>
  <c r="BH434" i="3"/>
  <c r="BI434" i="3"/>
  <c r="BJ434" i="3"/>
  <c r="BK434" i="3"/>
  <c r="BM434" i="3"/>
  <c r="BN434" i="3"/>
  <c r="BO434" i="3"/>
  <c r="BL434" i="3"/>
  <c r="BP434" i="3"/>
  <c r="BQ434" i="3"/>
  <c r="BR434" i="3"/>
  <c r="BS434" i="3"/>
  <c r="BT434" i="3"/>
  <c r="BB435" i="3"/>
  <c r="BC435" i="3"/>
  <c r="BD435" i="3"/>
  <c r="BA435" i="3"/>
  <c r="AZ435" i="3"/>
  <c r="BE435" i="3"/>
  <c r="BF435" i="3"/>
  <c r="BG435" i="3"/>
  <c r="BH435" i="3"/>
  <c r="BI435" i="3"/>
  <c r="BJ435" i="3"/>
  <c r="BK435" i="3"/>
  <c r="BM435" i="3"/>
  <c r="BN435" i="3"/>
  <c r="BO435" i="3"/>
  <c r="BP435" i="3"/>
  <c r="BQ435" i="3"/>
  <c r="BR435" i="3"/>
  <c r="BS435" i="3"/>
  <c r="BT435" i="3"/>
  <c r="BL435" i="3"/>
  <c r="BB436" i="3"/>
  <c r="BC436" i="3"/>
  <c r="BA436" i="3"/>
  <c r="AZ436" i="3"/>
  <c r="BD436" i="3"/>
  <c r="BE436" i="3"/>
  <c r="BF436" i="3"/>
  <c r="BG436" i="3"/>
  <c r="BH436" i="3"/>
  <c r="BI436" i="3"/>
  <c r="BJ436" i="3"/>
  <c r="BK436" i="3"/>
  <c r="BM436" i="3"/>
  <c r="BN436" i="3"/>
  <c r="BO436" i="3"/>
  <c r="BL436" i="3"/>
  <c r="BP436" i="3"/>
  <c r="BQ436" i="3"/>
  <c r="BR436" i="3"/>
  <c r="BS436" i="3"/>
  <c r="BT436" i="3"/>
  <c r="BB437" i="3"/>
  <c r="BC437" i="3"/>
  <c r="BD437" i="3"/>
  <c r="BA437" i="3"/>
  <c r="AZ437" i="3"/>
  <c r="BE437" i="3"/>
  <c r="BF437" i="3"/>
  <c r="BG437" i="3"/>
  <c r="BH437" i="3"/>
  <c r="BI437" i="3"/>
  <c r="BJ437" i="3"/>
  <c r="BK437" i="3"/>
  <c r="BM437" i="3"/>
  <c r="BN437" i="3"/>
  <c r="BO437" i="3"/>
  <c r="BP437" i="3"/>
  <c r="BQ437" i="3"/>
  <c r="BR437" i="3"/>
  <c r="BS437" i="3"/>
  <c r="BT437" i="3"/>
  <c r="BL437" i="3"/>
  <c r="BB438" i="3"/>
  <c r="BC438" i="3"/>
  <c r="BA438" i="3"/>
  <c r="BD438" i="3"/>
  <c r="BE438" i="3"/>
  <c r="BF438" i="3"/>
  <c r="BG438" i="3"/>
  <c r="BH438" i="3"/>
  <c r="BI438" i="3"/>
  <c r="BJ438" i="3"/>
  <c r="BK438" i="3"/>
  <c r="BM438" i="3"/>
  <c r="BN438" i="3"/>
  <c r="BO438" i="3"/>
  <c r="BL438" i="3"/>
  <c r="BP438" i="3"/>
  <c r="BQ438" i="3"/>
  <c r="BR438" i="3"/>
  <c r="BS438" i="3"/>
  <c r="BT438" i="3"/>
  <c r="BB439" i="3"/>
  <c r="BC439" i="3"/>
  <c r="BD439" i="3"/>
  <c r="BA439" i="3"/>
  <c r="AZ439" i="3"/>
  <c r="BE439" i="3"/>
  <c r="BF439" i="3"/>
  <c r="BG439" i="3"/>
  <c r="BH439" i="3"/>
  <c r="BI439" i="3"/>
  <c r="BJ439" i="3"/>
  <c r="BK439" i="3"/>
  <c r="BM439" i="3"/>
  <c r="BN439" i="3"/>
  <c r="BO439" i="3"/>
  <c r="BP439" i="3"/>
  <c r="BQ439" i="3"/>
  <c r="BR439" i="3"/>
  <c r="BS439" i="3"/>
  <c r="BT439" i="3"/>
  <c r="BL439" i="3"/>
  <c r="BB440" i="3"/>
  <c r="BC440" i="3"/>
  <c r="BA440" i="3"/>
  <c r="AZ440" i="3"/>
  <c r="BD440" i="3"/>
  <c r="BE440" i="3"/>
  <c r="BF440" i="3"/>
  <c r="BG440" i="3"/>
  <c r="BH440" i="3"/>
  <c r="BI440" i="3"/>
  <c r="BJ440" i="3"/>
  <c r="BK440" i="3"/>
  <c r="BM440" i="3"/>
  <c r="BN440" i="3"/>
  <c r="BO440" i="3"/>
  <c r="BL440" i="3"/>
  <c r="BP440" i="3"/>
  <c r="BQ440" i="3"/>
  <c r="BR440" i="3"/>
  <c r="BS440" i="3"/>
  <c r="BT440" i="3"/>
  <c r="BB441" i="3"/>
  <c r="BC441" i="3"/>
  <c r="BD441" i="3"/>
  <c r="BA441" i="3"/>
  <c r="AZ441" i="3"/>
  <c r="BE441" i="3"/>
  <c r="BF441" i="3"/>
  <c r="BG441" i="3"/>
  <c r="BH441" i="3"/>
  <c r="BI441" i="3"/>
  <c r="BJ441" i="3"/>
  <c r="BK441" i="3"/>
  <c r="BM441" i="3"/>
  <c r="BN441" i="3"/>
  <c r="BO441" i="3"/>
  <c r="BP441" i="3"/>
  <c r="BQ441" i="3"/>
  <c r="BR441" i="3"/>
  <c r="BS441" i="3"/>
  <c r="BT441" i="3"/>
  <c r="BL441" i="3"/>
  <c r="BB442" i="3"/>
  <c r="BC442" i="3"/>
  <c r="BA442" i="3"/>
  <c r="BD442" i="3"/>
  <c r="BE442" i="3"/>
  <c r="BF442" i="3"/>
  <c r="BG442" i="3"/>
  <c r="BH442" i="3"/>
  <c r="BI442" i="3"/>
  <c r="BJ442" i="3"/>
  <c r="BK442" i="3"/>
  <c r="BM442" i="3"/>
  <c r="BN442" i="3"/>
  <c r="BO442" i="3"/>
  <c r="BL442" i="3"/>
  <c r="BP442" i="3"/>
  <c r="BQ442" i="3"/>
  <c r="BR442" i="3"/>
  <c r="BS442" i="3"/>
  <c r="BT442" i="3"/>
  <c r="BB443" i="3"/>
  <c r="BC443" i="3"/>
  <c r="BD443" i="3"/>
  <c r="BA443" i="3"/>
  <c r="AZ443" i="3"/>
  <c r="BE443" i="3"/>
  <c r="BF443" i="3"/>
  <c r="BG443" i="3"/>
  <c r="BH443" i="3"/>
  <c r="BI443" i="3"/>
  <c r="BJ443" i="3"/>
  <c r="BK443" i="3"/>
  <c r="BM443" i="3"/>
  <c r="BN443" i="3"/>
  <c r="BO443" i="3"/>
  <c r="BP443" i="3"/>
  <c r="BQ443" i="3"/>
  <c r="BR443" i="3"/>
  <c r="BS443" i="3"/>
  <c r="BT443" i="3"/>
  <c r="BL443" i="3"/>
  <c r="BB444" i="3"/>
  <c r="BC444" i="3"/>
  <c r="BA444" i="3"/>
  <c r="AZ444" i="3"/>
  <c r="BD444" i="3"/>
  <c r="BE444" i="3"/>
  <c r="BF444" i="3"/>
  <c r="BG444" i="3"/>
  <c r="BH444" i="3"/>
  <c r="BI444" i="3"/>
  <c r="BJ444" i="3"/>
  <c r="BK444" i="3"/>
  <c r="BM444" i="3"/>
  <c r="BN444" i="3"/>
  <c r="BO444" i="3"/>
  <c r="BL444" i="3"/>
  <c r="BP444" i="3"/>
  <c r="BQ444" i="3"/>
  <c r="BR444" i="3"/>
  <c r="BS444" i="3"/>
  <c r="BT444" i="3"/>
  <c r="BB445" i="3"/>
  <c r="BC445" i="3"/>
  <c r="BD445" i="3"/>
  <c r="BA445" i="3"/>
  <c r="AZ445" i="3"/>
  <c r="BE445" i="3"/>
  <c r="BF445" i="3"/>
  <c r="BG445" i="3"/>
  <c r="BH445" i="3"/>
  <c r="BI445" i="3"/>
  <c r="BJ445" i="3"/>
  <c r="BK445" i="3"/>
  <c r="BM445" i="3"/>
  <c r="BN445" i="3"/>
  <c r="BO445" i="3"/>
  <c r="BP445" i="3"/>
  <c r="BQ445" i="3"/>
  <c r="BR445" i="3"/>
  <c r="BS445" i="3"/>
  <c r="BT445" i="3"/>
  <c r="BL445" i="3"/>
  <c r="BB446" i="3"/>
  <c r="BC446" i="3"/>
  <c r="BA446" i="3"/>
  <c r="BD446" i="3"/>
  <c r="BE446" i="3"/>
  <c r="BF446" i="3"/>
  <c r="BG446" i="3"/>
  <c r="BH446" i="3"/>
  <c r="BI446" i="3"/>
  <c r="BJ446" i="3"/>
  <c r="BK446" i="3"/>
  <c r="BM446" i="3"/>
  <c r="BN446" i="3"/>
  <c r="BO446" i="3"/>
  <c r="BL446" i="3"/>
  <c r="BP446" i="3"/>
  <c r="BQ446" i="3"/>
  <c r="BR446" i="3"/>
  <c r="BS446" i="3"/>
  <c r="BT446" i="3"/>
  <c r="BB447" i="3"/>
  <c r="BC447" i="3"/>
  <c r="BD447" i="3"/>
  <c r="BA447" i="3"/>
  <c r="AZ447" i="3"/>
  <c r="BE447" i="3"/>
  <c r="BF447" i="3"/>
  <c r="BG447" i="3"/>
  <c r="BH447" i="3"/>
  <c r="BI447" i="3"/>
  <c r="BJ447" i="3"/>
  <c r="BK447" i="3"/>
  <c r="BM447" i="3"/>
  <c r="BN447" i="3"/>
  <c r="BO447" i="3"/>
  <c r="BP447" i="3"/>
  <c r="BQ447" i="3"/>
  <c r="BR447" i="3"/>
  <c r="BS447" i="3"/>
  <c r="BT447" i="3"/>
  <c r="BL447" i="3"/>
  <c r="BB448" i="3"/>
  <c r="BC448" i="3"/>
  <c r="BA448" i="3"/>
  <c r="AZ448" i="3"/>
  <c r="BD448" i="3"/>
  <c r="BE448" i="3"/>
  <c r="BF448" i="3"/>
  <c r="BG448" i="3"/>
  <c r="BH448" i="3"/>
  <c r="BI448" i="3"/>
  <c r="BJ448" i="3"/>
  <c r="BK448" i="3"/>
  <c r="BM448" i="3"/>
  <c r="BN448" i="3"/>
  <c r="BO448" i="3"/>
  <c r="BL448" i="3"/>
  <c r="BP448" i="3"/>
  <c r="BQ448" i="3"/>
  <c r="BR448" i="3"/>
  <c r="BS448" i="3"/>
  <c r="BT448" i="3"/>
  <c r="BB449" i="3"/>
  <c r="BC449" i="3"/>
  <c r="BD449" i="3"/>
  <c r="BA449" i="3"/>
  <c r="AZ449" i="3"/>
  <c r="BE449" i="3"/>
  <c r="BF449" i="3"/>
  <c r="BG449" i="3"/>
  <c r="BH449" i="3"/>
  <c r="BI449" i="3"/>
  <c r="BJ449" i="3"/>
  <c r="BK449" i="3"/>
  <c r="BM449" i="3"/>
  <c r="BN449" i="3"/>
  <c r="BO449" i="3"/>
  <c r="BP449" i="3"/>
  <c r="BQ449" i="3"/>
  <c r="BR449" i="3"/>
  <c r="BS449" i="3"/>
  <c r="BT449" i="3"/>
  <c r="BL449" i="3"/>
  <c r="BB450" i="3"/>
  <c r="BC450" i="3"/>
  <c r="BA450" i="3"/>
  <c r="BD450" i="3"/>
  <c r="BE450" i="3"/>
  <c r="BF450" i="3"/>
  <c r="BG450" i="3"/>
  <c r="BH450" i="3"/>
  <c r="BI450" i="3"/>
  <c r="BJ450" i="3"/>
  <c r="BK450" i="3"/>
  <c r="BM450" i="3"/>
  <c r="BN450" i="3"/>
  <c r="BO450" i="3"/>
  <c r="BL450" i="3"/>
  <c r="BP450" i="3"/>
  <c r="BQ450" i="3"/>
  <c r="BR450" i="3"/>
  <c r="BS450" i="3"/>
  <c r="BT450" i="3"/>
  <c r="BB451" i="3"/>
  <c r="BC451" i="3"/>
  <c r="BD451" i="3"/>
  <c r="BA451" i="3"/>
  <c r="AZ451" i="3"/>
  <c r="BE451" i="3"/>
  <c r="BF451" i="3"/>
  <c r="BG451" i="3"/>
  <c r="BH451" i="3"/>
  <c r="BI451" i="3"/>
  <c r="BJ451" i="3"/>
  <c r="BK451" i="3"/>
  <c r="BM451" i="3"/>
  <c r="BN451" i="3"/>
  <c r="BO451" i="3"/>
  <c r="BP451" i="3"/>
  <c r="BQ451" i="3"/>
  <c r="BR451" i="3"/>
  <c r="BS451" i="3"/>
  <c r="BT451" i="3"/>
  <c r="BL451" i="3"/>
  <c r="BB452" i="3"/>
  <c r="BC452" i="3"/>
  <c r="BA452" i="3"/>
  <c r="AZ452" i="3"/>
  <c r="BD452" i="3"/>
  <c r="BE452" i="3"/>
  <c r="BF452" i="3"/>
  <c r="BG452" i="3"/>
  <c r="BH452" i="3"/>
  <c r="BI452" i="3"/>
  <c r="BJ452" i="3"/>
  <c r="BK452" i="3"/>
  <c r="BM452" i="3"/>
  <c r="BN452" i="3"/>
  <c r="BO452" i="3"/>
  <c r="BL452" i="3"/>
  <c r="BP452" i="3"/>
  <c r="BQ452" i="3"/>
  <c r="BR452" i="3"/>
  <c r="BS452" i="3"/>
  <c r="BT452" i="3"/>
  <c r="BB453" i="3"/>
  <c r="BC453" i="3"/>
  <c r="BD453" i="3"/>
  <c r="BA453" i="3"/>
  <c r="AZ453" i="3"/>
  <c r="BE453" i="3"/>
  <c r="BF453" i="3"/>
  <c r="BG453" i="3"/>
  <c r="BH453" i="3"/>
  <c r="BI453" i="3"/>
  <c r="BJ453" i="3"/>
  <c r="BK453" i="3"/>
  <c r="BM453" i="3"/>
  <c r="BN453" i="3"/>
  <c r="BO453" i="3"/>
  <c r="BP453" i="3"/>
  <c r="BQ453" i="3"/>
  <c r="BR453" i="3"/>
  <c r="BS453" i="3"/>
  <c r="BT453" i="3"/>
  <c r="BL453" i="3"/>
  <c r="BB454" i="3"/>
  <c r="BC454" i="3"/>
  <c r="BA454" i="3"/>
  <c r="BD454" i="3"/>
  <c r="BE454" i="3"/>
  <c r="BF454" i="3"/>
  <c r="BG454" i="3"/>
  <c r="BH454" i="3"/>
  <c r="BI454" i="3"/>
  <c r="BJ454" i="3"/>
  <c r="BK454" i="3"/>
  <c r="BM454" i="3"/>
  <c r="BN454" i="3"/>
  <c r="BO454" i="3"/>
  <c r="BL454" i="3"/>
  <c r="BP454" i="3"/>
  <c r="BQ454" i="3"/>
  <c r="BR454" i="3"/>
  <c r="BS454" i="3"/>
  <c r="BT454" i="3"/>
  <c r="BB455" i="3"/>
  <c r="BC455" i="3"/>
  <c r="BD455" i="3"/>
  <c r="BA455" i="3"/>
  <c r="AZ455" i="3"/>
  <c r="BE455" i="3"/>
  <c r="BF455" i="3"/>
  <c r="BG455" i="3"/>
  <c r="BH455" i="3"/>
  <c r="BI455" i="3"/>
  <c r="BJ455" i="3"/>
  <c r="BK455" i="3"/>
  <c r="BM455" i="3"/>
  <c r="BN455" i="3"/>
  <c r="BO455" i="3"/>
  <c r="BP455" i="3"/>
  <c r="BQ455" i="3"/>
  <c r="BR455" i="3"/>
  <c r="BS455" i="3"/>
  <c r="BT455" i="3"/>
  <c r="BL455" i="3"/>
  <c r="BB456" i="3"/>
  <c r="BC456" i="3"/>
  <c r="BA456" i="3"/>
  <c r="AZ456" i="3"/>
  <c r="BD456" i="3"/>
  <c r="BE456" i="3"/>
  <c r="BF456" i="3"/>
  <c r="BG456" i="3"/>
  <c r="BH456" i="3"/>
  <c r="BI456" i="3"/>
  <c r="BJ456" i="3"/>
  <c r="BK456" i="3"/>
  <c r="BM456" i="3"/>
  <c r="BN456" i="3"/>
  <c r="BO456" i="3"/>
  <c r="BL456" i="3"/>
  <c r="BP456" i="3"/>
  <c r="BQ456" i="3"/>
  <c r="BR456" i="3"/>
  <c r="BS456" i="3"/>
  <c r="BT456" i="3"/>
  <c r="BB457" i="3"/>
  <c r="BC457" i="3"/>
  <c r="BD457" i="3"/>
  <c r="BA457" i="3"/>
  <c r="AZ457" i="3"/>
  <c r="BE457" i="3"/>
  <c r="BF457" i="3"/>
  <c r="BG457" i="3"/>
  <c r="BH457" i="3"/>
  <c r="BI457" i="3"/>
  <c r="BJ457" i="3"/>
  <c r="BK457" i="3"/>
  <c r="BM457" i="3"/>
  <c r="BN457" i="3"/>
  <c r="BO457" i="3"/>
  <c r="BP457" i="3"/>
  <c r="BQ457" i="3"/>
  <c r="BR457" i="3"/>
  <c r="BS457" i="3"/>
  <c r="BT457" i="3"/>
  <c r="BL457" i="3"/>
  <c r="BB458" i="3"/>
  <c r="BC458" i="3"/>
  <c r="BA458" i="3"/>
  <c r="BD458" i="3"/>
  <c r="BE458" i="3"/>
  <c r="BF458" i="3"/>
  <c r="BG458" i="3"/>
  <c r="BH458" i="3"/>
  <c r="BI458" i="3"/>
  <c r="BJ458" i="3"/>
  <c r="BK458" i="3"/>
  <c r="BM458" i="3"/>
  <c r="BN458" i="3"/>
  <c r="BO458" i="3"/>
  <c r="BL458" i="3"/>
  <c r="BP458" i="3"/>
  <c r="BQ458" i="3"/>
  <c r="BR458" i="3"/>
  <c r="BS458" i="3"/>
  <c r="BT458" i="3"/>
  <c r="BB459" i="3"/>
  <c r="BC459" i="3"/>
  <c r="BD459" i="3"/>
  <c r="BA459" i="3"/>
  <c r="AZ459" i="3"/>
  <c r="BE459" i="3"/>
  <c r="BF459" i="3"/>
  <c r="BG459" i="3"/>
  <c r="BH459" i="3"/>
  <c r="BI459" i="3"/>
  <c r="BJ459" i="3"/>
  <c r="BK459" i="3"/>
  <c r="BM459" i="3"/>
  <c r="BN459" i="3"/>
  <c r="BO459" i="3"/>
  <c r="BP459" i="3"/>
  <c r="BQ459" i="3"/>
  <c r="BR459" i="3"/>
  <c r="BS459" i="3"/>
  <c r="BT459" i="3"/>
  <c r="BL459" i="3"/>
  <c r="BB460" i="3"/>
  <c r="BC460" i="3"/>
  <c r="BA460" i="3"/>
  <c r="AZ460" i="3"/>
  <c r="BD460" i="3"/>
  <c r="BE460" i="3"/>
  <c r="BF460" i="3"/>
  <c r="BG460" i="3"/>
  <c r="BH460" i="3"/>
  <c r="BI460" i="3"/>
  <c r="BJ460" i="3"/>
  <c r="BK460" i="3"/>
  <c r="BM460" i="3"/>
  <c r="BN460" i="3"/>
  <c r="BO460" i="3"/>
  <c r="BL460" i="3"/>
  <c r="BP460" i="3"/>
  <c r="BQ460" i="3"/>
  <c r="BR460" i="3"/>
  <c r="BS460" i="3"/>
  <c r="BT460" i="3"/>
  <c r="BB461" i="3"/>
  <c r="BC461" i="3"/>
  <c r="BD461" i="3"/>
  <c r="BA461" i="3"/>
  <c r="AZ461" i="3"/>
  <c r="BE461" i="3"/>
  <c r="BF461" i="3"/>
  <c r="BG461" i="3"/>
  <c r="BH461" i="3"/>
  <c r="BI461" i="3"/>
  <c r="BJ461" i="3"/>
  <c r="BK461" i="3"/>
  <c r="BM461" i="3"/>
  <c r="BN461" i="3"/>
  <c r="BO461" i="3"/>
  <c r="BP461" i="3"/>
  <c r="BQ461" i="3"/>
  <c r="BR461" i="3"/>
  <c r="BS461" i="3"/>
  <c r="BT461" i="3"/>
  <c r="BL461" i="3"/>
  <c r="BB462" i="3"/>
  <c r="BC462" i="3"/>
  <c r="BA462" i="3"/>
  <c r="BD462" i="3"/>
  <c r="BE462" i="3"/>
  <c r="BF462" i="3"/>
  <c r="BG462" i="3"/>
  <c r="BH462" i="3"/>
  <c r="BI462" i="3"/>
  <c r="BJ462" i="3"/>
  <c r="BK462" i="3"/>
  <c r="BM462" i="3"/>
  <c r="BN462" i="3"/>
  <c r="BO462" i="3"/>
  <c r="BL462" i="3"/>
  <c r="BP462" i="3"/>
  <c r="BQ462" i="3"/>
  <c r="BR462" i="3"/>
  <c r="BS462" i="3"/>
  <c r="BT462" i="3"/>
  <c r="BB463" i="3"/>
  <c r="BC463" i="3"/>
  <c r="BD463" i="3"/>
  <c r="BA463" i="3"/>
  <c r="AZ463" i="3"/>
  <c r="BE463" i="3"/>
  <c r="BF463" i="3"/>
  <c r="BG463" i="3"/>
  <c r="BH463" i="3"/>
  <c r="BI463" i="3"/>
  <c r="BJ463" i="3"/>
  <c r="BK463" i="3"/>
  <c r="BM463" i="3"/>
  <c r="BN463" i="3"/>
  <c r="BO463" i="3"/>
  <c r="BP463" i="3"/>
  <c r="BQ463" i="3"/>
  <c r="BR463" i="3"/>
  <c r="BS463" i="3"/>
  <c r="BT463" i="3"/>
  <c r="BL463" i="3"/>
  <c r="BB464" i="3"/>
  <c r="BC464" i="3"/>
  <c r="BA464" i="3"/>
  <c r="AZ464" i="3"/>
  <c r="BD464" i="3"/>
  <c r="BE464" i="3"/>
  <c r="BF464" i="3"/>
  <c r="BG464" i="3"/>
  <c r="BH464" i="3"/>
  <c r="BI464" i="3"/>
  <c r="BJ464" i="3"/>
  <c r="BK464" i="3"/>
  <c r="BM464" i="3"/>
  <c r="BN464" i="3"/>
  <c r="BO464" i="3"/>
  <c r="BL464" i="3"/>
  <c r="BP464" i="3"/>
  <c r="BQ464" i="3"/>
  <c r="BR464" i="3"/>
  <c r="BS464" i="3"/>
  <c r="BT464" i="3"/>
  <c r="BB465" i="3"/>
  <c r="BC465" i="3"/>
  <c r="BD465" i="3"/>
  <c r="BA465" i="3"/>
  <c r="AZ465" i="3"/>
  <c r="BE465" i="3"/>
  <c r="BF465" i="3"/>
  <c r="BG465" i="3"/>
  <c r="BH465" i="3"/>
  <c r="BI465" i="3"/>
  <c r="BJ465" i="3"/>
  <c r="BK465" i="3"/>
  <c r="BM465" i="3"/>
  <c r="BN465" i="3"/>
  <c r="BO465" i="3"/>
  <c r="BP465" i="3"/>
  <c r="BQ465" i="3"/>
  <c r="BR465" i="3"/>
  <c r="BS465" i="3"/>
  <c r="BT465" i="3"/>
  <c r="BL465" i="3"/>
  <c r="BB466" i="3"/>
  <c r="BC466" i="3"/>
  <c r="BA466" i="3"/>
  <c r="BD466" i="3"/>
  <c r="BE466" i="3"/>
  <c r="BF466" i="3"/>
  <c r="BG466" i="3"/>
  <c r="BH466" i="3"/>
  <c r="BI466" i="3"/>
  <c r="BJ466" i="3"/>
  <c r="BK466" i="3"/>
  <c r="BM466" i="3"/>
  <c r="BN466" i="3"/>
  <c r="BO466" i="3"/>
  <c r="BL466" i="3"/>
  <c r="BP466" i="3"/>
  <c r="BQ466" i="3"/>
  <c r="BR466" i="3"/>
  <c r="BS466" i="3"/>
  <c r="BT466" i="3"/>
  <c r="BB467" i="3"/>
  <c r="BC467" i="3"/>
  <c r="BD467" i="3"/>
  <c r="BA467" i="3"/>
  <c r="AZ467" i="3"/>
  <c r="BE467" i="3"/>
  <c r="BF467" i="3"/>
  <c r="BG467" i="3"/>
  <c r="BH467" i="3"/>
  <c r="BI467" i="3"/>
  <c r="BJ467" i="3"/>
  <c r="BK467" i="3"/>
  <c r="BM467" i="3"/>
  <c r="BN467" i="3"/>
  <c r="BO467" i="3"/>
  <c r="BP467" i="3"/>
  <c r="BQ467" i="3"/>
  <c r="BR467" i="3"/>
  <c r="BS467" i="3"/>
  <c r="BT467" i="3"/>
  <c r="BL467" i="3"/>
  <c r="BB468" i="3"/>
  <c r="BC468" i="3"/>
  <c r="BA468" i="3"/>
  <c r="AZ468" i="3"/>
  <c r="BD468" i="3"/>
  <c r="BE468" i="3"/>
  <c r="BF468" i="3"/>
  <c r="BG468" i="3"/>
  <c r="BH468" i="3"/>
  <c r="BI468" i="3"/>
  <c r="BJ468" i="3"/>
  <c r="BK468" i="3"/>
  <c r="BM468" i="3"/>
  <c r="BN468" i="3"/>
  <c r="BO468" i="3"/>
  <c r="BL468" i="3"/>
  <c r="BP468" i="3"/>
  <c r="BQ468" i="3"/>
  <c r="BR468" i="3"/>
  <c r="BS468" i="3"/>
  <c r="BT468" i="3"/>
  <c r="BB469" i="3"/>
  <c r="BC469" i="3"/>
  <c r="BD469" i="3"/>
  <c r="BA469" i="3"/>
  <c r="AZ469" i="3"/>
  <c r="BE469" i="3"/>
  <c r="BF469" i="3"/>
  <c r="BG469" i="3"/>
  <c r="BH469" i="3"/>
  <c r="BI469" i="3"/>
  <c r="BJ469" i="3"/>
  <c r="BK469" i="3"/>
  <c r="BM469" i="3"/>
  <c r="BN469" i="3"/>
  <c r="BO469" i="3"/>
  <c r="BP469" i="3"/>
  <c r="BQ469" i="3"/>
  <c r="BR469" i="3"/>
  <c r="BS469" i="3"/>
  <c r="BT469" i="3"/>
  <c r="BL469" i="3"/>
  <c r="BB470" i="3"/>
  <c r="BC470" i="3"/>
  <c r="BA470" i="3"/>
  <c r="BD470" i="3"/>
  <c r="BE470" i="3"/>
  <c r="BF470" i="3"/>
  <c r="BG470" i="3"/>
  <c r="BH470" i="3"/>
  <c r="BI470" i="3"/>
  <c r="BJ470" i="3"/>
  <c r="BK470" i="3"/>
  <c r="BM470" i="3"/>
  <c r="BN470" i="3"/>
  <c r="BO470" i="3"/>
  <c r="BL470" i="3"/>
  <c r="BP470" i="3"/>
  <c r="BQ470" i="3"/>
  <c r="BR470" i="3"/>
  <c r="BS470" i="3"/>
  <c r="BT470" i="3"/>
  <c r="BB471" i="3"/>
  <c r="BC471" i="3"/>
  <c r="BD471" i="3"/>
  <c r="BA471" i="3"/>
  <c r="AZ471" i="3"/>
  <c r="BE471" i="3"/>
  <c r="BF471" i="3"/>
  <c r="BG471" i="3"/>
  <c r="BH471" i="3"/>
  <c r="BI471" i="3"/>
  <c r="BJ471" i="3"/>
  <c r="BK471" i="3"/>
  <c r="BM471" i="3"/>
  <c r="BN471" i="3"/>
  <c r="BO471" i="3"/>
  <c r="BP471" i="3"/>
  <c r="BQ471" i="3"/>
  <c r="BR471" i="3"/>
  <c r="BS471" i="3"/>
  <c r="BT471" i="3"/>
  <c r="BL471" i="3"/>
  <c r="BB472" i="3"/>
  <c r="BC472" i="3"/>
  <c r="BA472" i="3"/>
  <c r="AZ472" i="3"/>
  <c r="BD472" i="3"/>
  <c r="BE472" i="3"/>
  <c r="BF472" i="3"/>
  <c r="BG472" i="3"/>
  <c r="BH472" i="3"/>
  <c r="BI472" i="3"/>
  <c r="BJ472" i="3"/>
  <c r="BK472" i="3"/>
  <c r="BM472" i="3"/>
  <c r="BN472" i="3"/>
  <c r="BO472" i="3"/>
  <c r="BL472" i="3"/>
  <c r="BP472" i="3"/>
  <c r="BQ472" i="3"/>
  <c r="BR472" i="3"/>
  <c r="BS472" i="3"/>
  <c r="BT472" i="3"/>
  <c r="BB473" i="3"/>
  <c r="BC473" i="3"/>
  <c r="BD473" i="3"/>
  <c r="BA473" i="3"/>
  <c r="AZ473" i="3"/>
  <c r="BE473" i="3"/>
  <c r="BF473" i="3"/>
  <c r="BG473" i="3"/>
  <c r="BH473" i="3"/>
  <c r="BI473" i="3"/>
  <c r="BJ473" i="3"/>
  <c r="BK473" i="3"/>
  <c r="BM473" i="3"/>
  <c r="BN473" i="3"/>
  <c r="BO473" i="3"/>
  <c r="BP473" i="3"/>
  <c r="BQ473" i="3"/>
  <c r="BR473" i="3"/>
  <c r="BS473" i="3"/>
  <c r="BT473" i="3"/>
  <c r="BL473" i="3"/>
  <c r="BB474" i="3"/>
  <c r="BC474" i="3"/>
  <c r="BA474" i="3"/>
  <c r="BD474" i="3"/>
  <c r="BE474" i="3"/>
  <c r="BF474" i="3"/>
  <c r="BG474" i="3"/>
  <c r="BH474" i="3"/>
  <c r="BI474" i="3"/>
  <c r="BJ474" i="3"/>
  <c r="BK474" i="3"/>
  <c r="BM474" i="3"/>
  <c r="BN474" i="3"/>
  <c r="BO474" i="3"/>
  <c r="BL474" i="3"/>
  <c r="BP474" i="3"/>
  <c r="BQ474" i="3"/>
  <c r="BR474" i="3"/>
  <c r="BS474" i="3"/>
  <c r="BT474" i="3"/>
  <c r="BB475" i="3"/>
  <c r="BC475" i="3"/>
  <c r="BD475" i="3"/>
  <c r="BA475" i="3"/>
  <c r="AZ475" i="3"/>
  <c r="BE475" i="3"/>
  <c r="BF475" i="3"/>
  <c r="BG475" i="3"/>
  <c r="BH475" i="3"/>
  <c r="BI475" i="3"/>
  <c r="BJ475" i="3"/>
  <c r="BK475" i="3"/>
  <c r="BM475" i="3"/>
  <c r="BN475" i="3"/>
  <c r="BO475" i="3"/>
  <c r="BP475" i="3"/>
  <c r="BQ475" i="3"/>
  <c r="BR475" i="3"/>
  <c r="BS475" i="3"/>
  <c r="BT475" i="3"/>
  <c r="BL475" i="3"/>
  <c r="BB476" i="3"/>
  <c r="BC476" i="3"/>
  <c r="BA476" i="3"/>
  <c r="AZ476" i="3"/>
  <c r="BD476" i="3"/>
  <c r="BE476" i="3"/>
  <c r="BF476" i="3"/>
  <c r="BG476" i="3"/>
  <c r="BH476" i="3"/>
  <c r="BI476" i="3"/>
  <c r="BJ476" i="3"/>
  <c r="BK476" i="3"/>
  <c r="BM476" i="3"/>
  <c r="BN476" i="3"/>
  <c r="BO476" i="3"/>
  <c r="BL476" i="3"/>
  <c r="BP476" i="3"/>
  <c r="BQ476" i="3"/>
  <c r="BR476" i="3"/>
  <c r="BS476" i="3"/>
  <c r="BT476" i="3"/>
  <c r="BB477" i="3"/>
  <c r="BC477" i="3"/>
  <c r="BD477" i="3"/>
  <c r="BA477" i="3"/>
  <c r="AZ477" i="3"/>
  <c r="BE477" i="3"/>
  <c r="BF477" i="3"/>
  <c r="BG477" i="3"/>
  <c r="BH477" i="3"/>
  <c r="BI477" i="3"/>
  <c r="BJ477" i="3"/>
  <c r="BK477" i="3"/>
  <c r="BM477" i="3"/>
  <c r="BN477" i="3"/>
  <c r="BO477" i="3"/>
  <c r="BP477" i="3"/>
  <c r="BQ477" i="3"/>
  <c r="BR477" i="3"/>
  <c r="BS477" i="3"/>
  <c r="BT477" i="3"/>
  <c r="BL477" i="3"/>
  <c r="BB478" i="3"/>
  <c r="BC478" i="3"/>
  <c r="BA478" i="3"/>
  <c r="BD478" i="3"/>
  <c r="BE478" i="3"/>
  <c r="BF478" i="3"/>
  <c r="BG478" i="3"/>
  <c r="BH478" i="3"/>
  <c r="BI478" i="3"/>
  <c r="BJ478" i="3"/>
  <c r="BK478" i="3"/>
  <c r="BM478" i="3"/>
  <c r="BN478" i="3"/>
  <c r="BO478" i="3"/>
  <c r="BL478" i="3"/>
  <c r="BP478" i="3"/>
  <c r="BQ478" i="3"/>
  <c r="BR478" i="3"/>
  <c r="BS478" i="3"/>
  <c r="BT478" i="3"/>
  <c r="BB479" i="3"/>
  <c r="BC479" i="3"/>
  <c r="BD479" i="3"/>
  <c r="BA479" i="3"/>
  <c r="AZ479" i="3"/>
  <c r="BE479" i="3"/>
  <c r="BF479" i="3"/>
  <c r="BG479" i="3"/>
  <c r="BH479" i="3"/>
  <c r="BI479" i="3"/>
  <c r="BJ479" i="3"/>
  <c r="BK479" i="3"/>
  <c r="BM479" i="3"/>
  <c r="BN479" i="3"/>
  <c r="BO479" i="3"/>
  <c r="BP479" i="3"/>
  <c r="BQ479" i="3"/>
  <c r="BR479" i="3"/>
  <c r="BS479" i="3"/>
  <c r="BT479" i="3"/>
  <c r="BL479" i="3"/>
  <c r="BB480" i="3"/>
  <c r="BC480" i="3"/>
  <c r="BA480" i="3"/>
  <c r="AZ480" i="3"/>
  <c r="BD480" i="3"/>
  <c r="BE480" i="3"/>
  <c r="BF480" i="3"/>
  <c r="BG480" i="3"/>
  <c r="BH480" i="3"/>
  <c r="BI480" i="3"/>
  <c r="BJ480" i="3"/>
  <c r="BK480" i="3"/>
  <c r="BM480" i="3"/>
  <c r="BN480" i="3"/>
  <c r="BO480" i="3"/>
  <c r="BL480" i="3"/>
  <c r="BP480" i="3"/>
  <c r="BQ480" i="3"/>
  <c r="BR480" i="3"/>
  <c r="BS480" i="3"/>
  <c r="BT480" i="3"/>
  <c r="BB481" i="3"/>
  <c r="BC481" i="3"/>
  <c r="BD481" i="3"/>
  <c r="BA481" i="3"/>
  <c r="AZ481" i="3"/>
  <c r="BE481" i="3"/>
  <c r="BF481" i="3"/>
  <c r="BG481" i="3"/>
  <c r="BH481" i="3"/>
  <c r="BI481" i="3"/>
  <c r="BJ481" i="3"/>
  <c r="BK481" i="3"/>
  <c r="BM481" i="3"/>
  <c r="BN481" i="3"/>
  <c r="BO481" i="3"/>
  <c r="BP481" i="3"/>
  <c r="BQ481" i="3"/>
  <c r="BR481" i="3"/>
  <c r="BS481" i="3"/>
  <c r="BT481" i="3"/>
  <c r="BL481" i="3"/>
  <c r="BB482" i="3"/>
  <c r="BC482" i="3"/>
  <c r="BA482" i="3"/>
  <c r="BD482" i="3"/>
  <c r="BE482" i="3"/>
  <c r="BF482" i="3"/>
  <c r="BG482" i="3"/>
  <c r="BH482" i="3"/>
  <c r="BI482" i="3"/>
  <c r="BJ482" i="3"/>
  <c r="BK482" i="3"/>
  <c r="BM482" i="3"/>
  <c r="BN482" i="3"/>
  <c r="BO482" i="3"/>
  <c r="BL482" i="3"/>
  <c r="BP482" i="3"/>
  <c r="BQ482" i="3"/>
  <c r="BR482" i="3"/>
  <c r="BS482" i="3"/>
  <c r="BT482" i="3"/>
  <c r="BB483" i="3"/>
  <c r="BC483" i="3"/>
  <c r="BD483" i="3"/>
  <c r="BA483" i="3"/>
  <c r="AZ483" i="3"/>
  <c r="BE483" i="3"/>
  <c r="BF483" i="3"/>
  <c r="BG483" i="3"/>
  <c r="BH483" i="3"/>
  <c r="BI483" i="3"/>
  <c r="BJ483" i="3"/>
  <c r="BK483" i="3"/>
  <c r="BM483" i="3"/>
  <c r="BN483" i="3"/>
  <c r="BO483" i="3"/>
  <c r="BP483" i="3"/>
  <c r="BQ483" i="3"/>
  <c r="BR483" i="3"/>
  <c r="BS483" i="3"/>
  <c r="BT483" i="3"/>
  <c r="BL483" i="3"/>
  <c r="BB484" i="3"/>
  <c r="BC484" i="3"/>
  <c r="BA484" i="3"/>
  <c r="AZ484" i="3"/>
  <c r="BD484" i="3"/>
  <c r="BE484" i="3"/>
  <c r="BF484" i="3"/>
  <c r="BG484" i="3"/>
  <c r="BH484" i="3"/>
  <c r="BI484" i="3"/>
  <c r="BJ484" i="3"/>
  <c r="BK484" i="3"/>
  <c r="BM484" i="3"/>
  <c r="BN484" i="3"/>
  <c r="BO484" i="3"/>
  <c r="BL484" i="3"/>
  <c r="BP484" i="3"/>
  <c r="BQ484" i="3"/>
  <c r="BR484" i="3"/>
  <c r="BS484" i="3"/>
  <c r="BT484" i="3"/>
  <c r="BB485" i="3"/>
  <c r="BC485" i="3"/>
  <c r="BD485" i="3"/>
  <c r="BA485" i="3"/>
  <c r="AZ485" i="3"/>
  <c r="BE485" i="3"/>
  <c r="BF485" i="3"/>
  <c r="BG485" i="3"/>
  <c r="BH485" i="3"/>
  <c r="BI485" i="3"/>
  <c r="BJ485" i="3"/>
  <c r="BK485" i="3"/>
  <c r="BM485" i="3"/>
  <c r="BN485" i="3"/>
  <c r="BO485" i="3"/>
  <c r="BP485" i="3"/>
  <c r="BQ485" i="3"/>
  <c r="BR485" i="3"/>
  <c r="BS485" i="3"/>
  <c r="BT485" i="3"/>
  <c r="BL485" i="3"/>
  <c r="BB486" i="3"/>
  <c r="BC486" i="3"/>
  <c r="BA486" i="3"/>
  <c r="BD486" i="3"/>
  <c r="BE486" i="3"/>
  <c r="BF486" i="3"/>
  <c r="BG486" i="3"/>
  <c r="BH486" i="3"/>
  <c r="BI486" i="3"/>
  <c r="BJ486" i="3"/>
  <c r="BK486" i="3"/>
  <c r="BM486" i="3"/>
  <c r="BN486" i="3"/>
  <c r="BO486" i="3"/>
  <c r="BL486" i="3"/>
  <c r="BP486" i="3"/>
  <c r="BQ486" i="3"/>
  <c r="BR486" i="3"/>
  <c r="BS486" i="3"/>
  <c r="BT486" i="3"/>
  <c r="BB487" i="3"/>
  <c r="BC487" i="3"/>
  <c r="BD487" i="3"/>
  <c r="BA487" i="3"/>
  <c r="AZ487" i="3"/>
  <c r="BE487" i="3"/>
  <c r="BF487" i="3"/>
  <c r="BG487" i="3"/>
  <c r="BH487" i="3"/>
  <c r="BI487" i="3"/>
  <c r="BJ487" i="3"/>
  <c r="BK487" i="3"/>
  <c r="BM487" i="3"/>
  <c r="BN487" i="3"/>
  <c r="BO487" i="3"/>
  <c r="BP487" i="3"/>
  <c r="BQ487" i="3"/>
  <c r="BR487" i="3"/>
  <c r="BS487" i="3"/>
  <c r="BT487" i="3"/>
  <c r="BL487" i="3"/>
  <c r="BB488" i="3"/>
  <c r="BC488" i="3"/>
  <c r="BA488" i="3"/>
  <c r="AZ488" i="3"/>
  <c r="BD488" i="3"/>
  <c r="BE488" i="3"/>
  <c r="BF488" i="3"/>
  <c r="BG488" i="3"/>
  <c r="BH488" i="3"/>
  <c r="BI488" i="3"/>
  <c r="BJ488" i="3"/>
  <c r="BK488" i="3"/>
  <c r="BM488" i="3"/>
  <c r="BN488" i="3"/>
  <c r="BO488" i="3"/>
  <c r="BL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L490" i="3"/>
  <c r="BP490" i="3"/>
  <c r="BQ490" i="3"/>
  <c r="BR490" i="3"/>
  <c r="BS490" i="3"/>
  <c r="BT490" i="3"/>
  <c r="BB491" i="3"/>
  <c r="BC491" i="3"/>
  <c r="BD491" i="3"/>
  <c r="BE491" i="3"/>
  <c r="BF491" i="3"/>
  <c r="BG491" i="3"/>
  <c r="BH491" i="3"/>
  <c r="BI491" i="3"/>
  <c r="BJ491" i="3"/>
  <c r="BA491" i="3"/>
  <c r="AZ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L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L494" i="3"/>
  <c r="BO494" i="3"/>
  <c r="BP494" i="3"/>
  <c r="BQ494" i="3"/>
  <c r="BR494" i="3"/>
  <c r="BS494" i="3"/>
  <c r="BT494" i="3"/>
  <c r="BB495" i="3"/>
  <c r="BC495" i="3"/>
  <c r="BD495" i="3"/>
  <c r="BA495" i="3"/>
  <c r="AZ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L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L498" i="3"/>
  <c r="BO498" i="3"/>
  <c r="BP498" i="3"/>
  <c r="BQ498" i="3"/>
  <c r="BR498" i="3"/>
  <c r="BS498" i="3"/>
  <c r="BT498" i="3"/>
  <c r="BB499" i="3"/>
  <c r="BC499" i="3"/>
  <c r="BD499" i="3"/>
  <c r="BA499" i="3"/>
  <c r="AZ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L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L502" i="3"/>
  <c r="BO502" i="3"/>
  <c r="BP502" i="3"/>
  <c r="BQ502" i="3"/>
  <c r="BR502" i="3"/>
  <c r="BS502" i="3"/>
  <c r="BT502" i="3"/>
  <c r="BB503" i="3"/>
  <c r="BC503" i="3"/>
  <c r="BD503" i="3"/>
  <c r="BA503" i="3"/>
  <c r="AZ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L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L506" i="3"/>
  <c r="BO506" i="3"/>
  <c r="BP506" i="3"/>
  <c r="BQ506" i="3"/>
  <c r="BR506" i="3"/>
  <c r="BS506" i="3"/>
  <c r="BT506" i="3"/>
  <c r="BB507" i="3"/>
  <c r="BC507" i="3"/>
  <c r="BD507" i="3"/>
  <c r="BA507" i="3"/>
  <c r="AZ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L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L510" i="3"/>
  <c r="BO510" i="3"/>
  <c r="BP510" i="3"/>
  <c r="BQ510" i="3"/>
  <c r="BR510" i="3"/>
  <c r="BS510" i="3"/>
  <c r="BT510" i="3"/>
  <c r="BB511" i="3"/>
  <c r="BC511" i="3"/>
  <c r="BD511" i="3"/>
  <c r="BA511" i="3"/>
  <c r="AZ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L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L514" i="3"/>
  <c r="BO514" i="3"/>
  <c r="BP514" i="3"/>
  <c r="BQ514" i="3"/>
  <c r="BR514" i="3"/>
  <c r="BS514" i="3"/>
  <c r="BT514" i="3"/>
  <c r="BB515" i="3"/>
  <c r="BC515" i="3"/>
  <c r="BD515" i="3"/>
  <c r="BA515" i="3"/>
  <c r="AZ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L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c r="BO518" i="3"/>
  <c r="BP518" i="3"/>
  <c r="BQ518" i="3"/>
  <c r="BR518" i="3"/>
  <c r="BS518" i="3"/>
  <c r="BT518" i="3"/>
  <c r="BB519" i="3"/>
  <c r="BC519" i="3"/>
  <c r="BD519" i="3"/>
  <c r="BA519" i="3"/>
  <c r="AZ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L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c r="BO522" i="3"/>
  <c r="BP522" i="3"/>
  <c r="BQ522" i="3"/>
  <c r="BR522" i="3"/>
  <c r="BS522" i="3"/>
  <c r="BT522" i="3"/>
  <c r="BB523" i="3"/>
  <c r="BC523" i="3"/>
  <c r="BD523" i="3"/>
  <c r="BA523" i="3"/>
  <c r="AZ523" i="3"/>
  <c r="BE523" i="3"/>
  <c r="BF523" i="3"/>
  <c r="BG523" i="3"/>
  <c r="BH523" i="3"/>
  <c r="BI523" i="3"/>
  <c r="BJ523" i="3"/>
  <c r="BK523" i="3"/>
  <c r="BM523" i="3"/>
  <c r="BN523" i="3"/>
  <c r="BO523" i="3"/>
  <c r="BP523" i="3"/>
  <c r="BQ523" i="3"/>
  <c r="BR523" i="3"/>
  <c r="BS523" i="3"/>
  <c r="BT523" i="3"/>
  <c r="BL523" i="3"/>
  <c r="BB524" i="3"/>
  <c r="BC524" i="3"/>
  <c r="BA524" i="3"/>
  <c r="AZ524" i="3"/>
  <c r="BD524" i="3"/>
  <c r="BE524" i="3"/>
  <c r="BF524" i="3"/>
  <c r="BG524" i="3"/>
  <c r="BH524" i="3"/>
  <c r="BI524" i="3"/>
  <c r="BJ524" i="3"/>
  <c r="BK524" i="3"/>
  <c r="BM524" i="3"/>
  <c r="BN524" i="3"/>
  <c r="BO524" i="3"/>
  <c r="BL524" i="3"/>
  <c r="BP524" i="3"/>
  <c r="BQ524" i="3"/>
  <c r="BR524" i="3"/>
  <c r="BS524" i="3"/>
  <c r="BT524" i="3"/>
  <c r="BB525" i="3"/>
  <c r="BC525" i="3"/>
  <c r="BD525" i="3"/>
  <c r="BA525" i="3"/>
  <c r="AZ525" i="3"/>
  <c r="BE525" i="3"/>
  <c r="BF525" i="3"/>
  <c r="BG525" i="3"/>
  <c r="BH525" i="3"/>
  <c r="BI525" i="3"/>
  <c r="BJ525" i="3"/>
  <c r="BK525" i="3"/>
  <c r="BM525" i="3"/>
  <c r="BN525" i="3"/>
  <c r="BO525" i="3"/>
  <c r="BP525" i="3"/>
  <c r="BQ525" i="3"/>
  <c r="BR525" i="3"/>
  <c r="BS525" i="3"/>
  <c r="BT525" i="3"/>
  <c r="BL525" i="3"/>
  <c r="BB526" i="3"/>
  <c r="BC526" i="3"/>
  <c r="BA526" i="3"/>
  <c r="AZ526" i="3"/>
  <c r="BD526" i="3"/>
  <c r="BE526" i="3"/>
  <c r="BF526" i="3"/>
  <c r="BG526" i="3"/>
  <c r="BH526" i="3"/>
  <c r="BI526" i="3"/>
  <c r="BJ526" i="3"/>
  <c r="BK526" i="3"/>
  <c r="BM526" i="3"/>
  <c r="BN526" i="3"/>
  <c r="BO526" i="3"/>
  <c r="BL526" i="3"/>
  <c r="BP526" i="3"/>
  <c r="BQ526" i="3"/>
  <c r="BR526" i="3"/>
  <c r="BS526" i="3"/>
  <c r="BT526" i="3"/>
  <c r="BB527" i="3"/>
  <c r="BC527" i="3"/>
  <c r="BD527" i="3"/>
  <c r="BA527" i="3"/>
  <c r="AZ527" i="3"/>
  <c r="BE527" i="3"/>
  <c r="BF527" i="3"/>
  <c r="BG527" i="3"/>
  <c r="BH527" i="3"/>
  <c r="BI527" i="3"/>
  <c r="BJ527" i="3"/>
  <c r="BK527" i="3"/>
  <c r="BM527" i="3"/>
  <c r="BN527" i="3"/>
  <c r="BO527" i="3"/>
  <c r="BP527" i="3"/>
  <c r="BQ527" i="3"/>
  <c r="BR527" i="3"/>
  <c r="BS527" i="3"/>
  <c r="BT527" i="3"/>
  <c r="BL527" i="3"/>
  <c r="BB528" i="3"/>
  <c r="BC528" i="3"/>
  <c r="BA528" i="3"/>
  <c r="AZ528" i="3"/>
  <c r="BD528" i="3"/>
  <c r="BE528" i="3"/>
  <c r="BF528" i="3"/>
  <c r="BG528" i="3"/>
  <c r="BH528" i="3"/>
  <c r="BI528" i="3"/>
  <c r="BJ528" i="3"/>
  <c r="BK528" i="3"/>
  <c r="BM528" i="3"/>
  <c r="BN528" i="3"/>
  <c r="BO528" i="3"/>
  <c r="BL528" i="3"/>
  <c r="BP528" i="3"/>
  <c r="BQ528" i="3"/>
  <c r="BR528" i="3"/>
  <c r="BS528" i="3"/>
  <c r="BT528" i="3"/>
  <c r="BB529" i="3"/>
  <c r="BC529" i="3"/>
  <c r="BD529" i="3"/>
  <c r="BA529" i="3"/>
  <c r="AZ529" i="3"/>
  <c r="BE529" i="3"/>
  <c r="BF529" i="3"/>
  <c r="BG529" i="3"/>
  <c r="BH529" i="3"/>
  <c r="BI529" i="3"/>
  <c r="BJ529" i="3"/>
  <c r="BK529" i="3"/>
  <c r="BM529" i="3"/>
  <c r="BN529" i="3"/>
  <c r="BO529" i="3"/>
  <c r="BP529" i="3"/>
  <c r="BQ529" i="3"/>
  <c r="BR529" i="3"/>
  <c r="BS529" i="3"/>
  <c r="BT529" i="3"/>
  <c r="BL529" i="3"/>
  <c r="BB530" i="3"/>
  <c r="BC530" i="3"/>
  <c r="BA530" i="3"/>
  <c r="AZ530" i="3"/>
  <c r="BD530" i="3"/>
  <c r="BE530" i="3"/>
  <c r="BF530" i="3"/>
  <c r="BG530" i="3"/>
  <c r="BH530" i="3"/>
  <c r="BI530" i="3"/>
  <c r="BJ530" i="3"/>
  <c r="BK530" i="3"/>
  <c r="BM530" i="3"/>
  <c r="BN530" i="3"/>
  <c r="BO530" i="3"/>
  <c r="BL530" i="3"/>
  <c r="BP530" i="3"/>
  <c r="BQ530" i="3"/>
  <c r="BR530" i="3"/>
  <c r="BS530" i="3"/>
  <c r="BT530" i="3"/>
  <c r="BB531" i="3"/>
  <c r="BC531" i="3"/>
  <c r="BD531" i="3"/>
  <c r="BA531" i="3"/>
  <c r="AZ531" i="3"/>
  <c r="BE531" i="3"/>
  <c r="BF531" i="3"/>
  <c r="BG531" i="3"/>
  <c r="BH531" i="3"/>
  <c r="BI531" i="3"/>
  <c r="BJ531" i="3"/>
  <c r="BK531" i="3"/>
  <c r="BM531" i="3"/>
  <c r="BN531" i="3"/>
  <c r="BO531" i="3"/>
  <c r="BP531" i="3"/>
  <c r="BQ531" i="3"/>
  <c r="BR531" i="3"/>
  <c r="BS531" i="3"/>
  <c r="BT531" i="3"/>
  <c r="BL531" i="3"/>
  <c r="BB532" i="3"/>
  <c r="BC532" i="3"/>
  <c r="BA532" i="3"/>
  <c r="AZ532" i="3"/>
  <c r="BD532" i="3"/>
  <c r="BE532" i="3"/>
  <c r="BF532" i="3"/>
  <c r="BG532" i="3"/>
  <c r="BH532" i="3"/>
  <c r="BI532" i="3"/>
  <c r="BJ532" i="3"/>
  <c r="BK532" i="3"/>
  <c r="BM532" i="3"/>
  <c r="BN532" i="3"/>
  <c r="BO532" i="3"/>
  <c r="BL532" i="3"/>
  <c r="BP532" i="3"/>
  <c r="BQ532" i="3"/>
  <c r="BR532" i="3"/>
  <c r="BS532" i="3"/>
  <c r="BT532" i="3"/>
  <c r="BB533" i="3"/>
  <c r="BC533" i="3"/>
  <c r="BD533" i="3"/>
  <c r="BA533" i="3"/>
  <c r="AZ533" i="3"/>
  <c r="BE533" i="3"/>
  <c r="BF533" i="3"/>
  <c r="BG533" i="3"/>
  <c r="BH533" i="3"/>
  <c r="BI533" i="3"/>
  <c r="BJ533" i="3"/>
  <c r="BK533" i="3"/>
  <c r="BM533" i="3"/>
  <c r="BN533" i="3"/>
  <c r="BO533" i="3"/>
  <c r="BP533" i="3"/>
  <c r="BQ533" i="3"/>
  <c r="BR533" i="3"/>
  <c r="BS533" i="3"/>
  <c r="BT533" i="3"/>
  <c r="BL533" i="3"/>
  <c r="BB534" i="3"/>
  <c r="BC534" i="3"/>
  <c r="BA534" i="3"/>
  <c r="AZ534" i="3"/>
  <c r="BD534" i="3"/>
  <c r="BE534" i="3"/>
  <c r="BF534" i="3"/>
  <c r="BG534" i="3"/>
  <c r="BH534" i="3"/>
  <c r="BI534" i="3"/>
  <c r="BJ534" i="3"/>
  <c r="BK534" i="3"/>
  <c r="BM534" i="3"/>
  <c r="BN534" i="3"/>
  <c r="BO534" i="3"/>
  <c r="BL534" i="3"/>
  <c r="BP534" i="3"/>
  <c r="BQ534" i="3"/>
  <c r="BR534" i="3"/>
  <c r="BS534" i="3"/>
  <c r="BT534" i="3"/>
  <c r="BB535" i="3"/>
  <c r="BC535" i="3"/>
  <c r="BD535" i="3"/>
  <c r="BA535" i="3"/>
  <c r="AZ535" i="3"/>
  <c r="BE535" i="3"/>
  <c r="BF535" i="3"/>
  <c r="BG535" i="3"/>
  <c r="BH535" i="3"/>
  <c r="BI535" i="3"/>
  <c r="BJ535" i="3"/>
  <c r="BK535" i="3"/>
  <c r="BM535" i="3"/>
  <c r="BN535" i="3"/>
  <c r="BO535" i="3"/>
  <c r="BP535" i="3"/>
  <c r="BQ535" i="3"/>
  <c r="BR535" i="3"/>
  <c r="BS535" i="3"/>
  <c r="BT535" i="3"/>
  <c r="BL535" i="3"/>
  <c r="BB536" i="3"/>
  <c r="BC536" i="3"/>
  <c r="BA536" i="3"/>
  <c r="BD536" i="3"/>
  <c r="BE536" i="3"/>
  <c r="BF536" i="3"/>
  <c r="BG536" i="3"/>
  <c r="BH536" i="3"/>
  <c r="BI536" i="3"/>
  <c r="BJ536" i="3"/>
  <c r="BK536" i="3"/>
  <c r="BM536" i="3"/>
  <c r="BN536" i="3"/>
  <c r="BO536" i="3"/>
  <c r="BL536" i="3"/>
  <c r="BP536" i="3"/>
  <c r="BQ536" i="3"/>
  <c r="BR536" i="3"/>
  <c r="BS536" i="3"/>
  <c r="BT536" i="3"/>
  <c r="BB537" i="3"/>
  <c r="BC537" i="3"/>
  <c r="BD537" i="3"/>
  <c r="BA537" i="3"/>
  <c r="AZ537" i="3"/>
  <c r="BE537" i="3"/>
  <c r="BF537" i="3"/>
  <c r="BG537" i="3"/>
  <c r="BH537" i="3"/>
  <c r="BI537" i="3"/>
  <c r="BJ537" i="3"/>
  <c r="BK537" i="3"/>
  <c r="BM537" i="3"/>
  <c r="BN537" i="3"/>
  <c r="BO537" i="3"/>
  <c r="BP537" i="3"/>
  <c r="BQ537" i="3"/>
  <c r="BR537" i="3"/>
  <c r="BS537" i="3"/>
  <c r="BT537" i="3"/>
  <c r="BL537" i="3"/>
  <c r="BB538" i="3"/>
  <c r="BC538" i="3"/>
  <c r="BA538" i="3"/>
  <c r="AZ538" i="3"/>
  <c r="BD538" i="3"/>
  <c r="BE538" i="3"/>
  <c r="BF538" i="3"/>
  <c r="BG538" i="3"/>
  <c r="BH538" i="3"/>
  <c r="BI538" i="3"/>
  <c r="BJ538" i="3"/>
  <c r="BK538" i="3"/>
  <c r="BM538" i="3"/>
  <c r="BN538" i="3"/>
  <c r="BO538" i="3"/>
  <c r="BL538" i="3"/>
  <c r="BP538" i="3"/>
  <c r="BQ538" i="3"/>
  <c r="BR538" i="3"/>
  <c r="BS538" i="3"/>
  <c r="BT538" i="3"/>
  <c r="BB539" i="3"/>
  <c r="BC539" i="3"/>
  <c r="BD539" i="3"/>
  <c r="BA539" i="3"/>
  <c r="AZ539" i="3"/>
  <c r="BE539" i="3"/>
  <c r="BF539" i="3"/>
  <c r="BG539" i="3"/>
  <c r="BH539" i="3"/>
  <c r="BI539" i="3"/>
  <c r="BJ539" i="3"/>
  <c r="BK539" i="3"/>
  <c r="BM539" i="3"/>
  <c r="BN539" i="3"/>
  <c r="BO539" i="3"/>
  <c r="BP539" i="3"/>
  <c r="BQ539" i="3"/>
  <c r="BR539" i="3"/>
  <c r="BS539" i="3"/>
  <c r="BT539" i="3"/>
  <c r="BL539" i="3"/>
  <c r="BB540" i="3"/>
  <c r="BC540" i="3"/>
  <c r="BA540" i="3"/>
  <c r="AZ540" i="3"/>
  <c r="BD540" i="3"/>
  <c r="BE540" i="3"/>
  <c r="BF540" i="3"/>
  <c r="BG540" i="3"/>
  <c r="BH540" i="3"/>
  <c r="BI540" i="3"/>
  <c r="BJ540" i="3"/>
  <c r="BK540" i="3"/>
  <c r="BM540" i="3"/>
  <c r="BN540" i="3"/>
  <c r="BO540" i="3"/>
  <c r="BL540" i="3"/>
  <c r="BP540" i="3"/>
  <c r="BQ540" i="3"/>
  <c r="BR540" i="3"/>
  <c r="BS540" i="3"/>
  <c r="BT540" i="3"/>
  <c r="BB541" i="3"/>
  <c r="BC541" i="3"/>
  <c r="BD541" i="3"/>
  <c r="BA541" i="3"/>
  <c r="AZ541" i="3"/>
  <c r="BE541" i="3"/>
  <c r="BF541" i="3"/>
  <c r="BG541" i="3"/>
  <c r="BH541" i="3"/>
  <c r="BI541" i="3"/>
  <c r="BJ541" i="3"/>
  <c r="BK541" i="3"/>
  <c r="BM541" i="3"/>
  <c r="BN541" i="3"/>
  <c r="BO541" i="3"/>
  <c r="BP541" i="3"/>
  <c r="BQ541" i="3"/>
  <c r="BR541" i="3"/>
  <c r="BS541" i="3"/>
  <c r="BT541" i="3"/>
  <c r="BL541" i="3"/>
  <c r="BB542" i="3"/>
  <c r="BC542" i="3"/>
  <c r="BA542" i="3"/>
  <c r="AZ542" i="3"/>
  <c r="BD542" i="3"/>
  <c r="BE542" i="3"/>
  <c r="BF542" i="3"/>
  <c r="BG542" i="3"/>
  <c r="BH542" i="3"/>
  <c r="BI542" i="3"/>
  <c r="BJ542" i="3"/>
  <c r="BK542" i="3"/>
  <c r="BM542" i="3"/>
  <c r="BN542" i="3"/>
  <c r="BO542" i="3"/>
  <c r="BL542" i="3"/>
  <c r="BP542" i="3"/>
  <c r="BQ542" i="3"/>
  <c r="BR542" i="3"/>
  <c r="BS542" i="3"/>
  <c r="BT542" i="3"/>
  <c r="BB543" i="3"/>
  <c r="BC543" i="3"/>
  <c r="BD543" i="3"/>
  <c r="BA543" i="3"/>
  <c r="AZ543" i="3"/>
  <c r="BE543" i="3"/>
  <c r="BF543" i="3"/>
  <c r="BG543" i="3"/>
  <c r="BH543" i="3"/>
  <c r="BI543" i="3"/>
  <c r="BJ543" i="3"/>
  <c r="BK543" i="3"/>
  <c r="BM543" i="3"/>
  <c r="BN543" i="3"/>
  <c r="BO543" i="3"/>
  <c r="BP543" i="3"/>
  <c r="BQ543" i="3"/>
  <c r="BR543" i="3"/>
  <c r="BS543" i="3"/>
  <c r="BT543" i="3"/>
  <c r="BL543" i="3"/>
  <c r="BB544" i="3"/>
  <c r="BC544" i="3"/>
  <c r="BA544" i="3"/>
  <c r="AZ544" i="3"/>
  <c r="BD544" i="3"/>
  <c r="BE544" i="3"/>
  <c r="BF544" i="3"/>
  <c r="BG544" i="3"/>
  <c r="BH544" i="3"/>
  <c r="BI544" i="3"/>
  <c r="BJ544" i="3"/>
  <c r="BK544" i="3"/>
  <c r="BM544" i="3"/>
  <c r="BN544" i="3"/>
  <c r="BO544" i="3"/>
  <c r="BL544" i="3"/>
  <c r="BP544" i="3"/>
  <c r="BQ544" i="3"/>
  <c r="BR544" i="3"/>
  <c r="BS544" i="3"/>
  <c r="BT544" i="3"/>
  <c r="BB545" i="3"/>
  <c r="BC545" i="3"/>
  <c r="BD545" i="3"/>
  <c r="BA545" i="3"/>
  <c r="AZ545" i="3"/>
  <c r="BE545" i="3"/>
  <c r="BF545" i="3"/>
  <c r="BG545" i="3"/>
  <c r="BH545" i="3"/>
  <c r="BI545" i="3"/>
  <c r="BJ545" i="3"/>
  <c r="BK545" i="3"/>
  <c r="BM545" i="3"/>
  <c r="BN545" i="3"/>
  <c r="BO545" i="3"/>
  <c r="BP545" i="3"/>
  <c r="BQ545" i="3"/>
  <c r="BR545" i="3"/>
  <c r="BS545" i="3"/>
  <c r="BT545" i="3"/>
  <c r="BL545" i="3"/>
  <c r="BB546" i="3"/>
  <c r="BC546" i="3"/>
  <c r="BA546" i="3"/>
  <c r="AZ546" i="3"/>
  <c r="BD546" i="3"/>
  <c r="BE546" i="3"/>
  <c r="BF546" i="3"/>
  <c r="BG546" i="3"/>
  <c r="BH546" i="3"/>
  <c r="BI546" i="3"/>
  <c r="BJ546" i="3"/>
  <c r="BK546" i="3"/>
  <c r="BM546" i="3"/>
  <c r="BN546" i="3"/>
  <c r="BO546" i="3"/>
  <c r="BL546" i="3"/>
  <c r="BP546" i="3"/>
  <c r="BQ546" i="3"/>
  <c r="BR546" i="3"/>
  <c r="BS546" i="3"/>
  <c r="BT546" i="3"/>
  <c r="BB547" i="3"/>
  <c r="BC547" i="3"/>
  <c r="BD547" i="3"/>
  <c r="BA547" i="3"/>
  <c r="AZ547" i="3"/>
  <c r="BE547" i="3"/>
  <c r="BF547" i="3"/>
  <c r="BG547" i="3"/>
  <c r="BH547" i="3"/>
  <c r="BI547" i="3"/>
  <c r="BJ547" i="3"/>
  <c r="BK547" i="3"/>
  <c r="BM547" i="3"/>
  <c r="BN547" i="3"/>
  <c r="BO547" i="3"/>
  <c r="BP547" i="3"/>
  <c r="BQ547" i="3"/>
  <c r="BR547" i="3"/>
  <c r="BS547" i="3"/>
  <c r="BT547" i="3"/>
  <c r="BL547" i="3"/>
  <c r="BB548" i="3"/>
  <c r="BC548" i="3"/>
  <c r="BA548" i="3"/>
  <c r="AZ548" i="3"/>
  <c r="BD548" i="3"/>
  <c r="BE548" i="3"/>
  <c r="BF548" i="3"/>
  <c r="BG548" i="3"/>
  <c r="BH548" i="3"/>
  <c r="BI548" i="3"/>
  <c r="BJ548" i="3"/>
  <c r="BK548" i="3"/>
  <c r="BM548" i="3"/>
  <c r="BN548" i="3"/>
  <c r="BO548" i="3"/>
  <c r="BL548" i="3"/>
  <c r="BP548" i="3"/>
  <c r="BQ548" i="3"/>
  <c r="BR548" i="3"/>
  <c r="BS548" i="3"/>
  <c r="BT548" i="3"/>
  <c r="BB549" i="3"/>
  <c r="BC549" i="3"/>
  <c r="BD549" i="3"/>
  <c r="BA549" i="3"/>
  <c r="AZ549" i="3"/>
  <c r="BE549" i="3"/>
  <c r="BF549" i="3"/>
  <c r="BG549" i="3"/>
  <c r="BH549" i="3"/>
  <c r="BI549" i="3"/>
  <c r="BJ549" i="3"/>
  <c r="BK549" i="3"/>
  <c r="BM549" i="3"/>
  <c r="BN549" i="3"/>
  <c r="BO549" i="3"/>
  <c r="BP549" i="3"/>
  <c r="BQ549" i="3"/>
  <c r="BR549" i="3"/>
  <c r="BS549" i="3"/>
  <c r="BT549" i="3"/>
  <c r="BL549" i="3"/>
  <c r="BB550" i="3"/>
  <c r="BC550" i="3"/>
  <c r="BA550" i="3"/>
  <c r="BD550" i="3"/>
  <c r="BE550" i="3"/>
  <c r="BF550" i="3"/>
  <c r="BG550" i="3"/>
  <c r="BH550" i="3"/>
  <c r="BI550" i="3"/>
  <c r="BJ550" i="3"/>
  <c r="BK550" i="3"/>
  <c r="BM550" i="3"/>
  <c r="BN550" i="3"/>
  <c r="BO550" i="3"/>
  <c r="BL550" i="3"/>
  <c r="BP550" i="3"/>
  <c r="BQ550" i="3"/>
  <c r="BR550" i="3"/>
  <c r="BS550" i="3"/>
  <c r="BT550" i="3"/>
  <c r="BB551" i="3"/>
  <c r="BC551" i="3"/>
  <c r="BD551" i="3"/>
  <c r="BA551" i="3"/>
  <c r="AZ551" i="3"/>
  <c r="BE551" i="3"/>
  <c r="BF551" i="3"/>
  <c r="BG551" i="3"/>
  <c r="BH551" i="3"/>
  <c r="BI551" i="3"/>
  <c r="BJ551" i="3"/>
  <c r="BK551" i="3"/>
  <c r="BM551" i="3"/>
  <c r="BN551" i="3"/>
  <c r="BO551" i="3"/>
  <c r="BP551" i="3"/>
  <c r="BQ551" i="3"/>
  <c r="BR551" i="3"/>
  <c r="BS551" i="3"/>
  <c r="BT551" i="3"/>
  <c r="BL551" i="3"/>
  <c r="BB552" i="3"/>
  <c r="BC552" i="3"/>
  <c r="BA552" i="3"/>
  <c r="BD552" i="3"/>
  <c r="BE552" i="3"/>
  <c r="BF552" i="3"/>
  <c r="BG552" i="3"/>
  <c r="BH552" i="3"/>
  <c r="BI552" i="3"/>
  <c r="BJ552" i="3"/>
  <c r="BK552" i="3"/>
  <c r="BM552" i="3"/>
  <c r="BN552" i="3"/>
  <c r="BO552" i="3"/>
  <c r="BL552" i="3"/>
  <c r="BP552" i="3"/>
  <c r="BQ552" i="3"/>
  <c r="BR552" i="3"/>
  <c r="BS552" i="3"/>
  <c r="BT552" i="3"/>
  <c r="BB553" i="3"/>
  <c r="BC553" i="3"/>
  <c r="BD553" i="3"/>
  <c r="BA553" i="3"/>
  <c r="AZ553" i="3"/>
  <c r="BE553" i="3"/>
  <c r="BF553" i="3"/>
  <c r="BG553" i="3"/>
  <c r="BH553" i="3"/>
  <c r="BI553" i="3"/>
  <c r="BJ553" i="3"/>
  <c r="BK553" i="3"/>
  <c r="BM553" i="3"/>
  <c r="BN553" i="3"/>
  <c r="BO553" i="3"/>
  <c r="BP553" i="3"/>
  <c r="BQ553" i="3"/>
  <c r="BR553" i="3"/>
  <c r="BS553" i="3"/>
  <c r="BT553" i="3"/>
  <c r="BL553" i="3"/>
  <c r="BB554" i="3"/>
  <c r="BC554" i="3"/>
  <c r="BA554" i="3"/>
  <c r="AZ554" i="3"/>
  <c r="BD554" i="3"/>
  <c r="BE554" i="3"/>
  <c r="BF554" i="3"/>
  <c r="BG554" i="3"/>
  <c r="BH554" i="3"/>
  <c r="BI554" i="3"/>
  <c r="BJ554" i="3"/>
  <c r="BK554" i="3"/>
  <c r="BM554" i="3"/>
  <c r="BN554" i="3"/>
  <c r="BO554" i="3"/>
  <c r="BL554" i="3"/>
  <c r="BP554" i="3"/>
  <c r="BQ554" i="3"/>
  <c r="BR554" i="3"/>
  <c r="BS554" i="3"/>
  <c r="BT554" i="3"/>
  <c r="BB555" i="3"/>
  <c r="BC555" i="3"/>
  <c r="BD555" i="3"/>
  <c r="BA555" i="3"/>
  <c r="AZ555" i="3"/>
  <c r="BE555" i="3"/>
  <c r="BF555" i="3"/>
  <c r="BG555" i="3"/>
  <c r="BH555" i="3"/>
  <c r="BI555" i="3"/>
  <c r="BJ555" i="3"/>
  <c r="BK555" i="3"/>
  <c r="BM555" i="3"/>
  <c r="BN555" i="3"/>
  <c r="BO555" i="3"/>
  <c r="BP555" i="3"/>
  <c r="BQ555" i="3"/>
  <c r="BR555" i="3"/>
  <c r="BS555" i="3"/>
  <c r="BT555" i="3"/>
  <c r="BL555" i="3"/>
  <c r="BB556" i="3"/>
  <c r="BC556" i="3"/>
  <c r="BA556" i="3"/>
  <c r="BD556" i="3"/>
  <c r="BE556" i="3"/>
  <c r="BF556" i="3"/>
  <c r="BG556" i="3"/>
  <c r="BH556" i="3"/>
  <c r="BI556" i="3"/>
  <c r="BJ556" i="3"/>
  <c r="BK556" i="3"/>
  <c r="BM556" i="3"/>
  <c r="BN556" i="3"/>
  <c r="BO556" i="3"/>
  <c r="BL556" i="3"/>
  <c r="BP556" i="3"/>
  <c r="BQ556" i="3"/>
  <c r="BR556" i="3"/>
  <c r="BS556" i="3"/>
  <c r="BT556" i="3"/>
  <c r="BB557" i="3"/>
  <c r="BC557" i="3"/>
  <c r="BD557" i="3"/>
  <c r="BA557" i="3"/>
  <c r="AZ557" i="3"/>
  <c r="BE557" i="3"/>
  <c r="BF557" i="3"/>
  <c r="BG557" i="3"/>
  <c r="BH557" i="3"/>
  <c r="BI557" i="3"/>
  <c r="BJ557" i="3"/>
  <c r="BK557" i="3"/>
  <c r="BM557" i="3"/>
  <c r="BN557" i="3"/>
  <c r="BO557" i="3"/>
  <c r="BP557" i="3"/>
  <c r="BQ557" i="3"/>
  <c r="BR557" i="3"/>
  <c r="BS557" i="3"/>
  <c r="BT557" i="3"/>
  <c r="BL557" i="3"/>
  <c r="BB558" i="3"/>
  <c r="BC558" i="3"/>
  <c r="BA558" i="3"/>
  <c r="AZ558" i="3"/>
  <c r="BD558" i="3"/>
  <c r="BE558" i="3"/>
  <c r="BF558" i="3"/>
  <c r="BG558" i="3"/>
  <c r="BH558" i="3"/>
  <c r="BI558" i="3"/>
  <c r="BJ558" i="3"/>
  <c r="BK558" i="3"/>
  <c r="BM558" i="3"/>
  <c r="BN558" i="3"/>
  <c r="BO558" i="3"/>
  <c r="BL558" i="3"/>
  <c r="BP558" i="3"/>
  <c r="BQ558" i="3"/>
  <c r="BR558" i="3"/>
  <c r="BS558" i="3"/>
  <c r="BT558" i="3"/>
  <c r="BB559" i="3"/>
  <c r="BC559" i="3"/>
  <c r="BD559" i="3"/>
  <c r="BA559" i="3"/>
  <c r="AZ559" i="3"/>
  <c r="BE559" i="3"/>
  <c r="BF559" i="3"/>
  <c r="BG559" i="3"/>
  <c r="BH559" i="3"/>
  <c r="BI559" i="3"/>
  <c r="BJ559" i="3"/>
  <c r="BK559" i="3"/>
  <c r="BM559" i="3"/>
  <c r="BN559" i="3"/>
  <c r="BO559" i="3"/>
  <c r="BP559" i="3"/>
  <c r="BQ559" i="3"/>
  <c r="BR559" i="3"/>
  <c r="BS559" i="3"/>
  <c r="BT559" i="3"/>
  <c r="BL559" i="3"/>
  <c r="BB560" i="3"/>
  <c r="BC560" i="3"/>
  <c r="BA560" i="3"/>
  <c r="AZ560" i="3"/>
  <c r="BD560" i="3"/>
  <c r="BE560" i="3"/>
  <c r="BF560" i="3"/>
  <c r="BG560" i="3"/>
  <c r="BH560" i="3"/>
  <c r="BI560" i="3"/>
  <c r="BJ560" i="3"/>
  <c r="BK560" i="3"/>
  <c r="BM560" i="3"/>
  <c r="BN560" i="3"/>
  <c r="BO560" i="3"/>
  <c r="BL560" i="3"/>
  <c r="BP560" i="3"/>
  <c r="BQ560" i="3"/>
  <c r="BR560" i="3"/>
  <c r="BS560" i="3"/>
  <c r="BT560" i="3"/>
  <c r="BB561" i="3"/>
  <c r="BC561" i="3"/>
  <c r="BD561" i="3"/>
  <c r="BA561" i="3"/>
  <c r="AZ561" i="3"/>
  <c r="BE561" i="3"/>
  <c r="BF561" i="3"/>
  <c r="BG561" i="3"/>
  <c r="BH561" i="3"/>
  <c r="BI561" i="3"/>
  <c r="BJ561" i="3"/>
  <c r="BK561" i="3"/>
  <c r="BM561" i="3"/>
  <c r="BN561" i="3"/>
  <c r="BO561" i="3"/>
  <c r="BP561" i="3"/>
  <c r="BQ561" i="3"/>
  <c r="BR561" i="3"/>
  <c r="BS561" i="3"/>
  <c r="BT561" i="3"/>
  <c r="BL561" i="3"/>
  <c r="BB562" i="3"/>
  <c r="BC562" i="3"/>
  <c r="BA562" i="3"/>
  <c r="BD562" i="3"/>
  <c r="BE562" i="3"/>
  <c r="BF562" i="3"/>
  <c r="BG562" i="3"/>
  <c r="BH562" i="3"/>
  <c r="BI562" i="3"/>
  <c r="BJ562" i="3"/>
  <c r="BK562" i="3"/>
  <c r="BM562" i="3"/>
  <c r="BN562" i="3"/>
  <c r="BO562" i="3"/>
  <c r="BL562" i="3"/>
  <c r="BP562" i="3"/>
  <c r="BQ562" i="3"/>
  <c r="BR562" i="3"/>
  <c r="BS562" i="3"/>
  <c r="BT562" i="3"/>
  <c r="BB563" i="3"/>
  <c r="BC563" i="3"/>
  <c r="BD563" i="3"/>
  <c r="BA563" i="3"/>
  <c r="AZ563" i="3"/>
  <c r="BE563" i="3"/>
  <c r="BF563" i="3"/>
  <c r="BG563" i="3"/>
  <c r="BH563" i="3"/>
  <c r="BI563" i="3"/>
  <c r="BJ563" i="3"/>
  <c r="BK563" i="3"/>
  <c r="BM563" i="3"/>
  <c r="BN563" i="3"/>
  <c r="BO563" i="3"/>
  <c r="BP563" i="3"/>
  <c r="BQ563" i="3"/>
  <c r="BR563" i="3"/>
  <c r="BS563" i="3"/>
  <c r="BT563" i="3"/>
  <c r="BL563" i="3"/>
  <c r="BB564" i="3"/>
  <c r="BC564" i="3"/>
  <c r="BA564" i="3"/>
  <c r="BD564" i="3"/>
  <c r="BE564" i="3"/>
  <c r="BF564" i="3"/>
  <c r="BG564" i="3"/>
  <c r="BH564" i="3"/>
  <c r="BI564" i="3"/>
  <c r="BJ564" i="3"/>
  <c r="BK564" i="3"/>
  <c r="BM564" i="3"/>
  <c r="BN564" i="3"/>
  <c r="BO564" i="3"/>
  <c r="BL564" i="3"/>
  <c r="BP564" i="3"/>
  <c r="BQ564" i="3"/>
  <c r="BR564" i="3"/>
  <c r="BS564" i="3"/>
  <c r="BT564" i="3"/>
  <c r="BB565" i="3"/>
  <c r="BC565" i="3"/>
  <c r="BD565" i="3"/>
  <c r="BA565" i="3"/>
  <c r="AZ565" i="3"/>
  <c r="BE565" i="3"/>
  <c r="BF565" i="3"/>
  <c r="BG565" i="3"/>
  <c r="BH565" i="3"/>
  <c r="BI565" i="3"/>
  <c r="BJ565" i="3"/>
  <c r="BK565" i="3"/>
  <c r="BM565" i="3"/>
  <c r="BN565" i="3"/>
  <c r="BO565" i="3"/>
  <c r="BP565" i="3"/>
  <c r="BQ565" i="3"/>
  <c r="BR565" i="3"/>
  <c r="BS565" i="3"/>
  <c r="BT565" i="3"/>
  <c r="BL565" i="3"/>
  <c r="BB566" i="3"/>
  <c r="BC566" i="3"/>
  <c r="BA566" i="3"/>
  <c r="AZ566" i="3"/>
  <c r="BD566" i="3"/>
  <c r="BE566" i="3"/>
  <c r="BF566" i="3"/>
  <c r="BG566" i="3"/>
  <c r="BH566" i="3"/>
  <c r="BI566" i="3"/>
  <c r="BJ566" i="3"/>
  <c r="BK566" i="3"/>
  <c r="BM566" i="3"/>
  <c r="BN566" i="3"/>
  <c r="BO566" i="3"/>
  <c r="BL566" i="3"/>
  <c r="BP566" i="3"/>
  <c r="BQ566" i="3"/>
  <c r="BR566" i="3"/>
  <c r="BS566" i="3"/>
  <c r="BT566" i="3"/>
  <c r="BB567" i="3"/>
  <c r="BC567" i="3"/>
  <c r="BD567" i="3"/>
  <c r="BA567" i="3"/>
  <c r="AZ567" i="3"/>
  <c r="BE567" i="3"/>
  <c r="BF567" i="3"/>
  <c r="BG567" i="3"/>
  <c r="BH567" i="3"/>
  <c r="BI567" i="3"/>
  <c r="BJ567" i="3"/>
  <c r="BK567" i="3"/>
  <c r="BM567" i="3"/>
  <c r="BN567" i="3"/>
  <c r="BO567" i="3"/>
  <c r="BP567" i="3"/>
  <c r="BQ567" i="3"/>
  <c r="BR567" i="3"/>
  <c r="BS567" i="3"/>
  <c r="BT567" i="3"/>
  <c r="BL567" i="3"/>
  <c r="BB568" i="3"/>
  <c r="BC568" i="3"/>
  <c r="BA568" i="3"/>
  <c r="BD568" i="3"/>
  <c r="BE568" i="3"/>
  <c r="BF568" i="3"/>
  <c r="BG568" i="3"/>
  <c r="BH568" i="3"/>
  <c r="BI568" i="3"/>
  <c r="BJ568" i="3"/>
  <c r="BK568" i="3"/>
  <c r="BM568" i="3"/>
  <c r="BN568" i="3"/>
  <c r="BO568" i="3"/>
  <c r="BL568" i="3"/>
  <c r="BP568" i="3"/>
  <c r="BQ568" i="3"/>
  <c r="BR568" i="3"/>
  <c r="BS568" i="3"/>
  <c r="BT568" i="3"/>
  <c r="BB569" i="3"/>
  <c r="BC569" i="3"/>
  <c r="BD569" i="3"/>
  <c r="BA569" i="3"/>
  <c r="AZ569" i="3"/>
  <c r="BE569" i="3"/>
  <c r="BF569" i="3"/>
  <c r="BG569" i="3"/>
  <c r="BH569" i="3"/>
  <c r="BI569" i="3"/>
  <c r="BJ569" i="3"/>
  <c r="BK569" i="3"/>
  <c r="BM569" i="3"/>
  <c r="BN569" i="3"/>
  <c r="BO569" i="3"/>
  <c r="BP569" i="3"/>
  <c r="BQ569" i="3"/>
  <c r="BR569" i="3"/>
  <c r="BS569" i="3"/>
  <c r="BT569" i="3"/>
  <c r="BL569" i="3"/>
  <c r="BB570" i="3"/>
  <c r="BC570" i="3"/>
  <c r="BA570" i="3"/>
  <c r="AZ570" i="3"/>
  <c r="BD570" i="3"/>
  <c r="BE570" i="3"/>
  <c r="BF570" i="3"/>
  <c r="BG570" i="3"/>
  <c r="BH570" i="3"/>
  <c r="BI570" i="3"/>
  <c r="BJ570" i="3"/>
  <c r="BK570" i="3"/>
  <c r="BM570" i="3"/>
  <c r="BN570" i="3"/>
  <c r="BO570" i="3"/>
  <c r="BL570" i="3"/>
  <c r="BP570" i="3"/>
  <c r="BQ570" i="3"/>
  <c r="BR570" i="3"/>
  <c r="BS570" i="3"/>
  <c r="BT570" i="3"/>
  <c r="BB571" i="3"/>
  <c r="BC571" i="3"/>
  <c r="BD571" i="3"/>
  <c r="BA571" i="3"/>
  <c r="AZ571" i="3"/>
  <c r="BE571" i="3"/>
  <c r="BF571" i="3"/>
  <c r="BG571" i="3"/>
  <c r="BH571" i="3"/>
  <c r="BI571" i="3"/>
  <c r="BJ571" i="3"/>
  <c r="BK571" i="3"/>
  <c r="BM571" i="3"/>
  <c r="BN571" i="3"/>
  <c r="BO571" i="3"/>
  <c r="BP571" i="3"/>
  <c r="BQ571" i="3"/>
  <c r="BR571" i="3"/>
  <c r="BS571" i="3"/>
  <c r="BT571" i="3"/>
  <c r="BL571" i="3"/>
  <c r="BB572" i="3"/>
  <c r="BC572" i="3"/>
  <c r="BA572" i="3"/>
  <c r="BD572" i="3"/>
  <c r="BE572" i="3"/>
  <c r="BF572" i="3"/>
  <c r="BG572" i="3"/>
  <c r="BH572" i="3"/>
  <c r="BI572" i="3"/>
  <c r="BJ572" i="3"/>
  <c r="BK572" i="3"/>
  <c r="BM572" i="3"/>
  <c r="BN572" i="3"/>
  <c r="BO572" i="3"/>
  <c r="BL572" i="3"/>
  <c r="BP572" i="3"/>
  <c r="BQ572" i="3"/>
  <c r="BR572" i="3"/>
  <c r="BS572" i="3"/>
  <c r="BT572" i="3"/>
  <c r="R47" i="21"/>
  <c r="F8" i="21"/>
  <c r="AA8" i="21"/>
  <c r="C63" i="21"/>
  <c r="F9" i="21"/>
  <c r="AA9" i="21"/>
  <c r="D66" i="21"/>
  <c r="E66" i="21"/>
  <c r="B70" i="21"/>
  <c r="F12" i="21"/>
  <c r="AA12" i="21"/>
  <c r="B72" i="21"/>
  <c r="F13" i="21"/>
  <c r="AA13" i="21"/>
  <c r="B74" i="21"/>
  <c r="F14" i="21"/>
  <c r="AA14" i="21"/>
  <c r="D77" i="21"/>
  <c r="D79" i="21"/>
  <c r="D81" i="21"/>
  <c r="D85" i="21"/>
  <c r="E85"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D117" i="21"/>
  <c r="F39" i="21"/>
  <c r="AA39" i="21"/>
  <c r="F40" i="21"/>
  <c r="AA40" i="21"/>
  <c r="F41" i="21"/>
  <c r="AA41"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32" i="21"/>
  <c r="AB32" i="21"/>
  <c r="H34" i="21"/>
  <c r="AB34" i="21"/>
  <c r="H36" i="21"/>
  <c r="AB36" i="21"/>
  <c r="H39" i="21"/>
  <c r="AB39" i="21"/>
  <c r="H40" i="21"/>
  <c r="AB40" i="21"/>
  <c r="H41" i="21"/>
  <c r="AB41" i="21"/>
  <c r="H43" i="21"/>
  <c r="AB43" i="21"/>
  <c r="H45" i="21"/>
  <c r="AB45" i="2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c r="J46" i="21"/>
  <c r="AC46" i="21"/>
  <c r="G69" i="21"/>
  <c r="H9" i="12"/>
  <c r="E22" i="6"/>
  <c r="E23" i="6"/>
  <c r="E24" i="6"/>
  <c r="E25" i="6"/>
  <c r="E26" i="6"/>
  <c r="BB10" i="3"/>
  <c r="BC10" i="3"/>
  <c r="BD10" i="3"/>
  <c r="BF10" i="3"/>
  <c r="BG10" i="3"/>
  <c r="BH10" i="3"/>
  <c r="BI10" i="3"/>
  <c r="BJ10" i="3"/>
  <c r="BK10" i="3"/>
  <c r="A6" i="1"/>
  <c r="B6" i="1"/>
  <c r="E6" i="1"/>
  <c r="A7" i="1"/>
  <c r="B7" i="1"/>
  <c r="E7" i="1"/>
  <c r="A8" i="1"/>
  <c r="B43" i="1"/>
  <c r="B41" i="1"/>
  <c r="F33" i="72"/>
  <c r="F60" i="72"/>
  <c r="L21" i="6"/>
  <c r="B52" i="1"/>
  <c r="T4" i="1"/>
  <c r="A9" i="1"/>
  <c r="B9" i="1"/>
  <c r="E9" i="1"/>
  <c r="A10" i="1"/>
  <c r="A11" i="1"/>
  <c r="A12" i="1"/>
  <c r="A13" i="1"/>
  <c r="F15" i="72"/>
  <c r="F17" i="72"/>
  <c r="F18" i="72"/>
  <c r="F20" i="72"/>
  <c r="B22" i="1"/>
  <c r="C2" i="65"/>
  <c r="I1" i="65"/>
  <c r="F23" i="72"/>
  <c r="D23" i="72"/>
  <c r="F21" i="72"/>
  <c r="M47" i="72"/>
  <c r="J50" i="72"/>
  <c r="M47" i="15"/>
  <c r="J50" i="15"/>
  <c r="D8" i="1"/>
  <c r="K59" i="72"/>
  <c r="P75" i="72"/>
  <c r="Q73" i="72"/>
  <c r="D60" i="72"/>
  <c r="P62" i="72"/>
  <c r="Q60" i="72"/>
  <c r="Q59" i="72"/>
  <c r="F58" i="72"/>
  <c r="Q52" i="72"/>
  <c r="L46" i="72"/>
  <c r="F31" i="72"/>
  <c r="AG8" i="1"/>
  <c r="D24" i="72"/>
  <c r="M19" i="72"/>
  <c r="M17" i="72"/>
  <c r="F33" i="15"/>
  <c r="F60" i="15"/>
  <c r="F15" i="15"/>
  <c r="F17" i="15"/>
  <c r="F18" i="15"/>
  <c r="F20" i="15"/>
  <c r="F23" i="15"/>
  <c r="F21" i="15"/>
  <c r="L3" i="59"/>
  <c r="K3" i="59"/>
  <c r="J3" i="59"/>
  <c r="I3" i="59"/>
  <c r="AH5" i="59"/>
  <c r="AG5" i="59"/>
  <c r="AE5" i="59"/>
  <c r="AF5" i="59"/>
  <c r="AD5" i="59"/>
  <c r="Q5" i="59"/>
  <c r="Q6" i="59"/>
  <c r="Q7" i="59"/>
  <c r="Q8" i="59"/>
  <c r="F8" i="59"/>
  <c r="Q9" i="59"/>
  <c r="Q10" i="59"/>
  <c r="Q11" i="59"/>
  <c r="Q12" i="59"/>
  <c r="Q13" i="59"/>
  <c r="Q14" i="59"/>
  <c r="Q15" i="59"/>
  <c r="Q16" i="59"/>
  <c r="Q17" i="59"/>
  <c r="Q18" i="59"/>
  <c r="Q19" i="59"/>
  <c r="Q20" i="59"/>
  <c r="Q21" i="59"/>
  <c r="Q22" i="59"/>
  <c r="Q23" i="59"/>
  <c r="AB5" i="59"/>
  <c r="P5" i="59"/>
  <c r="P6" i="59"/>
  <c r="AA6" i="59"/>
  <c r="P7" i="59"/>
  <c r="P8" i="59"/>
  <c r="P9" i="59"/>
  <c r="P10" i="59"/>
  <c r="P11" i="59"/>
  <c r="P12" i="59"/>
  <c r="E12" i="59"/>
  <c r="P13" i="59"/>
  <c r="P14" i="59"/>
  <c r="P15" i="59"/>
  <c r="P16" i="59"/>
  <c r="P17" i="59"/>
  <c r="P18" i="59"/>
  <c r="P19" i="59"/>
  <c r="P20" i="59"/>
  <c r="P21" i="59"/>
  <c r="P22" i="59"/>
  <c r="P23" i="59"/>
  <c r="AA5" i="59"/>
  <c r="O5" i="59"/>
  <c r="O6" i="59"/>
  <c r="Y5" i="59"/>
  <c r="Z5" i="59"/>
  <c r="O7" i="59"/>
  <c r="O8" i="59"/>
  <c r="C8" i="59"/>
  <c r="O9" i="59"/>
  <c r="O10" i="59"/>
  <c r="O11" i="59"/>
  <c r="O12" i="59"/>
  <c r="C12" i="59"/>
  <c r="O13" i="59"/>
  <c r="O14" i="59"/>
  <c r="O15" i="59"/>
  <c r="O16" i="59"/>
  <c r="O17" i="59"/>
  <c r="C18" i="59"/>
  <c r="O18" i="59"/>
  <c r="O19" i="59"/>
  <c r="O20" i="59"/>
  <c r="O21" i="59"/>
  <c r="O22" i="59"/>
  <c r="O23" i="59"/>
  <c r="N5" i="59"/>
  <c r="N6" i="59"/>
  <c r="N7" i="59"/>
  <c r="X5" i="59"/>
  <c r="N8" i="59"/>
  <c r="N9" i="59"/>
  <c r="N10" i="59"/>
  <c r="N11" i="59"/>
  <c r="N12" i="59"/>
  <c r="N13" i="59"/>
  <c r="N14" i="59"/>
  <c r="N15" i="59"/>
  <c r="N16" i="59"/>
  <c r="N17" i="59"/>
  <c r="B18" i="59"/>
  <c r="B19" i="59"/>
  <c r="B20" i="59"/>
  <c r="S20" i="59"/>
  <c r="N18" i="59"/>
  <c r="N19" i="59"/>
  <c r="N20" i="59"/>
  <c r="N21" i="59"/>
  <c r="N22" i="59"/>
  <c r="N23" i="59"/>
  <c r="E8" i="59"/>
  <c r="E7" i="59"/>
  <c r="E6" i="59"/>
  <c r="E5" i="59"/>
  <c r="B8" i="59"/>
  <c r="B7" i="59"/>
  <c r="B6" i="59"/>
  <c r="B5" i="59"/>
  <c r="AH6" i="59"/>
  <c r="AG6" i="59"/>
  <c r="AE6" i="59"/>
  <c r="AF6" i="59"/>
  <c r="AD6" i="59"/>
  <c r="AB6" i="59"/>
  <c r="D9" i="59"/>
  <c r="B12" i="59"/>
  <c r="B11" i="59"/>
  <c r="B10" i="59"/>
  <c r="F12" i="59"/>
  <c r="F11" i="59"/>
  <c r="F10" i="59"/>
  <c r="D13" i="59"/>
  <c r="B14" i="59"/>
  <c r="B15" i="59"/>
  <c r="B16" i="59"/>
  <c r="S16" i="59"/>
  <c r="C14" i="59"/>
  <c r="D14" i="59"/>
  <c r="E14" i="59"/>
  <c r="E15" i="59"/>
  <c r="E16" i="59"/>
  <c r="U16" i="59"/>
  <c r="F14" i="59"/>
  <c r="F15" i="59"/>
  <c r="F16" i="59"/>
  <c r="V16" i="59"/>
  <c r="D17" i="59"/>
  <c r="E18" i="59"/>
  <c r="F18" i="59"/>
  <c r="F19" i="59"/>
  <c r="F20" i="59"/>
  <c r="V20" i="59"/>
  <c r="E19" i="59"/>
  <c r="E20" i="59"/>
  <c r="U20" i="59"/>
  <c r="D21" i="59"/>
  <c r="B22" i="59"/>
  <c r="B23" i="59"/>
  <c r="B24" i="59"/>
  <c r="S24" i="59"/>
  <c r="C22" i="59"/>
  <c r="D22" i="59"/>
  <c r="E22" i="59"/>
  <c r="E23" i="59"/>
  <c r="E24" i="59"/>
  <c r="U24" i="59"/>
  <c r="F22" i="59"/>
  <c r="F23" i="59"/>
  <c r="F24" i="59"/>
  <c r="V24" i="59"/>
  <c r="M19" i="46"/>
  <c r="G2" i="46"/>
  <c r="C6" i="46"/>
  <c r="G17" i="46"/>
  <c r="I17" i="46"/>
  <c r="C17" i="46"/>
  <c r="G20" i="46"/>
  <c r="J20" i="46"/>
  <c r="I20" i="46"/>
  <c r="C20" i="46" s="1"/>
  <c r="C24" i="46"/>
  <c r="F39" i="46"/>
  <c r="F37" i="46"/>
  <c r="D5" i="46"/>
  <c r="F36" i="46"/>
  <c r="F34" i="46"/>
  <c r="M48" i="44"/>
  <c r="J51" i="44"/>
  <c r="J52" i="44"/>
  <c r="C18" i="46"/>
  <c r="AD5" i="3"/>
  <c r="AH5" i="3"/>
  <c r="AL5" i="3"/>
  <c r="AP5" i="3"/>
  <c r="I5" i="3"/>
  <c r="K5" i="3"/>
  <c r="F33" i="46"/>
  <c r="C10" i="46"/>
  <c r="C11" i="46"/>
  <c r="E15" i="46"/>
  <c r="E17" i="46"/>
  <c r="D47" i="46"/>
  <c r="E47" i="46"/>
  <c r="D48" i="46"/>
  <c r="D49" i="46"/>
  <c r="D50" i="46"/>
  <c r="D51" i="46"/>
  <c r="D52" i="46"/>
  <c r="D53" i="46"/>
  <c r="D54" i="46"/>
  <c r="D55" i="46"/>
  <c r="D58" i="46"/>
  <c r="E58" i="46"/>
  <c r="D59" i="46"/>
  <c r="D60" i="46"/>
  <c r="D61" i="46"/>
  <c r="D62" i="46"/>
  <c r="D63" i="46"/>
  <c r="D64" i="46"/>
  <c r="D65" i="46"/>
  <c r="D66" i="46"/>
  <c r="D69" i="46"/>
  <c r="E69" i="46"/>
  <c r="D70" i="46"/>
  <c r="D71" i="46"/>
  <c r="D72" i="46"/>
  <c r="D73" i="46"/>
  <c r="D74" i="46"/>
  <c r="D75" i="46"/>
  <c r="D76" i="46"/>
  <c r="D77" i="46"/>
  <c r="D80" i="46"/>
  <c r="D81" i="46"/>
  <c r="D82" i="46"/>
  <c r="D83" i="46"/>
  <c r="E80" i="46"/>
  <c r="D84" i="46"/>
  <c r="D85" i="46"/>
  <c r="D86" i="46"/>
  <c r="D87" i="46"/>
  <c r="E99" i="46"/>
  <c r="E100" i="46"/>
  <c r="F15" i="46"/>
  <c r="F47" i="46"/>
  <c r="F58" i="46"/>
  <c r="F69" i="46"/>
  <c r="F80" i="46"/>
  <c r="F99" i="46"/>
  <c r="F100" i="46"/>
  <c r="F113" i="46"/>
  <c r="H33" i="46"/>
  <c r="D1" i="46"/>
  <c r="C9" i="46"/>
  <c r="C15" i="46"/>
  <c r="D15" i="46"/>
  <c r="C12" i="46"/>
  <c r="C99" i="46"/>
  <c r="C100" i="46"/>
  <c r="C108" i="46"/>
  <c r="D99" i="46"/>
  <c r="D100" i="46"/>
  <c r="D108" i="46"/>
  <c r="H113" i="46"/>
  <c r="AH7" i="59"/>
  <c r="AG7" i="59"/>
  <c r="AE7" i="59"/>
  <c r="AF7" i="59"/>
  <c r="AD7" i="59"/>
  <c r="AE8" i="59"/>
  <c r="AF8" i="59"/>
  <c r="AG8" i="59"/>
  <c r="AH8" i="59"/>
  <c r="AD8" i="59"/>
  <c r="AB7" i="59"/>
  <c r="AA7" i="59"/>
  <c r="Y7" i="59"/>
  <c r="Z7" i="59"/>
  <c r="X7" i="59"/>
  <c r="L4" i="9"/>
  <c r="M4" i="9"/>
  <c r="A30" i="64"/>
  <c r="A30" i="51"/>
  <c r="K59" i="15"/>
  <c r="P62" i="15"/>
  <c r="P75" i="15"/>
  <c r="Q74" i="44"/>
  <c r="Q61" i="44"/>
  <c r="Q60" i="44"/>
  <c r="Q53" i="44"/>
  <c r="A16" i="55"/>
  <c r="B67" i="63"/>
  <c r="A15" i="55"/>
  <c r="C43" i="9"/>
  <c r="K47" i="9"/>
  <c r="A14" i="55"/>
  <c r="B65" i="63"/>
  <c r="L26" i="4"/>
  <c r="L24" i="4"/>
  <c r="L25" i="4"/>
  <c r="A11" i="55"/>
  <c r="A10" i="55"/>
  <c r="A9" i="55"/>
  <c r="B60" i="63"/>
  <c r="A8" i="55"/>
  <c r="B59" i="63"/>
  <c r="A6" i="54"/>
  <c r="B49" i="63"/>
  <c r="A8" i="54"/>
  <c r="A7" i="54"/>
  <c r="C57" i="10"/>
  <c r="A28" i="51"/>
  <c r="B21" i="63"/>
  <c r="A27" i="51"/>
  <c r="AB8" i="59"/>
  <c r="Y8" i="59"/>
  <c r="Z8" i="59"/>
  <c r="X8" i="59"/>
  <c r="AA8" i="59"/>
  <c r="K75" i="9"/>
  <c r="K6" i="4"/>
  <c r="O76" i="9"/>
  <c r="L76" i="9"/>
  <c r="B22" i="31"/>
  <c r="E15" i="66"/>
  <c r="F15" i="66"/>
  <c r="E16" i="66"/>
  <c r="F16" i="66"/>
  <c r="E17" i="66"/>
  <c r="F17" i="66"/>
  <c r="E18" i="66"/>
  <c r="F18" i="66"/>
  <c r="E19" i="66"/>
  <c r="F19" i="66"/>
  <c r="E20" i="66"/>
  <c r="F20" i="66"/>
  <c r="E21" i="66"/>
  <c r="F21" i="66"/>
  <c r="E22" i="66"/>
  <c r="F22" i="66"/>
  <c r="E23" i="66"/>
  <c r="F23" i="66"/>
  <c r="B3" i="66"/>
  <c r="V12" i="59"/>
  <c r="S12"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AJ12" i="46"/>
  <c r="AB12" i="46"/>
  <c r="AI12" i="46"/>
  <c r="AE12" i="46"/>
  <c r="AA12" i="46"/>
  <c r="A21" i="64"/>
  <c r="B75" i="63"/>
  <c r="B73" i="63"/>
  <c r="A28" i="64"/>
  <c r="A27" i="64"/>
  <c r="A15" i="64"/>
  <c r="A14" i="64"/>
  <c r="A11" i="64"/>
  <c r="A3" i="64"/>
  <c r="A45" i="9"/>
  <c r="K40" i="9"/>
  <c r="A44" i="9"/>
  <c r="K39" i="9"/>
  <c r="C56" i="10"/>
  <c r="C55" i="10"/>
  <c r="C54" i="10"/>
  <c r="A26" i="51"/>
  <c r="B19" i="63"/>
  <c r="B44" i="63"/>
  <c r="B40" i="63"/>
  <c r="B30" i="63"/>
  <c r="B27" i="63"/>
  <c r="B25" i="63"/>
  <c r="A11" i="51"/>
  <c r="B10" i="63" s="1"/>
  <c r="A26" i="64"/>
  <c r="B58" i="63"/>
  <c r="B53" i="63"/>
  <c r="B51" i="63"/>
  <c r="A46" i="9"/>
  <c r="K41" i="9"/>
  <c r="B8" i="63"/>
  <c r="A21" i="55"/>
  <c r="B71" i="63"/>
  <c r="A20" i="55"/>
  <c r="B69" i="63"/>
  <c r="B26" i="63"/>
  <c r="B28" i="63"/>
  <c r="B29" i="63"/>
  <c r="B31" i="63"/>
  <c r="B33" i="63"/>
  <c r="B35" i="63"/>
  <c r="B36" i="63"/>
  <c r="B37" i="63"/>
  <c r="B63" i="63"/>
  <c r="B64" i="63"/>
  <c r="B68" i="63"/>
  <c r="D51" i="10"/>
  <c r="B61" i="63"/>
  <c r="B51" i="10"/>
  <c r="B20" i="63"/>
  <c r="B17" i="63"/>
  <c r="A15" i="51"/>
  <c r="B12" i="63"/>
  <c r="A14" i="51"/>
  <c r="B11" i="63"/>
  <c r="B66" i="63"/>
  <c r="A4" i="55"/>
  <c r="B57" i="63"/>
  <c r="G5" i="54"/>
  <c r="B34" i="63"/>
  <c r="E5" i="54"/>
  <c r="B32" i="63"/>
  <c r="R2" i="54"/>
  <c r="B24" i="63"/>
  <c r="B49" i="50"/>
  <c r="B5" i="63"/>
  <c r="B40" i="50"/>
  <c r="B3" i="63"/>
  <c r="N4" i="63"/>
  <c r="I19" i="46"/>
  <c r="D73" i="59"/>
  <c r="F72" i="59"/>
  <c r="F71" i="59"/>
  <c r="F70" i="59"/>
  <c r="E72" i="59"/>
  <c r="E71" i="59"/>
  <c r="E70" i="59"/>
  <c r="C72" i="59"/>
  <c r="D72" i="59"/>
  <c r="B72" i="59"/>
  <c r="B71" i="59"/>
  <c r="B70" i="59"/>
  <c r="D69" i="59"/>
  <c r="F68" i="59"/>
  <c r="F67" i="59"/>
  <c r="F66" i="59"/>
  <c r="E68" i="59"/>
  <c r="E67" i="59"/>
  <c r="E66" i="59"/>
  <c r="C68" i="59"/>
  <c r="D68" i="59"/>
  <c r="B68"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C52" i="59"/>
  <c r="B52" i="59"/>
  <c r="N52" i="59"/>
  <c r="F51" i="59"/>
  <c r="F50"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C27" i="59"/>
  <c r="N25" i="59"/>
  <c r="B26" i="59"/>
  <c r="B27" i="59"/>
  <c r="B28" i="59"/>
  <c r="S28" i="59"/>
  <c r="D25" i="59"/>
  <c r="Q24" i="59"/>
  <c r="P24" i="59"/>
  <c r="O24" i="59"/>
  <c r="N24" i="59"/>
  <c r="AB23" i="59"/>
  <c r="Y23" i="59"/>
  <c r="Z23" i="59"/>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AA23" i="59"/>
  <c r="C47" i="59"/>
  <c r="C48" i="59"/>
  <c r="T52" i="59"/>
  <c r="O52" i="59"/>
  <c r="D52" i="59"/>
  <c r="C51" i="59"/>
  <c r="P52" i="59"/>
  <c r="Q52" i="59"/>
  <c r="C55" i="59"/>
  <c r="C54" i="59"/>
  <c r="D54" i="59"/>
  <c r="E59" i="59"/>
  <c r="E58" i="59"/>
  <c r="D60" i="59"/>
  <c r="E63" i="59"/>
  <c r="E62" i="59"/>
  <c r="D64" i="59"/>
  <c r="C71" i="59"/>
  <c r="D71" i="59"/>
  <c r="U16" i="4"/>
  <c r="T16" i="4"/>
  <c r="S16" i="4"/>
  <c r="Q16" i="4"/>
  <c r="O16" i="4"/>
  <c r="P16" i="4" s="1"/>
  <c r="M16" i="4"/>
  <c r="K16" i="4"/>
  <c r="D55" i="59"/>
  <c r="C50" i="59"/>
  <c r="D50" i="59"/>
  <c r="O51" i="59"/>
  <c r="D51" i="59"/>
  <c r="D47" i="59"/>
  <c r="O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C21" i="21"/>
  <c r="Q27" i="40"/>
  <c r="Z27" i="40"/>
  <c r="D96" i="40"/>
  <c r="E96" i="40"/>
  <c r="F96" i="40"/>
  <c r="F27" i="40"/>
  <c r="AA27" i="40"/>
  <c r="Q31" i="39"/>
  <c r="Z31" i="39"/>
  <c r="D105" i="39"/>
  <c r="E105" i="39"/>
  <c r="F105" i="39" s="1"/>
  <c r="G105" i="39" s="1"/>
  <c r="G20" i="20"/>
  <c r="B85" i="46"/>
  <c r="C22" i="20"/>
  <c r="B65" i="46"/>
  <c r="S18" i="36"/>
  <c r="S18" i="35"/>
  <c r="S27" i="40"/>
  <c r="C27" i="40"/>
  <c r="C31" i="39"/>
  <c r="B54" i="46"/>
  <c r="B74" i="46"/>
  <c r="E66" i="36"/>
  <c r="H18" i="35"/>
  <c r="J18" i="35"/>
  <c r="H21" i="37"/>
  <c r="J21" i="37"/>
  <c r="J21" i="34"/>
  <c r="H21" i="34"/>
  <c r="F21" i="33"/>
  <c r="H21" i="33"/>
  <c r="J21" i="33"/>
  <c r="H27" i="40"/>
  <c r="H31" i="39"/>
  <c r="D22" i="15"/>
  <c r="G17" i="11"/>
  <c r="D2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C112" i="9"/>
  <c r="C7" i="11"/>
  <c r="H81" i="46"/>
  <c r="G99" i="46"/>
  <c r="G108" i="46"/>
  <c r="H99" i="46"/>
  <c r="H108" i="46"/>
  <c r="I99" i="46"/>
  <c r="I108" i="46"/>
  <c r="J99" i="46"/>
  <c r="J108" i="46"/>
  <c r="K99" i="46"/>
  <c r="K108" i="46"/>
  <c r="L99" i="46"/>
  <c r="L108" i="46"/>
  <c r="M99" i="46"/>
  <c r="M108" i="46"/>
  <c r="N99" i="46"/>
  <c r="N108" i="46"/>
  <c r="K100" i="46"/>
  <c r="K58" i="46"/>
  <c r="J58" i="46"/>
  <c r="K50" i="46"/>
  <c r="J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4" i="46"/>
  <c r="Q73" i="15"/>
  <c r="Q60" i="15"/>
  <c r="Q59" i="15"/>
  <c r="Q52" i="15"/>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F14" i="12"/>
  <c r="F15" i="12"/>
  <c r="E16" i="12"/>
  <c r="F17" i="12"/>
  <c r="C109" i="9"/>
  <c r="C145" i="21"/>
  <c r="K139" i="21"/>
  <c r="K145" i="21"/>
  <c r="J142" i="21"/>
  <c r="J140"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A3" i="51"/>
  <c r="R41" i="4"/>
  <c r="Q41" i="4"/>
  <c r="P41" i="4"/>
  <c r="O41" i="4"/>
  <c r="N41" i="4"/>
  <c r="M41" i="4"/>
  <c r="L41" i="4"/>
  <c r="K40" i="4"/>
  <c r="T40" i="4"/>
  <c r="A18" i="51"/>
  <c r="B14" i="63"/>
  <c r="F23" i="4"/>
  <c r="I19" i="4"/>
  <c r="H19" i="4"/>
  <c r="F9" i="1"/>
  <c r="AP9" i="1" s="1"/>
  <c r="F19" i="4"/>
  <c r="F10" i="1"/>
  <c r="B2" i="52"/>
  <c r="B8" i="52" s="1"/>
  <c r="I2" i="46"/>
  <c r="N12" i="46"/>
  <c r="A7" i="46"/>
  <c r="F41" i="4"/>
  <c r="J52" i="40"/>
  <c r="H61" i="49"/>
  <c r="H39" i="46"/>
  <c r="H38" i="46"/>
  <c r="H37" i="46"/>
  <c r="H36" i="46"/>
  <c r="H35" i="46"/>
  <c r="H34" i="46"/>
  <c r="C35" i="4"/>
  <c r="E19" i="12"/>
  <c r="E21" i="12"/>
  <c r="E22" i="12"/>
  <c r="F23" i="12"/>
  <c r="F24" i="12"/>
  <c r="F25" i="12"/>
  <c r="I73" i="9"/>
  <c r="F73" i="9"/>
  <c r="P73" i="9"/>
  <c r="D107" i="9"/>
  <c r="C107" i="9"/>
  <c r="C105" i="9"/>
  <c r="C110" i="9"/>
  <c r="C17" i="9"/>
  <c r="D17" i="9"/>
  <c r="C18" i="9"/>
  <c r="M43"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c r="H36" i="39"/>
  <c r="AB36" i="39"/>
  <c r="H42" i="39"/>
  <c r="AB42" i="39"/>
  <c r="J10" i="39"/>
  <c r="AC10" i="39"/>
  <c r="J11" i="39"/>
  <c r="AC11" i="39" s="1"/>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B114" i="39"/>
  <c r="J30" i="36"/>
  <c r="H30" i="36"/>
  <c r="U30" i="36"/>
  <c r="F30" i="36"/>
  <c r="C26" i="35"/>
  <c r="C79" i="35"/>
  <c r="J31" i="35"/>
  <c r="H31" i="35"/>
  <c r="AB31" i="35"/>
  <c r="F31" i="35"/>
  <c r="D87" i="35"/>
  <c r="E87" i="35"/>
  <c r="F87" i="35"/>
  <c r="G87" i="35"/>
  <c r="H87" i="35"/>
  <c r="I87" i="35"/>
  <c r="J87" i="35"/>
  <c r="K87" i="35"/>
  <c r="L87" i="35"/>
  <c r="M87" i="35"/>
  <c r="H34" i="37"/>
  <c r="AB34" i="37"/>
  <c r="D101" i="37"/>
  <c r="E101" i="37"/>
  <c r="F101" i="37"/>
  <c r="F34" i="37"/>
  <c r="D99" i="37"/>
  <c r="E99" i="37"/>
  <c r="H42" i="34"/>
  <c r="AB42" i="34"/>
  <c r="J42" i="34"/>
  <c r="F42" i="34"/>
  <c r="S42" i="34"/>
  <c r="J38" i="34"/>
  <c r="AC38" i="34"/>
  <c r="D114" i="34"/>
  <c r="E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D78" i="40"/>
  <c r="E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E97" i="39" s="1"/>
  <c r="D95" i="39"/>
  <c r="E95" i="39"/>
  <c r="F95" i="39"/>
  <c r="G95" i="39"/>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B108" i="37"/>
  <c r="C23" i="37"/>
  <c r="C19" i="37"/>
  <c r="C17" i="37"/>
  <c r="C15" i="37"/>
  <c r="B112" i="37"/>
  <c r="H40" i="37"/>
  <c r="D107" i="37"/>
  <c r="E107" i="37"/>
  <c r="D105" i="37"/>
  <c r="E105" i="37"/>
  <c r="H36" i="37"/>
  <c r="D103" i="37"/>
  <c r="J35" i="37"/>
  <c r="F97" i="37"/>
  <c r="E97" i="37"/>
  <c r="D97" i="37"/>
  <c r="C97" i="37"/>
  <c r="D96" i="37"/>
  <c r="E96" i="37"/>
  <c r="D94" i="37"/>
  <c r="E94" i="37"/>
  <c r="M90" i="37"/>
  <c r="L90" i="37"/>
  <c r="K90" i="37"/>
  <c r="J90" i="37"/>
  <c r="I90" i="37"/>
  <c r="H90" i="37"/>
  <c r="G90" i="37"/>
  <c r="F90" i="37"/>
  <c r="E90" i="37"/>
  <c r="D90" i="37"/>
  <c r="C90" i="37"/>
  <c r="D89" i="37"/>
  <c r="E89" i="37"/>
  <c r="B86" i="37"/>
  <c r="F28" i="37"/>
  <c r="AA28" i="37"/>
  <c r="B84" i="37"/>
  <c r="H27" i="37"/>
  <c r="U27" i="37"/>
  <c r="B82" i="37"/>
  <c r="J26" i="37"/>
  <c r="D79" i="37"/>
  <c r="E79" i="37"/>
  <c r="F79" i="37"/>
  <c r="D75" i="37"/>
  <c r="E75" i="37"/>
  <c r="F75" i="37"/>
  <c r="G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c r="H29" i="37"/>
  <c r="Q28" i="37"/>
  <c r="Z28" i="37"/>
  <c r="Q27" i="37"/>
  <c r="Z27" i="37"/>
  <c r="Q26" i="37"/>
  <c r="Z26" i="37"/>
  <c r="H26" i="37"/>
  <c r="F26" i="37"/>
  <c r="Q25" i="37"/>
  <c r="Z25" i="37"/>
  <c r="J25" i="37"/>
  <c r="W25" i="37"/>
  <c r="F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J26" i="36"/>
  <c r="W26" i="36"/>
  <c r="B75" i="36"/>
  <c r="B73" i="36"/>
  <c r="F24" i="36"/>
  <c r="B71" i="36"/>
  <c r="D70" i="36"/>
  <c r="H22" i="36"/>
  <c r="AB22" i="36"/>
  <c r="D68" i="36"/>
  <c r="E68" i="36"/>
  <c r="D64" i="36"/>
  <c r="E64" i="36"/>
  <c r="F64" i="36"/>
  <c r="G64" i="36"/>
  <c r="J16" i="36"/>
  <c r="D62" i="36"/>
  <c r="E62" i="36"/>
  <c r="F62" i="36"/>
  <c r="G62" i="36"/>
  <c r="B59" i="36"/>
  <c r="B57" i="36"/>
  <c r="J12" i="36"/>
  <c r="AC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H23" i="36"/>
  <c r="AB23" i="36"/>
  <c r="F23" i="36"/>
  <c r="Q22" i="36"/>
  <c r="Z22" i="36"/>
  <c r="J22" i="36"/>
  <c r="AC22" i="36"/>
  <c r="Q20" i="36"/>
  <c r="Z20" i="36"/>
  <c r="Q16" i="36"/>
  <c r="Z16" i="36"/>
  <c r="Q14" i="36"/>
  <c r="Z14" i="36"/>
  <c r="Q13" i="36"/>
  <c r="Z13" i="36"/>
  <c r="Q12" i="36"/>
  <c r="Z12" i="36"/>
  <c r="Q11" i="36"/>
  <c r="Z11" i="36"/>
  <c r="Q10" i="36"/>
  <c r="Z10" i="36"/>
  <c r="F10" i="36"/>
  <c r="AA10" i="36"/>
  <c r="Q9" i="36"/>
  <c r="Z9" i="36"/>
  <c r="J8" i="36"/>
  <c r="H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J35" i="35"/>
  <c r="W35" i="35"/>
  <c r="B97" i="35"/>
  <c r="B77" i="35"/>
  <c r="B75" i="35"/>
  <c r="B73" i="35"/>
  <c r="J23" i="35"/>
  <c r="W23" i="35"/>
  <c r="B57" i="35"/>
  <c r="B61" i="35"/>
  <c r="B59" i="35"/>
  <c r="B131" i="34"/>
  <c r="F47" i="34"/>
  <c r="B129" i="34"/>
  <c r="B127" i="34"/>
  <c r="H45" i="34"/>
  <c r="B99" i="34"/>
  <c r="B97" i="34"/>
  <c r="H31" i="34"/>
  <c r="B95" i="34"/>
  <c r="B93" i="34"/>
  <c r="J29" i="34"/>
  <c r="B75" i="34"/>
  <c r="B73" i="34"/>
  <c r="J13" i="34"/>
  <c r="B71" i="34"/>
  <c r="B130" i="33"/>
  <c r="J46" i="33"/>
  <c r="B128" i="33"/>
  <c r="H45" i="33"/>
  <c r="AB45" i="33"/>
  <c r="B126" i="33"/>
  <c r="B98" i="33"/>
  <c r="B96" i="33"/>
  <c r="F30" i="33"/>
  <c r="S30" i="33"/>
  <c r="B94" i="33"/>
  <c r="J29" i="33"/>
  <c r="B74" i="33"/>
  <c r="B72" i="33"/>
  <c r="F13" i="33"/>
  <c r="S13" i="33"/>
  <c r="B70"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c r="F8" i="35"/>
  <c r="AA8" i="35"/>
  <c r="D120" i="34"/>
  <c r="E120" i="34"/>
  <c r="F120" i="34"/>
  <c r="G120" i="34"/>
  <c r="H120" i="34"/>
  <c r="I120" i="34"/>
  <c r="J120" i="34"/>
  <c r="K120" i="34"/>
  <c r="L120" i="34"/>
  <c r="M120" i="34"/>
  <c r="D90" i="34"/>
  <c r="E90" i="34"/>
  <c r="F90" i="34"/>
  <c r="C15" i="34"/>
  <c r="F67" i="34"/>
  <c r="G67" i="34"/>
  <c r="H67" i="34"/>
  <c r="I67" i="34"/>
  <c r="H10" i="34"/>
  <c r="D126" i="34"/>
  <c r="E126" i="34"/>
  <c r="F126" i="34"/>
  <c r="G126" i="34"/>
  <c r="D124" i="34"/>
  <c r="E124" i="34"/>
  <c r="F124" i="34"/>
  <c r="G124" i="34"/>
  <c r="H124" i="34"/>
  <c r="I124" i="34"/>
  <c r="J124" i="34"/>
  <c r="K124" i="34"/>
  <c r="L124" i="34"/>
  <c r="M124" i="34"/>
  <c r="J43" i="34"/>
  <c r="W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Q42" i="34"/>
  <c r="Z42" i="34"/>
  <c r="Q41" i="34"/>
  <c r="Z41" i="34"/>
  <c r="Q40" i="34"/>
  <c r="Z40" i="34"/>
  <c r="F40" i="34"/>
  <c r="S40" i="34"/>
  <c r="Q39" i="34"/>
  <c r="Z39" i="34"/>
  <c r="J39" i="34"/>
  <c r="AC39" i="34"/>
  <c r="H39" i="34"/>
  <c r="F39" i="34"/>
  <c r="AA39" i="34"/>
  <c r="Q38" i="34"/>
  <c r="Z38" i="34"/>
  <c r="Q37" i="34"/>
  <c r="Z37" i="34"/>
  <c r="Q36" i="34"/>
  <c r="Z36" i="34"/>
  <c r="Q35" i="34"/>
  <c r="Z35" i="34"/>
  <c r="Q34" i="34"/>
  <c r="Z34" i="34"/>
  <c r="J34" i="34"/>
  <c r="H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J8" i="34"/>
  <c r="H8" i="34"/>
  <c r="F8" i="34"/>
  <c r="AA8"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M102" i="21"/>
  <c r="D102" i="21"/>
  <c r="E102" i="21"/>
  <c r="F102" i="21"/>
  <c r="G102" i="21"/>
  <c r="H102" i="21"/>
  <c r="I102" i="21"/>
  <c r="J102" i="21"/>
  <c r="K102" i="21"/>
  <c r="L102" i="21"/>
  <c r="C102" i="21"/>
  <c r="S9" i="21"/>
  <c r="G18" i="20"/>
  <c r="B87" i="46"/>
  <c r="C25" i="40"/>
  <c r="G16" i="20"/>
  <c r="B81" i="46"/>
  <c r="G15" i="20"/>
  <c r="C24" i="20"/>
  <c r="C21" i="20"/>
  <c r="C20" i="20"/>
  <c r="C18" i="20"/>
  <c r="C17" i="20"/>
  <c r="B58" i="46"/>
  <c r="C16" i="20"/>
  <c r="B47" i="46"/>
  <c r="C15" i="20"/>
  <c r="B69" i="46"/>
  <c r="E54" i="21"/>
  <c r="F54" i="21"/>
  <c r="I54" i="21"/>
  <c r="J54" i="21"/>
  <c r="G54" i="21"/>
  <c r="H54" i="21"/>
  <c r="D125" i="21"/>
  <c r="E125" i="21"/>
  <c r="D119" i="21"/>
  <c r="E119" i="21"/>
  <c r="F119" i="21"/>
  <c r="G119" i="21"/>
  <c r="H119" i="21"/>
  <c r="I119" i="21"/>
  <c r="J119" i="21"/>
  <c r="K119" i="21"/>
  <c r="L119" i="21"/>
  <c r="M119" i="21"/>
  <c r="E117" i="21"/>
  <c r="F117" i="21"/>
  <c r="G117" i="21"/>
  <c r="D115" i="21"/>
  <c r="H113" i="21"/>
  <c r="D110" i="21"/>
  <c r="E110" i="21"/>
  <c r="F110" i="21"/>
  <c r="G110" i="21"/>
  <c r="H110" i="21"/>
  <c r="I110" i="21"/>
  <c r="J110" i="21"/>
  <c r="K110" i="21"/>
  <c r="L110" i="21"/>
  <c r="M110"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E79" i="21"/>
  <c r="F79" i="21"/>
  <c r="G79" i="21"/>
  <c r="E81" i="21"/>
  <c r="E77" i="21"/>
  <c r="F77" i="21"/>
  <c r="F15" i="21"/>
  <c r="AA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F29" i="36"/>
  <c r="F16" i="36"/>
  <c r="AA16" i="36"/>
  <c r="U22" i="36"/>
  <c r="W22" i="36"/>
  <c r="J33" i="36"/>
  <c r="AC33" i="36"/>
  <c r="AC27" i="35"/>
  <c r="S34" i="35"/>
  <c r="S31" i="35"/>
  <c r="F36" i="34"/>
  <c r="W9" i="34"/>
  <c r="W39" i="34"/>
  <c r="H39" i="33"/>
  <c r="AB39" i="33"/>
  <c r="U33" i="33"/>
  <c r="W38" i="33"/>
  <c r="S40" i="33"/>
  <c r="S33" i="33"/>
  <c r="W33" i="33"/>
  <c r="U38" i="33"/>
  <c r="S8" i="21"/>
  <c r="W8" i="21"/>
  <c r="AB27" i="35"/>
  <c r="S10" i="40"/>
  <c r="W10" i="40"/>
  <c r="S11" i="40"/>
  <c r="U11" i="40"/>
  <c r="S36" i="40"/>
  <c r="U36" i="40"/>
  <c r="S36" i="39"/>
  <c r="U36" i="39"/>
  <c r="S42" i="39"/>
  <c r="H32" i="33"/>
  <c r="F100" i="40"/>
  <c r="G100" i="40"/>
  <c r="H100" i="40"/>
  <c r="I100" i="40"/>
  <c r="J100" i="40"/>
  <c r="K100" i="40"/>
  <c r="L100" i="40"/>
  <c r="M100" i="40"/>
  <c r="U9" i="21"/>
  <c r="J27" i="36"/>
  <c r="W27" i="36"/>
  <c r="J30" i="35"/>
  <c r="W30" i="35"/>
  <c r="F22" i="35"/>
  <c r="H10" i="35"/>
  <c r="E85" i="36"/>
  <c r="F85" i="36"/>
  <c r="G85" i="36"/>
  <c r="H85" i="36"/>
  <c r="I85" i="36"/>
  <c r="J85" i="36"/>
  <c r="K85" i="36"/>
  <c r="L85" i="36"/>
  <c r="M85" i="36"/>
  <c r="J29" i="36"/>
  <c r="F12" i="36"/>
  <c r="F34" i="36"/>
  <c r="H16" i="35"/>
  <c r="H33" i="35"/>
  <c r="W8" i="35"/>
  <c r="AC8" i="35"/>
  <c r="F35" i="37"/>
  <c r="S35" i="37"/>
  <c r="G101" i="37"/>
  <c r="H101" i="37"/>
  <c r="I101" i="37"/>
  <c r="J101" i="37"/>
  <c r="K101" i="37"/>
  <c r="L101" i="37"/>
  <c r="M101" i="37"/>
  <c r="J34" i="37"/>
  <c r="W34" i="37"/>
  <c r="H43" i="34"/>
  <c r="U42" i="34"/>
  <c r="H36" i="34"/>
  <c r="U36" i="34"/>
  <c r="F37" i="34"/>
  <c r="F33" i="34"/>
  <c r="AA28" i="34"/>
  <c r="F19" i="34"/>
  <c r="AA19" i="34"/>
  <c r="J10" i="34"/>
  <c r="AC10" i="34"/>
  <c r="S38" i="33"/>
  <c r="E113" i="33"/>
  <c r="F36" i="33"/>
  <c r="F19" i="33"/>
  <c r="J19" i="33"/>
  <c r="W19" i="33"/>
  <c r="W40" i="33"/>
  <c r="F125" i="21"/>
  <c r="G125" i="21"/>
  <c r="G86" i="40"/>
  <c r="AB30" i="36"/>
  <c r="H29" i="35"/>
  <c r="S34" i="37"/>
  <c r="AA34" i="37"/>
  <c r="AC43" i="34"/>
  <c r="W36" i="34"/>
  <c r="J19" i="34"/>
  <c r="AC19" i="34"/>
  <c r="F113" i="33"/>
  <c r="G113" i="33"/>
  <c r="H113" i="33"/>
  <c r="I113" i="33"/>
  <c r="J113" i="33"/>
  <c r="K113" i="33"/>
  <c r="L113" i="33"/>
  <c r="M113" i="33"/>
  <c r="H37" i="33"/>
  <c r="AB37" i="33"/>
  <c r="S37" i="33"/>
  <c r="AC42" i="34"/>
  <c r="W42" i="34"/>
  <c r="AA42" i="34"/>
  <c r="W38" i="34"/>
  <c r="AA38" i="34"/>
  <c r="S38" i="34"/>
  <c r="J37" i="33"/>
  <c r="J44" i="34"/>
  <c r="AC44" i="34"/>
  <c r="F44" i="34"/>
  <c r="J10" i="35"/>
  <c r="U14" i="21"/>
  <c r="U30" i="21"/>
  <c r="S30" i="21"/>
  <c r="W46" i="21"/>
  <c r="F28" i="33"/>
  <c r="J28" i="33"/>
  <c r="F33" i="35"/>
  <c r="S33" i="35"/>
  <c r="J33" i="35"/>
  <c r="W33" i="35"/>
  <c r="F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W29" i="33"/>
  <c r="J45" i="33"/>
  <c r="F45" i="33"/>
  <c r="S45" i="33"/>
  <c r="F11" i="35"/>
  <c r="S11" i="35"/>
  <c r="H28" i="36"/>
  <c r="U28" i="36"/>
  <c r="H32" i="36"/>
  <c r="AB32" i="36"/>
  <c r="J32" i="36"/>
  <c r="J11" i="36"/>
  <c r="F89" i="37"/>
  <c r="G89" i="37"/>
  <c r="H89" i="37"/>
  <c r="I89" i="37"/>
  <c r="J89" i="37"/>
  <c r="K89" i="37"/>
  <c r="L89" i="37"/>
  <c r="M89" i="37"/>
  <c r="J29" i="37"/>
  <c r="AC29" i="37"/>
  <c r="F29" i="37"/>
  <c r="AA29" i="37"/>
  <c r="F105" i="37"/>
  <c r="G105" i="37"/>
  <c r="F107" i="37"/>
  <c r="G107" i="37"/>
  <c r="H107" i="37"/>
  <c r="I107" i="37"/>
  <c r="J107" i="37"/>
  <c r="K107" i="37"/>
  <c r="L107" i="37"/>
  <c r="M107" i="37"/>
  <c r="J37" i="37"/>
  <c r="AC37" i="37"/>
  <c r="H37" i="37"/>
  <c r="U37" i="37"/>
  <c r="U40" i="37"/>
  <c r="F40" i="37"/>
  <c r="H14" i="33"/>
  <c r="F14" i="33"/>
  <c r="J14" i="33"/>
  <c r="H30" i="33"/>
  <c r="U30" i="33"/>
  <c r="J30" i="33"/>
  <c r="H44" i="33"/>
  <c r="J44" i="33"/>
  <c r="AC44" i="33"/>
  <c r="F44" i="33"/>
  <c r="S44" i="33"/>
  <c r="F46" i="33"/>
  <c r="AA46" i="33"/>
  <c r="H13" i="34"/>
  <c r="F13" i="34"/>
  <c r="F29" i="34"/>
  <c r="S29" i="34"/>
  <c r="J31" i="34"/>
  <c r="F31" i="34"/>
  <c r="S31" i="34"/>
  <c r="J45" i="34"/>
  <c r="H47" i="34"/>
  <c r="U47" i="34"/>
  <c r="J47" i="34"/>
  <c r="AC47" i="34"/>
  <c r="AC35" i="35"/>
  <c r="J25" i="36"/>
  <c r="W25" i="36"/>
  <c r="F25" i="36"/>
  <c r="AA25" i="36"/>
  <c r="H25" i="36"/>
  <c r="AB25" i="36"/>
  <c r="H13" i="37"/>
  <c r="AB13" i="37"/>
  <c r="F13" i="37"/>
  <c r="S13" i="37"/>
  <c r="J13" i="37"/>
  <c r="AC13" i="37"/>
  <c r="H38" i="37"/>
  <c r="AB38" i="37"/>
  <c r="J38" i="37"/>
  <c r="F38" i="37"/>
  <c r="S38" i="37"/>
  <c r="F27" i="37"/>
  <c r="J27" i="37"/>
  <c r="AA38" i="37"/>
  <c r="AB40" i="37"/>
  <c r="J36" i="37"/>
  <c r="AC36" i="37"/>
  <c r="AB28" i="36"/>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G125" i="33"/>
  <c r="H43" i="33"/>
  <c r="U43" i="33"/>
  <c r="H17" i="37"/>
  <c r="F23" i="37"/>
  <c r="S23" i="37"/>
  <c r="G79"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J23" i="37"/>
  <c r="W23" i="37"/>
  <c r="F17" i="37"/>
  <c r="AB43" i="33"/>
  <c r="AC23" i="37"/>
  <c r="AC36" i="34"/>
  <c r="AA13" i="33"/>
  <c r="S39" i="33"/>
  <c r="F43" i="33"/>
  <c r="S10" i="35"/>
  <c r="H19" i="34"/>
  <c r="AB19" i="34"/>
  <c r="J10" i="37"/>
  <c r="W10" i="37"/>
  <c r="J9" i="37"/>
  <c r="W9" i="37"/>
  <c r="H9" i="37"/>
  <c r="U9" i="37"/>
  <c r="F9" i="37"/>
  <c r="S9" i="37"/>
  <c r="F11" i="37"/>
  <c r="S11" i="37"/>
  <c r="J12" i="37"/>
  <c r="AC12" i="37"/>
  <c r="H12" i="37"/>
  <c r="AB12" i="37"/>
  <c r="F12" i="37"/>
  <c r="AA12" i="37"/>
  <c r="H15" i="37"/>
  <c r="U15" i="37"/>
  <c r="F31" i="37"/>
  <c r="F94" i="37"/>
  <c r="G94" i="37"/>
  <c r="H94" i="37"/>
  <c r="I94" i="37"/>
  <c r="J94" i="37"/>
  <c r="K94" i="37"/>
  <c r="L94" i="37"/>
  <c r="M94" i="37"/>
  <c r="H31" i="37"/>
  <c r="AB31" i="37"/>
  <c r="J15" i="37"/>
  <c r="W15" i="37"/>
  <c r="U12" i="37"/>
  <c r="AB10" i="37"/>
  <c r="J11" i="37"/>
  <c r="W11" i="37"/>
  <c r="U31" i="37"/>
  <c r="E90" i="40"/>
  <c r="F21" i="40"/>
  <c r="S21" i="40"/>
  <c r="W36" i="40"/>
  <c r="F90" i="40"/>
  <c r="G90" i="40"/>
  <c r="J21" i="40"/>
  <c r="S27" i="31"/>
  <c r="J57" i="39"/>
  <c r="H13" i="40"/>
  <c r="H12" i="48"/>
  <c r="I4" i="4"/>
  <c r="K141" i="21"/>
  <c r="K143" i="21"/>
  <c r="K144" i="21"/>
  <c r="I59" i="40"/>
  <c r="C59" i="40"/>
  <c r="I60" i="40"/>
  <c r="C60" i="40"/>
  <c r="H7" i="48"/>
  <c r="H16" i="48"/>
  <c r="H9" i="48"/>
  <c r="H8" i="48"/>
  <c r="AB15" i="37"/>
  <c r="U43" i="21"/>
  <c r="AA13" i="40"/>
  <c r="F78" i="40"/>
  <c r="G78" i="40"/>
  <c r="H78" i="40"/>
  <c r="I78" i="40"/>
  <c r="J78" i="40"/>
  <c r="K78" i="40"/>
  <c r="L78" i="40"/>
  <c r="M78" i="40"/>
  <c r="D3" i="35"/>
  <c r="G4" i="4"/>
  <c r="J16" i="35"/>
  <c r="AC26" i="36"/>
  <c r="H11" i="37"/>
  <c r="AB11" i="37"/>
  <c r="W37" i="37"/>
  <c r="AA36" i="37"/>
  <c r="S42" i="33"/>
  <c r="AC29" i="33"/>
  <c r="AC10" i="36"/>
  <c r="W44" i="33"/>
  <c r="W32" i="36"/>
  <c r="AC32" i="36"/>
  <c r="U28" i="33"/>
  <c r="J33" i="34"/>
  <c r="AB36" i="34"/>
  <c r="J40" i="34"/>
  <c r="W40" i="34"/>
  <c r="F16" i="35"/>
  <c r="AA16" i="35"/>
  <c r="W42" i="33"/>
  <c r="J35" i="34"/>
  <c r="W35" i="34"/>
  <c r="G107" i="34"/>
  <c r="H107" i="34"/>
  <c r="I107" i="34"/>
  <c r="J107" i="34"/>
  <c r="K107" i="34"/>
  <c r="L107" i="34"/>
  <c r="M107" i="34"/>
  <c r="H16" i="36"/>
  <c r="G103" i="37"/>
  <c r="H103" i="37"/>
  <c r="I103" i="37"/>
  <c r="J103" i="37"/>
  <c r="K103" i="37"/>
  <c r="L103" i="37"/>
  <c r="M103" i="37"/>
  <c r="H35" i="37"/>
  <c r="AB35" i="37"/>
  <c r="S26" i="21"/>
  <c r="U32" i="21"/>
  <c r="U26" i="21"/>
  <c r="U39" i="21"/>
  <c r="W9" i="21"/>
  <c r="S40" i="21"/>
  <c r="S8" i="33"/>
  <c r="AC8" i="33"/>
  <c r="H66" i="33"/>
  <c r="I66" i="33"/>
  <c r="F10" i="33"/>
  <c r="AA10" i="33"/>
  <c r="F11" i="33"/>
  <c r="S11" i="33"/>
  <c r="J15" i="33"/>
  <c r="W15" i="33"/>
  <c r="H19" i="33"/>
  <c r="AB19" i="33"/>
  <c r="F32" i="33"/>
  <c r="AA32" i="33"/>
  <c r="J32" i="33"/>
  <c r="AC32" i="33"/>
  <c r="F35" i="33"/>
  <c r="AA35" i="33"/>
  <c r="F11" i="34"/>
  <c r="E80" i="34"/>
  <c r="F80" i="34"/>
  <c r="G80" i="34"/>
  <c r="H17" i="34"/>
  <c r="AB17" i="34"/>
  <c r="J13" i="33"/>
  <c r="H13" i="33"/>
  <c r="H29" i="33"/>
  <c r="AB29" i="33"/>
  <c r="F29" i="33"/>
  <c r="AA29" i="33"/>
  <c r="J12" i="34"/>
  <c r="H12" i="34"/>
  <c r="AB12" i="34"/>
  <c r="F12" i="34"/>
  <c r="J14" i="34"/>
  <c r="F14" i="34"/>
  <c r="S14" i="34"/>
  <c r="H14" i="34"/>
  <c r="AB14" i="34"/>
  <c r="H30" i="34"/>
  <c r="AB30" i="34"/>
  <c r="F30" i="34"/>
  <c r="J30" i="34"/>
  <c r="H32" i="34"/>
  <c r="F32" i="34"/>
  <c r="J32" i="34"/>
  <c r="W32" i="34"/>
  <c r="H46" i="34"/>
  <c r="AB46" i="34"/>
  <c r="F46" i="34"/>
  <c r="AA46" i="34"/>
  <c r="J46" i="34"/>
  <c r="AC46" i="34"/>
  <c r="H11" i="35"/>
  <c r="AB11" i="35"/>
  <c r="J11" i="35"/>
  <c r="AC11" i="35"/>
  <c r="F96" i="37"/>
  <c r="H32" i="37"/>
  <c r="AB32" i="37"/>
  <c r="F43" i="39"/>
  <c r="AA43" i="39"/>
  <c r="F99" i="37"/>
  <c r="G99" i="37"/>
  <c r="H99" i="37"/>
  <c r="I99" i="37"/>
  <c r="J99" i="37"/>
  <c r="K99" i="37"/>
  <c r="L99" i="37"/>
  <c r="M99" i="37"/>
  <c r="W27" i="33"/>
  <c r="S14" i="21"/>
  <c r="AB29" i="35"/>
  <c r="U29" i="35"/>
  <c r="AC19" i="33"/>
  <c r="U43" i="34"/>
  <c r="AB43" i="34"/>
  <c r="AC34" i="37"/>
  <c r="AA35" i="37"/>
  <c r="S32" i="21"/>
  <c r="AB40" i="33"/>
  <c r="U40" i="33"/>
  <c r="AA35" i="34"/>
  <c r="S35" i="34"/>
  <c r="H27" i="34"/>
  <c r="AB27" i="34"/>
  <c r="J14" i="35"/>
  <c r="AC14" i="35"/>
  <c r="F14" i="35"/>
  <c r="H14" i="35"/>
  <c r="U14"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H27" i="36"/>
  <c r="AB27" i="36"/>
  <c r="AC25" i="37"/>
  <c r="AC26" i="37"/>
  <c r="W26" i="37"/>
  <c r="AA30" i="37"/>
  <c r="S30" i="37"/>
  <c r="AC30" i="37"/>
  <c r="W31" i="37"/>
  <c r="F21" i="39"/>
  <c r="H21" i="39"/>
  <c r="U21" i="39"/>
  <c r="J21" i="39"/>
  <c r="W21" i="39"/>
  <c r="H33" i="39"/>
  <c r="U33" i="39" s="1"/>
  <c r="J33" i="39"/>
  <c r="AC33" i="39" s="1"/>
  <c r="F44" i="39"/>
  <c r="S44" i="39"/>
  <c r="H44" i="39"/>
  <c r="U44" i="39"/>
  <c r="J44" i="39"/>
  <c r="W44" i="39"/>
  <c r="E128" i="39"/>
  <c r="F128" i="39"/>
  <c r="G128" i="39"/>
  <c r="H128" i="39"/>
  <c r="I128" i="39"/>
  <c r="J128" i="39"/>
  <c r="K128" i="39"/>
  <c r="L128" i="39"/>
  <c r="M128" i="39"/>
  <c r="F46" i="39"/>
  <c r="H46" i="39"/>
  <c r="J46" i="39"/>
  <c r="W46" i="39"/>
  <c r="E103" i="39"/>
  <c r="F39" i="39"/>
  <c r="H39" i="39"/>
  <c r="J39" i="39"/>
  <c r="AC39" i="39"/>
  <c r="J29" i="35"/>
  <c r="AC29" i="35"/>
  <c r="F29" i="35"/>
  <c r="S29" i="35"/>
  <c r="W30" i="36"/>
  <c r="AC30" i="36"/>
  <c r="F37" i="39"/>
  <c r="S37" i="39"/>
  <c r="H37" i="39"/>
  <c r="U37" i="39"/>
  <c r="J37" i="39"/>
  <c r="W37" i="39"/>
  <c r="F114" i="34"/>
  <c r="G114" i="34"/>
  <c r="H114" i="34"/>
  <c r="I114" i="34"/>
  <c r="J114" i="34"/>
  <c r="K114" i="34"/>
  <c r="L114" i="34"/>
  <c r="M114" i="34"/>
  <c r="H38" i="34"/>
  <c r="U38" i="34"/>
  <c r="H30" i="40"/>
  <c r="AB30" i="40"/>
  <c r="J30" i="40"/>
  <c r="AC30" i="40"/>
  <c r="F38" i="40"/>
  <c r="AA38" i="40"/>
  <c r="W12" i="21"/>
  <c r="U8" i="21"/>
  <c r="S34" i="21"/>
  <c r="AB8" i="33"/>
  <c r="U8" i="33"/>
  <c r="E106" i="33"/>
  <c r="H34" i="33"/>
  <c r="F34" i="33"/>
  <c r="E121" i="33"/>
  <c r="F121" i="33"/>
  <c r="G121" i="33"/>
  <c r="H121" i="33"/>
  <c r="I121" i="33"/>
  <c r="J121" i="33"/>
  <c r="K121" i="33"/>
  <c r="L121" i="33"/>
  <c r="M121" i="33"/>
  <c r="F41" i="33"/>
  <c r="S41" i="33"/>
  <c r="AC34" i="34"/>
  <c r="W34" i="34"/>
  <c r="E78" i="34"/>
  <c r="F15" i="34"/>
  <c r="AC28" i="35"/>
  <c r="W28" i="35"/>
  <c r="J20" i="35"/>
  <c r="E72" i="35"/>
  <c r="F72" i="35"/>
  <c r="G72" i="35"/>
  <c r="H22" i="35"/>
  <c r="AB22" i="35"/>
  <c r="H23" i="35"/>
  <c r="F23" i="35"/>
  <c r="AA23" i="35"/>
  <c r="W12" i="36"/>
  <c r="U31" i="36"/>
  <c r="AA8" i="37"/>
  <c r="F15" i="40"/>
  <c r="AA15" i="40"/>
  <c r="J15" i="40"/>
  <c r="AC15" i="40"/>
  <c r="H15" i="40"/>
  <c r="AB15" i="40"/>
  <c r="E92" i="40"/>
  <c r="F92" i="40"/>
  <c r="H23" i="40"/>
  <c r="U23" i="40"/>
  <c r="H41" i="40"/>
  <c r="AB41" i="40"/>
  <c r="F41" i="40"/>
  <c r="AA41" i="40"/>
  <c r="J41" i="40"/>
  <c r="H36" i="33"/>
  <c r="AB36" i="33"/>
  <c r="H37" i="34"/>
  <c r="U37" i="34"/>
  <c r="F15" i="39"/>
  <c r="AA15" i="39" s="1"/>
  <c r="H15" i="39"/>
  <c r="U15" i="39" s="1"/>
  <c r="J15" i="39"/>
  <c r="AC15" i="39" s="1"/>
  <c r="J25" i="39"/>
  <c r="AC25" i="39" s="1"/>
  <c r="F25" i="39"/>
  <c r="AA25" i="39" s="1"/>
  <c r="F45" i="39"/>
  <c r="AA45" i="39"/>
  <c r="H45" i="39"/>
  <c r="J45" i="39"/>
  <c r="F47" i="39"/>
  <c r="AA47" i="39"/>
  <c r="H47" i="39"/>
  <c r="J47" i="39"/>
  <c r="F41" i="39"/>
  <c r="AA41" i="39"/>
  <c r="H41" i="39"/>
  <c r="J41" i="39"/>
  <c r="E94" i="40"/>
  <c r="F94" i="40"/>
  <c r="J25" i="40"/>
  <c r="AC25" i="40"/>
  <c r="J32" i="40"/>
  <c r="AC32" i="40"/>
  <c r="H32" i="40"/>
  <c r="U32" i="40"/>
  <c r="H33" i="40"/>
  <c r="AB33" i="40"/>
  <c r="F33" i="40"/>
  <c r="AA33" i="40"/>
  <c r="J33" i="40"/>
  <c r="AC33" i="40"/>
  <c r="J16" i="40"/>
  <c r="W16" i="40"/>
  <c r="J14" i="40"/>
  <c r="W14" i="40"/>
  <c r="H42" i="40"/>
  <c r="H40" i="40"/>
  <c r="U40" i="40"/>
  <c r="H34" i="40"/>
  <c r="U34" i="40"/>
  <c r="J42" i="40"/>
  <c r="AC42" i="40"/>
  <c r="J40" i="40"/>
  <c r="AC40" i="40"/>
  <c r="J34" i="40"/>
  <c r="H16" i="40"/>
  <c r="AB16" i="40"/>
  <c r="H14" i="40"/>
  <c r="F32" i="40"/>
  <c r="M1" i="46"/>
  <c r="M6" i="46"/>
  <c r="M10" i="46"/>
  <c r="N2" i="46"/>
  <c r="N5" i="46"/>
  <c r="H49" i="46"/>
  <c r="N7" i="46"/>
  <c r="M7" i="46"/>
  <c r="M11" i="46"/>
  <c r="N3" i="46"/>
  <c r="N6" i="46"/>
  <c r="N10" i="46"/>
  <c r="H47" i="46"/>
  <c r="J13" i="40"/>
  <c r="W13" i="40"/>
  <c r="W40" i="40"/>
  <c r="AC14" i="40"/>
  <c r="S33" i="40"/>
  <c r="S47" i="39"/>
  <c r="AB37" i="34"/>
  <c r="AC41" i="40"/>
  <c r="W41" i="40"/>
  <c r="U41" i="40"/>
  <c r="J23" i="40"/>
  <c r="G92" i="40"/>
  <c r="F23" i="40"/>
  <c r="S23" i="40"/>
  <c r="U23" i="35"/>
  <c r="AB23" i="35"/>
  <c r="H20" i="35"/>
  <c r="F20" i="35"/>
  <c r="S20" i="35"/>
  <c r="H15" i="34"/>
  <c r="F78" i="34"/>
  <c r="G78" i="34"/>
  <c r="J15" i="34"/>
  <c r="W15" i="34"/>
  <c r="H41" i="33"/>
  <c r="F30" i="40"/>
  <c r="AB38" i="34"/>
  <c r="AB37" i="39"/>
  <c r="AA29" i="35"/>
  <c r="AA14" i="35"/>
  <c r="S14" i="35"/>
  <c r="F33" i="37"/>
  <c r="AA14" i="34"/>
  <c r="U17" i="34"/>
  <c r="W32" i="33"/>
  <c r="H15" i="33"/>
  <c r="U15" i="33"/>
  <c r="AA11" i="33"/>
  <c r="U16" i="40"/>
  <c r="AB34" i="40"/>
  <c r="AB42" i="40"/>
  <c r="U42" i="40"/>
  <c r="AC16" i="40"/>
  <c r="W32" i="40"/>
  <c r="H25" i="40"/>
  <c r="AB25" i="40"/>
  <c r="G94" i="40"/>
  <c r="J37" i="34"/>
  <c r="AC37" i="34"/>
  <c r="J36" i="33"/>
  <c r="W36" i="33"/>
  <c r="S41" i="40"/>
  <c r="AB23" i="40"/>
  <c r="S15" i="34"/>
  <c r="AA15" i="34"/>
  <c r="AA41" i="33"/>
  <c r="F106" i="33"/>
  <c r="G106" i="33"/>
  <c r="H106" i="33"/>
  <c r="I106" i="33"/>
  <c r="J106" i="33"/>
  <c r="K106" i="33"/>
  <c r="L106" i="33"/>
  <c r="M106" i="33"/>
  <c r="J34" i="33"/>
  <c r="AC34" i="33"/>
  <c r="AA37" i="39"/>
  <c r="W29" i="35"/>
  <c r="W39" i="39"/>
  <c r="AA39" i="39"/>
  <c r="S39" i="39"/>
  <c r="AB44" i="39"/>
  <c r="W14" i="35"/>
  <c r="G90" i="34"/>
  <c r="H90" i="34"/>
  <c r="I90" i="34"/>
  <c r="J90" i="34"/>
  <c r="K90" i="34"/>
  <c r="L90" i="34"/>
  <c r="M90" i="34"/>
  <c r="G96" i="37"/>
  <c r="H96" i="37"/>
  <c r="I96" i="37"/>
  <c r="J96" i="37"/>
  <c r="K96" i="37"/>
  <c r="L96" i="37"/>
  <c r="M96" i="37"/>
  <c r="F32" i="37"/>
  <c r="U11" i="35"/>
  <c r="S46" i="34"/>
  <c r="U14" i="34"/>
  <c r="U12" i="34"/>
  <c r="F17" i="34"/>
  <c r="AA17" i="34"/>
  <c r="J17" i="34"/>
  <c r="H11" i="34"/>
  <c r="J35" i="33"/>
  <c r="S32" i="33"/>
  <c r="AC15" i="33"/>
  <c r="H11" i="33"/>
  <c r="U11" i="33"/>
  <c r="H10" i="33"/>
  <c r="U10" i="33"/>
  <c r="J10" i="33"/>
  <c r="AC10" i="33"/>
  <c r="U40" i="21"/>
  <c r="AC13" i="40"/>
  <c r="J11" i="34"/>
  <c r="W11" i="34"/>
  <c r="AC36" i="33"/>
  <c r="F25" i="40"/>
  <c r="AA25" i="40"/>
  <c r="J11" i="33"/>
  <c r="H33" i="37"/>
  <c r="AC15" i="34"/>
  <c r="U20" i="35"/>
  <c r="AB20" i="35"/>
  <c r="AA44" i="39"/>
  <c r="AB31" i="39"/>
  <c r="AB33" i="39"/>
  <c r="AC21" i="39"/>
  <c r="J31" i="39"/>
  <c r="AC31" i="39"/>
  <c r="AC37" i="39"/>
  <c r="AC44" i="39"/>
  <c r="D18" i="9"/>
  <c r="M44" i="9"/>
  <c r="C24" i="9"/>
  <c r="AP11" i="1"/>
  <c r="AC25" i="36"/>
  <c r="AA26" i="36"/>
  <c r="AA28" i="36"/>
  <c r="U25" i="36"/>
  <c r="H20" i="36"/>
  <c r="F68" i="36"/>
  <c r="G68" i="36"/>
  <c r="J20" i="36"/>
  <c r="AC20" i="36"/>
  <c r="F20" i="36"/>
  <c r="S20" i="36"/>
  <c r="J14" i="36"/>
  <c r="AC14" i="36"/>
  <c r="H14" i="36"/>
  <c r="F14" i="36"/>
  <c r="AA14" i="36"/>
  <c r="W20" i="36"/>
  <c r="U27" i="36"/>
  <c r="U32" i="36"/>
  <c r="AA27" i="36"/>
  <c r="S16" i="36"/>
  <c r="U22" i="35"/>
  <c r="S8" i="35"/>
  <c r="S23" i="35"/>
  <c r="S16" i="35"/>
  <c r="AB14" i="35"/>
  <c r="AC18" i="35"/>
  <c r="W18" i="35"/>
  <c r="U18" i="35"/>
  <c r="AB18" i="35"/>
  <c r="AB30" i="35"/>
  <c r="S27" i="35"/>
  <c r="S28" i="35"/>
  <c r="J26" i="35"/>
  <c r="F26" i="35"/>
  <c r="S26" i="35"/>
  <c r="H26" i="35"/>
  <c r="AB9" i="37"/>
  <c r="W12" i="37"/>
  <c r="AA9" i="37"/>
  <c r="AB37" i="37"/>
  <c r="S33" i="37"/>
  <c r="AA33" i="37"/>
  <c r="U32" i="37"/>
  <c r="J33" i="37"/>
  <c r="W33" i="37"/>
  <c r="S29" i="37"/>
  <c r="J19" i="37"/>
  <c r="AC19" i="37"/>
  <c r="F19" i="37"/>
  <c r="AA19" i="37"/>
  <c r="H19" i="37"/>
  <c r="U19" i="37"/>
  <c r="J17" i="37"/>
  <c r="S15" i="37"/>
  <c r="AC10" i="37"/>
  <c r="AC21" i="37"/>
  <c r="W21" i="37"/>
  <c r="AC11" i="37"/>
  <c r="AC9" i="37"/>
  <c r="W32" i="37"/>
  <c r="U35" i="37"/>
  <c r="U8" i="37"/>
  <c r="AB25" i="37"/>
  <c r="AB21" i="37"/>
  <c r="U21" i="37"/>
  <c r="S37" i="37"/>
  <c r="AA11" i="37"/>
  <c r="AA40" i="34"/>
  <c r="AB33" i="34"/>
  <c r="AC35" i="34"/>
  <c r="AC32" i="34"/>
  <c r="J25" i="34"/>
  <c r="H25" i="34"/>
  <c r="AB25" i="34"/>
  <c r="F25" i="34"/>
  <c r="J23" i="34"/>
  <c r="W23" i="34"/>
  <c r="F23" i="34"/>
  <c r="H23" i="34"/>
  <c r="AB23" i="34"/>
  <c r="AC11" i="34"/>
  <c r="W10" i="34"/>
  <c r="W37" i="34"/>
  <c r="AC40" i="34"/>
  <c r="W44" i="34"/>
  <c r="W19" i="34"/>
  <c r="AC21" i="34"/>
  <c r="W21" i="34"/>
  <c r="AB21" i="34"/>
  <c r="U21" i="34"/>
  <c r="U19" i="34"/>
  <c r="AB41" i="34"/>
  <c r="AA41" i="34"/>
  <c r="S10" i="34"/>
  <c r="U39" i="33"/>
  <c r="U37" i="33"/>
  <c r="S35" i="33"/>
  <c r="AB11" i="33"/>
  <c r="S29" i="33"/>
  <c r="W39" i="33"/>
  <c r="U35" i="33"/>
  <c r="H25" i="33"/>
  <c r="J25" i="33"/>
  <c r="W25" i="33"/>
  <c r="F87" i="33"/>
  <c r="G87" i="33"/>
  <c r="H87" i="33"/>
  <c r="I87" i="33"/>
  <c r="J87" i="33"/>
  <c r="K87" i="33"/>
  <c r="L87" i="33"/>
  <c r="M87" i="33"/>
  <c r="F25" i="33"/>
  <c r="S25" i="33"/>
  <c r="G85" i="33"/>
  <c r="J23" i="33"/>
  <c r="F23" i="33"/>
  <c r="AA23" i="33"/>
  <c r="H23" i="33"/>
  <c r="U19" i="33"/>
  <c r="G79" i="33"/>
  <c r="F17" i="33"/>
  <c r="H17" i="33"/>
  <c r="AB17" i="33"/>
  <c r="J17" i="33"/>
  <c r="AB15" i="33"/>
  <c r="S10" i="33"/>
  <c r="W10" i="33"/>
  <c r="AC21" i="33"/>
  <c r="W21" i="33"/>
  <c r="AB21" i="33"/>
  <c r="U21" i="33"/>
  <c r="AA21" i="33"/>
  <c r="S21" i="33"/>
  <c r="AA44" i="33"/>
  <c r="S44" i="21"/>
  <c r="W39" i="21"/>
  <c r="W32" i="21"/>
  <c r="W43" i="21"/>
  <c r="W28" i="21"/>
  <c r="G77" i="21"/>
  <c r="W13" i="21"/>
  <c r="W44" i="21"/>
  <c r="W33" i="40"/>
  <c r="U33" i="40"/>
  <c r="U15" i="40"/>
  <c r="S14" i="40"/>
  <c r="S15" i="40"/>
  <c r="S16" i="40"/>
  <c r="W11" i="40"/>
  <c r="AA21" i="40"/>
  <c r="U21" i="40"/>
  <c r="W25" i="40"/>
  <c r="U25" i="40"/>
  <c r="W42"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AA23" i="40"/>
  <c r="F88" i="40"/>
  <c r="G88" i="40"/>
  <c r="F19" i="40"/>
  <c r="AA19" i="40"/>
  <c r="H19" i="40"/>
  <c r="J19" i="40"/>
  <c r="W19" i="40"/>
  <c r="AC17" i="40"/>
  <c r="F17" i="40"/>
  <c r="AA17" i="40"/>
  <c r="H17" i="40"/>
  <c r="AB17" i="40"/>
  <c r="U10" i="40"/>
  <c r="U27" i="40"/>
  <c r="AB27" i="40"/>
  <c r="S11" i="39"/>
  <c r="U31" i="39"/>
  <c r="B22" i="63"/>
  <c r="A18" i="64"/>
  <c r="B74" i="63"/>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W11" i="35"/>
  <c r="AA11" i="35"/>
  <c r="U13" i="37"/>
  <c r="S13" i="21"/>
  <c r="C25" i="9"/>
  <c r="B6" i="63"/>
  <c r="B46" i="50"/>
  <c r="B4" i="63"/>
  <c r="H77" i="46"/>
  <c r="H73" i="46"/>
  <c r="H69" i="46"/>
  <c r="H74" i="46"/>
  <c r="H86" i="46"/>
  <c r="H82" i="46"/>
  <c r="H63" i="46"/>
  <c r="H59" i="46"/>
  <c r="H64" i="46"/>
  <c r="H60" i="46"/>
  <c r="H10" i="48"/>
  <c r="H87" i="46"/>
  <c r="H85" i="46"/>
  <c r="H83" i="46"/>
  <c r="R13" i="1"/>
  <c r="B10" i="1"/>
  <c r="E10" i="1"/>
  <c r="B8" i="1"/>
  <c r="E8" i="1"/>
  <c r="B12" i="1"/>
  <c r="E12" i="1"/>
  <c r="F66" i="36"/>
  <c r="H18" i="36"/>
  <c r="AB18" i="36"/>
  <c r="S25" i="36"/>
  <c r="U23" i="36"/>
  <c r="AC27" i="36"/>
  <c r="W28" i="36"/>
  <c r="AA22" i="36"/>
  <c r="U10" i="36"/>
  <c r="W9" i="36"/>
  <c r="AC30" i="35"/>
  <c r="W32" i="35"/>
  <c r="AA33" i="35"/>
  <c r="U32" i="35"/>
  <c r="W22" i="35"/>
  <c r="W34" i="35"/>
  <c r="S32" i="35"/>
  <c r="AC33" i="37"/>
  <c r="AC15" i="37"/>
  <c r="AA13" i="37"/>
  <c r="S12" i="37"/>
  <c r="W36" i="37"/>
  <c r="S28" i="37"/>
  <c r="W13" i="37"/>
  <c r="U38" i="37"/>
  <c r="AB35" i="34"/>
  <c r="AB47" i="34"/>
  <c r="AA29" i="34"/>
  <c r="S19" i="34"/>
  <c r="S8" i="34"/>
  <c r="AC25" i="33"/>
  <c r="AB42" i="33"/>
  <c r="S15" i="33"/>
  <c r="S39" i="21"/>
  <c r="W25" i="21"/>
  <c r="U27" i="21"/>
  <c r="W31" i="21"/>
  <c r="S27" i="21"/>
  <c r="W29" i="21"/>
  <c r="G96" i="40"/>
  <c r="J27" i="40"/>
  <c r="AC27" i="40"/>
  <c r="W37" i="40"/>
  <c r="S17" i="40"/>
  <c r="W30" i="40"/>
  <c r="S34" i="40"/>
  <c r="U17" i="40"/>
  <c r="U38" i="40"/>
  <c r="S40" i="40"/>
  <c r="S42" i="40"/>
  <c r="W42" i="39"/>
  <c r="W36" i="39"/>
  <c r="W10" i="39"/>
  <c r="W11" i="39"/>
  <c r="U42" i="39"/>
  <c r="C27" i="39"/>
  <c r="C17" i="39"/>
  <c r="C19" i="39"/>
  <c r="C21" i="39"/>
  <c r="C23" i="40"/>
  <c r="B51" i="46"/>
  <c r="B59" i="46"/>
  <c r="B66" i="46"/>
  <c r="B64" i="46"/>
  <c r="D24" i="15"/>
  <c r="AG6" i="1"/>
  <c r="AA20" i="36"/>
  <c r="U14" i="36"/>
  <c r="AB14" i="36"/>
  <c r="U18" i="36"/>
  <c r="U26" i="35"/>
  <c r="AB26" i="35"/>
  <c r="W26" i="35"/>
  <c r="AC26" i="35"/>
  <c r="S19" i="37"/>
  <c r="W19" i="37"/>
  <c r="AB19" i="37"/>
  <c r="AC17" i="37"/>
  <c r="W17" i="37"/>
  <c r="AA25" i="34"/>
  <c r="S25" i="34"/>
  <c r="W25" i="34"/>
  <c r="AC25" i="34"/>
  <c r="U23" i="34"/>
  <c r="AA23" i="34"/>
  <c r="S23" i="34"/>
  <c r="AA25" i="33"/>
  <c r="U23" i="33"/>
  <c r="AB23" i="33"/>
  <c r="W23" i="33"/>
  <c r="AC23" i="33"/>
  <c r="S23" i="33"/>
  <c r="W17" i="33"/>
  <c r="AC17" i="33"/>
  <c r="AA17" i="33"/>
  <c r="S17" i="33"/>
  <c r="U17" i="33"/>
  <c r="AB39" i="40"/>
  <c r="U39" i="40"/>
  <c r="AA39" i="40"/>
  <c r="S39" i="40"/>
  <c r="U37" i="40"/>
  <c r="AB37" i="40"/>
  <c r="S37" i="40"/>
  <c r="U29" i="40"/>
  <c r="AB29" i="40"/>
  <c r="S29" i="40"/>
  <c r="AC19" i="40"/>
  <c r="S19" i="40"/>
  <c r="AB19" i="40"/>
  <c r="U19" i="40"/>
  <c r="W27" i="40"/>
  <c r="W31" i="39"/>
  <c r="AT6" i="3"/>
  <c r="H70" i="46"/>
  <c r="H72" i="46"/>
  <c r="A9" i="51"/>
  <c r="B9" i="63"/>
  <c r="E4" i="4"/>
  <c r="B21" i="55"/>
  <c r="B72" i="63"/>
  <c r="C4" i="4"/>
  <c r="B20" i="55"/>
  <c r="B70" i="63"/>
  <c r="G66" i="36"/>
  <c r="J18" i="36"/>
  <c r="W18" i="36"/>
  <c r="AE6" i="1"/>
  <c r="F33" i="44"/>
  <c r="F31" i="15"/>
  <c r="F58" i="15"/>
  <c r="M17" i="15"/>
  <c r="M19" i="44"/>
  <c r="AC18" i="36"/>
  <c r="C45" i="9"/>
  <c r="D77" i="9"/>
  <c r="N75" i="9"/>
  <c r="K31" i="9"/>
  <c r="K32" i="9"/>
  <c r="N76" i="9"/>
  <c r="C46" i="9"/>
  <c r="K33" i="9"/>
  <c r="K34" i="9"/>
  <c r="O41" i="9"/>
  <c r="R8" i="54"/>
  <c r="I14" i="66"/>
  <c r="B8" i="66"/>
  <c r="B54" i="63"/>
  <c r="S17" i="34"/>
  <c r="AB32" i="40"/>
  <c r="AA23" i="37"/>
  <c r="AA30" i="33"/>
  <c r="AA45" i="33"/>
  <c r="W37" i="33"/>
  <c r="AC37" i="33"/>
  <c r="AA37" i="34"/>
  <c r="S37" i="34"/>
  <c r="C29" i="39"/>
  <c r="F26" i="33"/>
  <c r="S26" i="33"/>
  <c r="AB9" i="34"/>
  <c r="U9" i="34"/>
  <c r="U17" i="37"/>
  <c r="AB17" i="37"/>
  <c r="W29" i="37"/>
  <c r="W45" i="33"/>
  <c r="AC45" i="33"/>
  <c r="AA22" i="35"/>
  <c r="S22" i="35"/>
  <c r="B70" i="46"/>
  <c r="J9" i="33"/>
  <c r="F9" i="33"/>
  <c r="AA9" i="33"/>
  <c r="U45" i="33"/>
  <c r="AC23" i="35"/>
  <c r="D48" i="59"/>
  <c r="T48" i="59"/>
  <c r="D27" i="59"/>
  <c r="C28" i="59"/>
  <c r="C31" i="59"/>
  <c r="D31" i="59"/>
  <c r="D30" i="59"/>
  <c r="C43" i="59"/>
  <c r="D42" i="59"/>
  <c r="P51" i="59"/>
  <c r="E50" i="59"/>
  <c r="F36" i="35"/>
  <c r="AC8" i="37"/>
  <c r="H28" i="34"/>
  <c r="AB27" i="37"/>
  <c r="J14" i="37"/>
  <c r="F14" i="37"/>
  <c r="H28" i="37"/>
  <c r="J28" i="37"/>
  <c r="H35" i="35"/>
  <c r="F35" i="35"/>
  <c r="F25" i="35"/>
  <c r="S25" i="35"/>
  <c r="J13" i="35"/>
  <c r="J40" i="37"/>
  <c r="F13" i="36"/>
  <c r="H31" i="33"/>
  <c r="AB31" i="33"/>
  <c r="U34" i="37"/>
  <c r="J28" i="34"/>
  <c r="U29" i="36"/>
  <c r="U34" i="35"/>
  <c r="W36" i="35"/>
  <c r="U31" i="35"/>
  <c r="AC31" i="36"/>
  <c r="U30" i="37"/>
  <c r="J15" i="21"/>
  <c r="AC15" i="21"/>
  <c r="J17" i="21"/>
  <c r="H17" i="21"/>
  <c r="AB17" i="21"/>
  <c r="H35" i="21"/>
  <c r="AB35" i="21"/>
  <c r="F38" i="21"/>
  <c r="S38" i="21"/>
  <c r="H38" i="21"/>
  <c r="AB38" i="21"/>
  <c r="F9" i="36"/>
  <c r="H9" i="36"/>
  <c r="AB9" i="36"/>
  <c r="E26" i="57"/>
  <c r="C35" i="59"/>
  <c r="D34" i="59"/>
  <c r="Q50" i="59"/>
  <c r="Q49" i="59"/>
  <c r="E8" i="46"/>
  <c r="E10" i="46"/>
  <c r="E9" i="46"/>
  <c r="E11" i="46"/>
  <c r="C11" i="59"/>
  <c r="D12" i="59"/>
  <c r="T12" i="59"/>
  <c r="U12" i="59"/>
  <c r="E11" i="59"/>
  <c r="E10" i="59"/>
  <c r="S21" i="37"/>
  <c r="C59" i="59"/>
  <c r="U52" i="59"/>
  <c r="Q51" i="59"/>
  <c r="B51" i="59"/>
  <c r="AD12" i="46"/>
  <c r="AH12" i="46"/>
  <c r="K76" i="9"/>
  <c r="K77" i="9"/>
  <c r="K79" i="9"/>
  <c r="K81" i="9"/>
  <c r="F108" i="46"/>
  <c r="E108" i="46"/>
  <c r="F17" i="21"/>
  <c r="S17" i="21"/>
  <c r="J21" i="21"/>
  <c r="W21" i="21"/>
  <c r="F21" i="21"/>
  <c r="F35" i="46"/>
  <c r="F38" i="46"/>
  <c r="J17" i="46"/>
  <c r="H17" i="46"/>
  <c r="H46" i="21"/>
  <c r="H44" i="21"/>
  <c r="AB44" i="21"/>
  <c r="H21" i="21"/>
  <c r="J10" i="21"/>
  <c r="AC10" i="21"/>
  <c r="F10" i="21"/>
  <c r="BA298" i="3"/>
  <c r="AZ298" i="3"/>
  <c r="BL295" i="3"/>
  <c r="AZ295" i="3"/>
  <c r="BA294" i="3"/>
  <c r="AZ294" i="3"/>
  <c r="BL297" i="3"/>
  <c r="AZ297" i="3"/>
  <c r="BA296" i="3"/>
  <c r="AZ296" i="3"/>
  <c r="BL293" i="3"/>
  <c r="AZ293" i="3"/>
  <c r="BA292" i="3"/>
  <c r="AZ292" i="3"/>
  <c r="BA78" i="3"/>
  <c r="AZ78" i="3"/>
  <c r="BL75" i="3"/>
  <c r="AZ75" i="3"/>
  <c r="BA74" i="3"/>
  <c r="AZ74" i="3"/>
  <c r="BL71" i="3"/>
  <c r="AZ71" i="3"/>
  <c r="BA70" i="3"/>
  <c r="AZ70" i="3"/>
  <c r="BL67" i="3"/>
  <c r="AZ67" i="3"/>
  <c r="BA66" i="3"/>
  <c r="AZ66" i="3"/>
  <c r="BL63" i="3"/>
  <c r="AZ63" i="3"/>
  <c r="BL77" i="3"/>
  <c r="AZ77" i="3"/>
  <c r="BA76" i="3"/>
  <c r="AZ76" i="3"/>
  <c r="BL73" i="3"/>
  <c r="AZ73" i="3"/>
  <c r="BA72" i="3"/>
  <c r="AZ72" i="3"/>
  <c r="BL69" i="3"/>
  <c r="AZ69" i="3"/>
  <c r="BA68" i="3"/>
  <c r="AZ68" i="3"/>
  <c r="BL65" i="3"/>
  <c r="AZ65" i="3"/>
  <c r="BA64" i="3"/>
  <c r="AZ64" i="3"/>
  <c r="BL29" i="3"/>
  <c r="BA28" i="3"/>
  <c r="BA24" i="3"/>
  <c r="AZ24" i="3"/>
  <c r="BL21" i="3"/>
  <c r="BA30" i="3"/>
  <c r="BL27" i="3"/>
  <c r="BL23" i="3"/>
  <c r="F23" i="21"/>
  <c r="H23" i="21"/>
  <c r="J23" i="21"/>
  <c r="AC23" i="21"/>
  <c r="F85" i="21"/>
  <c r="G85" i="21"/>
  <c r="J19" i="21"/>
  <c r="H15" i="21"/>
  <c r="U15" i="21"/>
  <c r="F17" i="39"/>
  <c r="AA17" i="39" s="1"/>
  <c r="W10" i="21"/>
  <c r="U44" i="21"/>
  <c r="AA21" i="21"/>
  <c r="S21" i="21"/>
  <c r="D59" i="59"/>
  <c r="C58" i="59"/>
  <c r="D58" i="59"/>
  <c r="D35" i="59"/>
  <c r="C36" i="59"/>
  <c r="T36" i="59"/>
  <c r="AA9" i="36"/>
  <c r="S9" i="36"/>
  <c r="AC17" i="21"/>
  <c r="W17" i="21"/>
  <c r="AC28" i="34"/>
  <c r="W28" i="34"/>
  <c r="AC40" i="37"/>
  <c r="W40" i="37"/>
  <c r="AB35" i="35"/>
  <c r="U35" i="35"/>
  <c r="U28" i="37"/>
  <c r="AB28" i="37"/>
  <c r="AC14" i="37"/>
  <c r="W14" i="37"/>
  <c r="AB28" i="34"/>
  <c r="U28" i="34"/>
  <c r="AA36" i="35"/>
  <c r="S36" i="35"/>
  <c r="C44" i="59"/>
  <c r="T44" i="59"/>
  <c r="D43" i="59"/>
  <c r="U9" i="33"/>
  <c r="AB9" i="33"/>
  <c r="AA10" i="21"/>
  <c r="S10" i="21"/>
  <c r="AB21" i="21"/>
  <c r="U21" i="21"/>
  <c r="AB46" i="21"/>
  <c r="U46" i="21"/>
  <c r="AC21" i="21"/>
  <c r="AA17" i="21"/>
  <c r="B50" i="59"/>
  <c r="N49" i="59"/>
  <c r="N51" i="59"/>
  <c r="C10" i="59"/>
  <c r="D10" i="59"/>
  <c r="D11" i="59"/>
  <c r="C7" i="46"/>
  <c r="U9" i="36"/>
  <c r="U38" i="21"/>
  <c r="AA38" i="21"/>
  <c r="U17" i="21"/>
  <c r="U31" i="33"/>
  <c r="S13" i="36"/>
  <c r="AA13" i="36"/>
  <c r="AC13" i="35"/>
  <c r="W13" i="35"/>
  <c r="AA25" i="35"/>
  <c r="S35" i="35"/>
  <c r="AA35" i="35"/>
  <c r="W28" i="37"/>
  <c r="AC28" i="37"/>
  <c r="S14" i="37"/>
  <c r="AA14" i="37"/>
  <c r="P50" i="59"/>
  <c r="P49" i="59"/>
  <c r="D28" i="59"/>
  <c r="T28" i="59"/>
  <c r="S9" i="33"/>
  <c r="W9" i="33"/>
  <c r="AC9" i="33"/>
  <c r="AA26" i="33"/>
  <c r="S23" i="21"/>
  <c r="AA23" i="21"/>
  <c r="AB23" i="21"/>
  <c r="U23" i="21"/>
  <c r="AC19" i="21"/>
  <c r="W19" i="21"/>
  <c r="AB15" i="21"/>
  <c r="S15" i="21"/>
  <c r="N50" i="59"/>
  <c r="D44" i="59"/>
  <c r="D36" i="59"/>
  <c r="F34" i="72"/>
  <c r="F61" i="72"/>
  <c r="M20" i="77"/>
  <c r="F34" i="77"/>
  <c r="F61" i="77" s="1"/>
  <c r="D24" i="44"/>
  <c r="F32" i="77"/>
  <c r="F59" i="77"/>
  <c r="F28" i="77"/>
  <c r="M18" i="77"/>
  <c r="G1" i="77"/>
  <c r="F3" i="35"/>
  <c r="L16" i="4"/>
  <c r="N16" i="4"/>
  <c r="AP10" i="1"/>
  <c r="R16" i="4"/>
  <c r="G26" i="3"/>
  <c r="G25" i="3"/>
  <c r="G24" i="3"/>
  <c r="BL28" i="3"/>
  <c r="AZ28" i="3"/>
  <c r="AZ30" i="3"/>
  <c r="BA16" i="3"/>
  <c r="AZ16" i="3"/>
  <c r="BL31" i="3"/>
  <c r="BL22" i="3"/>
  <c r="BA22" i="3"/>
  <c r="BG5" i="3"/>
  <c r="U11" i="39"/>
  <c r="C92" i="9"/>
  <c r="D22" i="72"/>
  <c r="G23" i="43"/>
  <c r="D26" i="44"/>
  <c r="G26" i="12"/>
  <c r="G28" i="12"/>
  <c r="B11" i="1"/>
  <c r="E11" i="1"/>
  <c r="G1" i="15"/>
  <c r="K1" i="43"/>
  <c r="G1" i="44"/>
  <c r="BL26" i="3"/>
  <c r="BL25" i="3"/>
  <c r="BA20" i="3"/>
  <c r="AZ20" i="3"/>
  <c r="G21" i="3"/>
  <c r="E9" i="12"/>
  <c r="BA26" i="3"/>
  <c r="AZ26" i="3"/>
  <c r="G27" i="3"/>
  <c r="G23" i="3"/>
  <c r="G16" i="3"/>
  <c r="BK5" i="3"/>
  <c r="BI5" i="3"/>
  <c r="BE5" i="3"/>
  <c r="BJ5" i="3"/>
  <c r="BH5" i="3"/>
  <c r="BF5" i="3"/>
  <c r="G18" i="3"/>
  <c r="W36" i="21"/>
  <c r="G83" i="39"/>
  <c r="H83" i="39"/>
  <c r="I83" i="39"/>
  <c r="J83" i="39"/>
  <c r="K83" i="39"/>
  <c r="L83" i="39"/>
  <c r="M83" i="39"/>
  <c r="C16" i="46"/>
  <c r="C5" i="46"/>
  <c r="K1" i="12"/>
  <c r="U35" i="21"/>
  <c r="W23" i="21"/>
  <c r="W15" i="21"/>
  <c r="G123" i="21"/>
  <c r="H123" i="21"/>
  <c r="I123" i="21"/>
  <c r="J123" i="21"/>
  <c r="K123" i="21"/>
  <c r="L123" i="21"/>
  <c r="M123" i="21"/>
  <c r="J42" i="21"/>
  <c r="W42" i="21"/>
  <c r="H42" i="21"/>
  <c r="F42" i="21"/>
  <c r="F8" i="1"/>
  <c r="AP8" i="1" s="1"/>
  <c r="BD5" i="3"/>
  <c r="G19" i="3"/>
  <c r="BL19" i="3"/>
  <c r="D96" i="9"/>
  <c r="D111" i="9"/>
  <c r="F27" i="43"/>
  <c r="F72" i="9"/>
  <c r="F29" i="12"/>
  <c r="F70" i="9"/>
  <c r="M20" i="44"/>
  <c r="F30" i="44"/>
  <c r="M18" i="15"/>
  <c r="F32" i="72"/>
  <c r="F59" i="72"/>
  <c r="M18" i="72"/>
  <c r="F34" i="44"/>
  <c r="F71" i="9"/>
  <c r="D86" i="9"/>
  <c r="F31" i="43"/>
  <c r="F28" i="15"/>
  <c r="F66" i="9"/>
  <c r="P72" i="9"/>
  <c r="F28" i="72"/>
  <c r="F32" i="15"/>
  <c r="F59" i="15"/>
  <c r="F36" i="44"/>
  <c r="M20" i="15"/>
  <c r="M22" i="44"/>
  <c r="M20" i="72"/>
  <c r="AC5" i="3"/>
  <c r="BL18" i="3"/>
  <c r="BA18" i="3"/>
  <c r="BL17" i="3"/>
  <c r="G17" i="3"/>
  <c r="G9" i="1"/>
  <c r="G1" i="72"/>
  <c r="T41" i="4"/>
  <c r="A17" i="64"/>
  <c r="K5" i="54"/>
  <c r="L5" i="54"/>
  <c r="B39" i="63"/>
  <c r="G10" i="1"/>
  <c r="G13" i="1"/>
  <c r="AC46" i="33"/>
  <c r="W46" i="33"/>
  <c r="W13" i="34"/>
  <c r="AC13" i="34"/>
  <c r="AC29" i="34"/>
  <c r="W29" i="34"/>
  <c r="AB31" i="34"/>
  <c r="U31" i="34"/>
  <c r="U45" i="34"/>
  <c r="AB45" i="34"/>
  <c r="AA47" i="34"/>
  <c r="S47" i="34"/>
  <c r="S17" i="39"/>
  <c r="AA24" i="36"/>
  <c r="S24" i="36"/>
  <c r="AB25" i="33"/>
  <c r="U25" i="33"/>
  <c r="AC17" i="34"/>
  <c r="W17" i="34"/>
  <c r="AC41" i="39"/>
  <c r="W41" i="39"/>
  <c r="AC20" i="35"/>
  <c r="W20" i="35"/>
  <c r="AB39" i="39"/>
  <c r="U39" i="39"/>
  <c r="S46" i="39"/>
  <c r="AA46" i="39"/>
  <c r="W30" i="34"/>
  <c r="AC30" i="34"/>
  <c r="AC33" i="34"/>
  <c r="W33" i="34"/>
  <c r="W16" i="35"/>
  <c r="AC16" i="35"/>
  <c r="AC21" i="40"/>
  <c r="W21" i="40"/>
  <c r="S31" i="37"/>
  <c r="AA31" i="37"/>
  <c r="AC43" i="33"/>
  <c r="W43" i="33"/>
  <c r="H17" i="39"/>
  <c r="W33" i="36"/>
  <c r="AB30" i="33"/>
  <c r="H14" i="66"/>
  <c r="B7" i="66"/>
  <c r="O40" i="9"/>
  <c r="R7" i="54"/>
  <c r="B52" i="63"/>
  <c r="W29" i="40"/>
  <c r="W39" i="40"/>
  <c r="AC23" i="34"/>
  <c r="U25" i="34"/>
  <c r="AA26" i="35"/>
  <c r="W14" i="36"/>
  <c r="S14" i="36"/>
  <c r="C19" i="40"/>
  <c r="S41" i="39"/>
  <c r="S45" i="39"/>
  <c r="W47" i="34"/>
  <c r="AA31" i="34"/>
  <c r="AB40" i="40"/>
  <c r="AB10" i="33"/>
  <c r="U36" i="33"/>
  <c r="W34" i="33"/>
  <c r="U27" i="34"/>
  <c r="U44" i="34"/>
  <c r="U30" i="34"/>
  <c r="W46" i="34"/>
  <c r="AA20" i="35"/>
  <c r="AC33" i="35"/>
  <c r="U20" i="36"/>
  <c r="AB20" i="36"/>
  <c r="S8" i="36"/>
  <c r="AC46" i="39"/>
  <c r="W11" i="33"/>
  <c r="AC11" i="33"/>
  <c r="U11" i="37"/>
  <c r="AB11" i="34"/>
  <c r="U11" i="34"/>
  <c r="S43" i="39"/>
  <c r="U30" i="40"/>
  <c r="U29" i="33"/>
  <c r="U46" i="34"/>
  <c r="AB21" i="39"/>
  <c r="AA30" i="40"/>
  <c r="S30" i="40"/>
  <c r="AB15" i="34"/>
  <c r="U15" i="34"/>
  <c r="W15" i="40"/>
  <c r="AC23" i="40"/>
  <c r="W23" i="40"/>
  <c r="AA32" i="40"/>
  <c r="S32" i="40"/>
  <c r="AB41" i="39"/>
  <c r="U41" i="39"/>
  <c r="W47" i="39"/>
  <c r="AC47" i="39"/>
  <c r="U45" i="39"/>
  <c r="AB45" i="39"/>
  <c r="S25" i="39"/>
  <c r="AB36" i="35"/>
  <c r="S39" i="34"/>
  <c r="S34" i="33"/>
  <c r="AA34" i="33"/>
  <c r="F29" i="39"/>
  <c r="AA29" i="39" s="1"/>
  <c r="F103" i="39"/>
  <c r="J29" i="39" s="1"/>
  <c r="H29" i="39"/>
  <c r="U29" i="39" s="1"/>
  <c r="U46" i="39"/>
  <c r="AB46" i="39"/>
  <c r="S21" i="39"/>
  <c r="AA21" i="39"/>
  <c r="S11" i="36"/>
  <c r="AA11" i="36"/>
  <c r="AB8" i="35"/>
  <c r="AB32" i="34"/>
  <c r="U32" i="34"/>
  <c r="S30" i="34"/>
  <c r="AA30" i="34"/>
  <c r="W14" i="34"/>
  <c r="AC14" i="34"/>
  <c r="U13" i="33"/>
  <c r="AB13" i="33"/>
  <c r="AB28" i="35"/>
  <c r="S11" i="34"/>
  <c r="AA11" i="34"/>
  <c r="AB16" i="36"/>
  <c r="U16" i="36"/>
  <c r="U13" i="40"/>
  <c r="AB13" i="40"/>
  <c r="AA43" i="33"/>
  <c r="S43" i="33"/>
  <c r="S46" i="33"/>
  <c r="W27" i="37"/>
  <c r="AC27" i="37"/>
  <c r="F45" i="34"/>
  <c r="H29" i="34"/>
  <c r="H46" i="33"/>
  <c r="AC30" i="33"/>
  <c r="W30" i="33"/>
  <c r="AC14" i="33"/>
  <c r="W14" i="33"/>
  <c r="U14" i="33"/>
  <c r="AB14" i="33"/>
  <c r="W11" i="36"/>
  <c r="AC11" i="36"/>
  <c r="AA30" i="35"/>
  <c r="S30" i="35"/>
  <c r="AA28" i="33"/>
  <c r="S28" i="33"/>
  <c r="S44" i="34"/>
  <c r="AA44" i="34"/>
  <c r="S19" i="33"/>
  <c r="AA19" i="33"/>
  <c r="AB33" i="35"/>
  <c r="U33" i="35"/>
  <c r="S10" i="36"/>
  <c r="AC29" i="36"/>
  <c r="W29" i="36"/>
  <c r="AB32" i="33"/>
  <c r="U32" i="33"/>
  <c r="E115" i="21"/>
  <c r="F115" i="21"/>
  <c r="G115" i="21"/>
  <c r="H115" i="21"/>
  <c r="I115" i="21"/>
  <c r="J115" i="21"/>
  <c r="K115" i="21"/>
  <c r="L115" i="21"/>
  <c r="M115" i="21"/>
  <c r="J38" i="21"/>
  <c r="B48" i="46"/>
  <c r="C23" i="39"/>
  <c r="B73" i="46"/>
  <c r="B53" i="46"/>
  <c r="B80" i="46"/>
  <c r="C17" i="40"/>
  <c r="U27" i="33"/>
  <c r="AB27" i="33"/>
  <c r="J26" i="33"/>
  <c r="H26" i="33"/>
  <c r="AC8" i="34"/>
  <c r="W8" i="34"/>
  <c r="AA34" i="34"/>
  <c r="S34" i="34"/>
  <c r="U39" i="34"/>
  <c r="AB39" i="34"/>
  <c r="AB10" i="34"/>
  <c r="U10" i="34"/>
  <c r="H12" i="35"/>
  <c r="J12" i="35"/>
  <c r="F12" i="35"/>
  <c r="J24" i="35"/>
  <c r="F24" i="35"/>
  <c r="H24" i="35"/>
  <c r="U8" i="36"/>
  <c r="AB8" i="36"/>
  <c r="H12" i="36"/>
  <c r="AA23" i="36"/>
  <c r="S23" i="36"/>
  <c r="AC23" i="36"/>
  <c r="W23" i="36"/>
  <c r="AB26" i="36"/>
  <c r="U26" i="36"/>
  <c r="H13" i="36"/>
  <c r="J13" i="36"/>
  <c r="S32" i="36"/>
  <c r="AA32" i="36"/>
  <c r="H33" i="36"/>
  <c r="F33" i="36"/>
  <c r="AA26" i="37"/>
  <c r="S26" i="37"/>
  <c r="AC35" i="37"/>
  <c r="W35" i="37"/>
  <c r="AB36" i="37"/>
  <c r="U36" i="37"/>
  <c r="F33" i="39"/>
  <c r="H126" i="39"/>
  <c r="I126" i="39"/>
  <c r="J126" i="39"/>
  <c r="K126" i="39"/>
  <c r="L126" i="39"/>
  <c r="M126" i="39"/>
  <c r="H43" i="39"/>
  <c r="J43" i="39"/>
  <c r="H35" i="40"/>
  <c r="F35" i="40"/>
  <c r="J35" i="40"/>
  <c r="AC31" i="35"/>
  <c r="W31" i="35"/>
  <c r="AA30" i="36"/>
  <c r="S30" i="36"/>
  <c r="AB33" i="37"/>
  <c r="U33" i="37"/>
  <c r="W35" i="33"/>
  <c r="AC35" i="33"/>
  <c r="S32" i="37"/>
  <c r="AA32" i="37"/>
  <c r="U41" i="33"/>
  <c r="AB41" i="33"/>
  <c r="U14" i="40"/>
  <c r="AB14" i="40"/>
  <c r="AC34" i="40"/>
  <c r="W34" i="40"/>
  <c r="AB47" i="39"/>
  <c r="U47" i="39"/>
  <c r="AC45" i="39"/>
  <c r="W45" i="39"/>
  <c r="U34" i="33"/>
  <c r="AB34" i="33"/>
  <c r="AB11" i="36"/>
  <c r="U11" i="36"/>
  <c r="AA32" i="34"/>
  <c r="S32" i="34"/>
  <c r="S12" i="34"/>
  <c r="AA12" i="34"/>
  <c r="AC12" i="34"/>
  <c r="W12" i="34"/>
  <c r="W13" i="33"/>
  <c r="AC13" i="33"/>
  <c r="AA17" i="37"/>
  <c r="S17" i="37"/>
  <c r="AA27" i="37"/>
  <c r="S27" i="37"/>
  <c r="AC38" i="37"/>
  <c r="W38" i="37"/>
  <c r="W45" i="34"/>
  <c r="AC45" i="34"/>
  <c r="AC31" i="34"/>
  <c r="W31" i="34"/>
  <c r="AA13" i="34"/>
  <c r="S13" i="34"/>
  <c r="U13" i="34"/>
  <c r="AB13" i="34"/>
  <c r="U44" i="33"/>
  <c r="AB44" i="33"/>
  <c r="AA14" i="33"/>
  <c r="S14" i="33"/>
  <c r="AA40" i="37"/>
  <c r="S40" i="37"/>
  <c r="W28" i="33"/>
  <c r="AC28" i="33"/>
  <c r="W10" i="35"/>
  <c r="AC10" i="35"/>
  <c r="S36" i="33"/>
  <c r="AA36" i="33"/>
  <c r="S33" i="34"/>
  <c r="AA33" i="34"/>
  <c r="U16" i="35"/>
  <c r="AB16" i="35"/>
  <c r="S34" i="36"/>
  <c r="AA34" i="36"/>
  <c r="S12" i="36"/>
  <c r="AA12" i="36"/>
  <c r="U10" i="35"/>
  <c r="AB10" i="35"/>
  <c r="S36" i="34"/>
  <c r="AA36" i="34"/>
  <c r="AA29" i="36"/>
  <c r="S29" i="36"/>
  <c r="F19" i="21"/>
  <c r="F81" i="21"/>
  <c r="G81" i="21"/>
  <c r="H19" i="21"/>
  <c r="E108" i="21"/>
  <c r="F108" i="21"/>
  <c r="G108" i="21"/>
  <c r="H108" i="21"/>
  <c r="I108" i="21"/>
  <c r="J108" i="21"/>
  <c r="K108" i="21"/>
  <c r="L108" i="21"/>
  <c r="M108" i="21"/>
  <c r="F35" i="21"/>
  <c r="J35" i="21"/>
  <c r="B76" i="46"/>
  <c r="B55" i="46"/>
  <c r="B72" i="46"/>
  <c r="B62" i="46"/>
  <c r="U8" i="34"/>
  <c r="AB8" i="34"/>
  <c r="AA9" i="34"/>
  <c r="S9" i="34"/>
  <c r="AB34" i="34"/>
  <c r="U34" i="34"/>
  <c r="AA43" i="34"/>
  <c r="S43" i="34"/>
  <c r="J27" i="34"/>
  <c r="F27" i="34"/>
  <c r="U40" i="34"/>
  <c r="AB40" i="34"/>
  <c r="H9" i="35"/>
  <c r="J9" i="35"/>
  <c r="F9" i="35"/>
  <c r="J12" i="33"/>
  <c r="H12" i="33"/>
  <c r="F12" i="33"/>
  <c r="F31" i="33"/>
  <c r="J31" i="33"/>
  <c r="F13" i="35"/>
  <c r="H13" i="35"/>
  <c r="J25" i="35"/>
  <c r="H25" i="35"/>
  <c r="AC8" i="36"/>
  <c r="W8" i="36"/>
  <c r="J24" i="36"/>
  <c r="H24" i="36"/>
  <c r="H34" i="36"/>
  <c r="J34" i="36"/>
  <c r="S31" i="36"/>
  <c r="AA31" i="36"/>
  <c r="AA10" i="37"/>
  <c r="S10" i="37"/>
  <c r="AA25" i="37"/>
  <c r="S25" i="37"/>
  <c r="AB26" i="37"/>
  <c r="U26" i="37"/>
  <c r="U29" i="37"/>
  <c r="AB29" i="37"/>
  <c r="U14" i="37"/>
  <c r="AB14" i="37"/>
  <c r="J39" i="37"/>
  <c r="F39" i="37"/>
  <c r="H39" i="37"/>
  <c r="F14" i="39"/>
  <c r="H14" i="39"/>
  <c r="J14" i="39"/>
  <c r="F16" i="39"/>
  <c r="S16" i="39" s="1"/>
  <c r="H16" i="39"/>
  <c r="J16" i="39"/>
  <c r="AC16" i="39" s="1"/>
  <c r="F38" i="39"/>
  <c r="J38" i="39"/>
  <c r="H38" i="39"/>
  <c r="S22" i="31"/>
  <c r="D18" i="59"/>
  <c r="C19" i="59"/>
  <c r="F7" i="59"/>
  <c r="F6" i="59"/>
  <c r="F5" i="59"/>
  <c r="V8" i="59"/>
  <c r="D3" i="21"/>
  <c r="E32" i="6"/>
  <c r="AZ562" i="3"/>
  <c r="AZ550" i="3"/>
  <c r="D1" i="57"/>
  <c r="E10" i="57"/>
  <c r="D38" i="59"/>
  <c r="C39" i="59"/>
  <c r="C7" i="59"/>
  <c r="T8" i="59"/>
  <c r="D8" i="59"/>
  <c r="F37" i="21"/>
  <c r="J37" i="21"/>
  <c r="H37" i="21"/>
  <c r="AZ572" i="3"/>
  <c r="AZ568" i="3"/>
  <c r="AZ564" i="3"/>
  <c r="AZ556" i="3"/>
  <c r="AZ552" i="3"/>
  <c r="AZ536" i="3"/>
  <c r="L100" i="46"/>
  <c r="S21" i="34"/>
  <c r="F31" i="39"/>
  <c r="S31" i="39" s="1"/>
  <c r="C70" i="59"/>
  <c r="D70" i="59"/>
  <c r="C67" i="59"/>
  <c r="C63" i="59"/>
  <c r="D56" i="59"/>
  <c r="E55" i="59"/>
  <c r="E54" i="59"/>
  <c r="D26" i="59"/>
  <c r="S52" i="59"/>
  <c r="AC12" i="46"/>
  <c r="AG12" i="46"/>
  <c r="Z12" i="46"/>
  <c r="AF12" i="46"/>
  <c r="C23" i="59"/>
  <c r="C15" i="59"/>
  <c r="X6" i="59"/>
  <c r="Y6" i="59"/>
  <c r="Z6" i="59"/>
  <c r="F34" i="15"/>
  <c r="BA522" i="3"/>
  <c r="AZ522" i="3"/>
  <c r="BA518" i="3"/>
  <c r="AZ518" i="3"/>
  <c r="BA514" i="3"/>
  <c r="AZ514" i="3"/>
  <c r="BA510" i="3"/>
  <c r="AZ510" i="3"/>
  <c r="BA506" i="3"/>
  <c r="AZ506" i="3"/>
  <c r="BA502" i="3"/>
  <c r="AZ502" i="3"/>
  <c r="BA498" i="3"/>
  <c r="AZ498" i="3"/>
  <c r="BA494" i="3"/>
  <c r="AZ494" i="3"/>
  <c r="BA490" i="3"/>
  <c r="AZ490" i="3"/>
  <c r="BA489" i="3"/>
  <c r="AZ489"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4" i="3"/>
  <c r="AZ350" i="3"/>
  <c r="BA520" i="3"/>
  <c r="AZ520" i="3"/>
  <c r="BA516" i="3"/>
  <c r="AZ516" i="3"/>
  <c r="BA512" i="3"/>
  <c r="AZ512" i="3"/>
  <c r="BA508" i="3"/>
  <c r="AZ508" i="3"/>
  <c r="BA504" i="3"/>
  <c r="AZ504" i="3"/>
  <c r="BA500" i="3"/>
  <c r="AZ500" i="3"/>
  <c r="BA496" i="3"/>
  <c r="AZ496" i="3"/>
  <c r="BA492" i="3"/>
  <c r="AZ492" i="3"/>
  <c r="AZ344" i="3"/>
  <c r="BL319" i="3"/>
  <c r="BA319" i="3"/>
  <c r="AZ319" i="3"/>
  <c r="AZ315" i="3"/>
  <c r="AZ311" i="3"/>
  <c r="AZ307" i="3"/>
  <c r="AZ303" i="3"/>
  <c r="AZ299" i="3"/>
  <c r="AZ289" i="3"/>
  <c r="AZ285" i="3"/>
  <c r="AZ281" i="3"/>
  <c r="AZ277" i="3"/>
  <c r="AZ273" i="3"/>
  <c r="AZ269" i="3"/>
  <c r="AZ265" i="3"/>
  <c r="AZ261" i="3"/>
  <c r="AZ257" i="3"/>
  <c r="AZ253" i="3"/>
  <c r="AZ249" i="3"/>
  <c r="AZ245" i="3"/>
  <c r="AZ241" i="3"/>
  <c r="AZ237" i="3"/>
  <c r="AZ233" i="3"/>
  <c r="AZ229" i="3"/>
  <c r="AZ225" i="3"/>
  <c r="AZ221" i="3"/>
  <c r="AZ217" i="3"/>
  <c r="AZ213" i="3"/>
  <c r="AZ209" i="3"/>
  <c r="AZ205" i="3"/>
  <c r="AZ201" i="3"/>
  <c r="AZ197" i="3"/>
  <c r="AZ193" i="3"/>
  <c r="AZ189" i="3"/>
  <c r="AZ185" i="3"/>
  <c r="AZ181" i="3"/>
  <c r="AZ177" i="3"/>
  <c r="AZ317" i="3"/>
  <c r="AZ313" i="3"/>
  <c r="AZ309" i="3"/>
  <c r="AZ305" i="3"/>
  <c r="AZ301" i="3"/>
  <c r="AZ164" i="3"/>
  <c r="BA163" i="3"/>
  <c r="AZ163" i="3"/>
  <c r="BA159" i="3"/>
  <c r="AZ159" i="3"/>
  <c r="BA155" i="3"/>
  <c r="AZ155" i="3"/>
  <c r="AZ151" i="3"/>
  <c r="AZ147" i="3"/>
  <c r="AZ143" i="3"/>
  <c r="AZ139" i="3"/>
  <c r="AZ135" i="3"/>
  <c r="AZ131" i="3"/>
  <c r="AZ127" i="3"/>
  <c r="AZ123" i="3"/>
  <c r="AZ111" i="3"/>
  <c r="AZ91" i="3"/>
  <c r="BA161" i="3"/>
  <c r="AZ161" i="3"/>
  <c r="BA157" i="3"/>
  <c r="AZ157" i="3"/>
  <c r="BA153" i="3"/>
  <c r="AZ153" i="3"/>
  <c r="BA152" i="3"/>
  <c r="AZ152" i="3"/>
  <c r="AZ101" i="3"/>
  <c r="AZ97" i="3"/>
  <c r="AZ85" i="3"/>
  <c r="AZ81" i="3"/>
  <c r="AZ61" i="3"/>
  <c r="BA55" i="3"/>
  <c r="AZ55" i="3"/>
  <c r="BA51" i="3"/>
  <c r="AZ51" i="3"/>
  <c r="BA47" i="3"/>
  <c r="AZ47" i="3"/>
  <c r="BA43" i="3"/>
  <c r="AZ43" i="3"/>
  <c r="BA39" i="3"/>
  <c r="AZ39" i="3"/>
  <c r="BA35" i="3"/>
  <c r="AZ35" i="3"/>
  <c r="BA31" i="3"/>
  <c r="AZ31" i="3"/>
  <c r="BA27" i="3"/>
  <c r="AZ27" i="3"/>
  <c r="BA23" i="3"/>
  <c r="AZ23" i="3"/>
  <c r="BA19" i="3"/>
  <c r="AZ19" i="3"/>
  <c r="BA57" i="3"/>
  <c r="AZ57" i="3"/>
  <c r="BA53" i="3"/>
  <c r="AZ53" i="3"/>
  <c r="BA49" i="3"/>
  <c r="AZ49" i="3"/>
  <c r="BA45" i="3"/>
  <c r="AZ45" i="3"/>
  <c r="BA41" i="3"/>
  <c r="AZ41" i="3"/>
  <c r="BA37" i="3"/>
  <c r="AZ37" i="3"/>
  <c r="BA33" i="3"/>
  <c r="AZ33" i="3"/>
  <c r="BA29" i="3"/>
  <c r="AZ29" i="3"/>
  <c r="BA25" i="3"/>
  <c r="AZ25" i="3"/>
  <c r="BA21" i="3"/>
  <c r="AZ21" i="3"/>
  <c r="BA17" i="3"/>
  <c r="AZ17" i="3"/>
  <c r="AZ22" i="3"/>
  <c r="BL5" i="3"/>
  <c r="AZ18" i="3"/>
  <c r="AC42" i="21"/>
  <c r="S42" i="21"/>
  <c r="AA42" i="21"/>
  <c r="U42" i="21"/>
  <c r="AB42" i="21"/>
  <c r="L19" i="6"/>
  <c r="G30" i="6"/>
  <c r="G31" i="6"/>
  <c r="B38" i="63"/>
  <c r="A3" i="55"/>
  <c r="B56" i="63"/>
  <c r="A17" i="51"/>
  <c r="B13" i="63"/>
  <c r="D15" i="59"/>
  <c r="C16" i="59"/>
  <c r="C62" i="59"/>
  <c r="D62" i="59"/>
  <c r="D63" i="59"/>
  <c r="AB37" i="21"/>
  <c r="U37" i="21"/>
  <c r="AA37" i="21"/>
  <c r="S37" i="21"/>
  <c r="C40" i="59"/>
  <c r="D39" i="59"/>
  <c r="D19" i="59"/>
  <c r="C20" i="59"/>
  <c r="B20" i="31"/>
  <c r="R22" i="31"/>
  <c r="B21" i="31"/>
  <c r="W38" i="39"/>
  <c r="AC38" i="39"/>
  <c r="U14" i="39"/>
  <c r="AB14" i="39"/>
  <c r="AB39" i="37"/>
  <c r="U39" i="37"/>
  <c r="AC39" i="37"/>
  <c r="W39" i="37"/>
  <c r="U34" i="36"/>
  <c r="AB34" i="36"/>
  <c r="W24" i="36"/>
  <c r="AC24" i="36"/>
  <c r="AC25" i="35"/>
  <c r="W25" i="35"/>
  <c r="S13" i="35"/>
  <c r="AA13" i="35"/>
  <c r="S31" i="33"/>
  <c r="AA31" i="33"/>
  <c r="U12" i="33"/>
  <c r="AB12" i="33"/>
  <c r="AA9" i="35"/>
  <c r="S9" i="35"/>
  <c r="AB9" i="35"/>
  <c r="U9" i="35"/>
  <c r="AC27" i="34"/>
  <c r="W27" i="34"/>
  <c r="W35" i="21"/>
  <c r="AC35" i="21"/>
  <c r="S35" i="40"/>
  <c r="AA35" i="40"/>
  <c r="AC43" i="39"/>
  <c r="W43" i="39"/>
  <c r="U33" i="36"/>
  <c r="AB33" i="36"/>
  <c r="AB13" i="36"/>
  <c r="U13" i="36"/>
  <c r="S24" i="35"/>
  <c r="AA24" i="35"/>
  <c r="S12" i="35"/>
  <c r="AA12" i="35"/>
  <c r="AB12" i="35"/>
  <c r="U12" i="35"/>
  <c r="W26" i="33"/>
  <c r="AC26" i="33"/>
  <c r="U29" i="34"/>
  <c r="AB29" i="34"/>
  <c r="F61" i="15"/>
  <c r="D23" i="59"/>
  <c r="C24" i="59"/>
  <c r="C66" i="59"/>
  <c r="D66" i="59"/>
  <c r="D67" i="59"/>
  <c r="AC37" i="21"/>
  <c r="W37" i="21"/>
  <c r="D7" i="59"/>
  <c r="C6" i="59"/>
  <c r="AB38" i="39"/>
  <c r="U38" i="39"/>
  <c r="AA38" i="39"/>
  <c r="S38" i="39"/>
  <c r="AB16" i="39"/>
  <c r="U16" i="39"/>
  <c r="AC14" i="39"/>
  <c r="W14" i="39"/>
  <c r="S14" i="39"/>
  <c r="AA14" i="39"/>
  <c r="AA39" i="37"/>
  <c r="S39" i="37"/>
  <c r="W34" i="36"/>
  <c r="AC34" i="36"/>
  <c r="U24" i="36"/>
  <c r="AB24" i="36"/>
  <c r="U25" i="35"/>
  <c r="AB25" i="35"/>
  <c r="U13" i="35"/>
  <c r="AB13" i="35"/>
  <c r="W31" i="33"/>
  <c r="AC31" i="33"/>
  <c r="AA12" i="33"/>
  <c r="S12" i="33"/>
  <c r="AC12" i="33"/>
  <c r="W12" i="33"/>
  <c r="AC9" i="35"/>
  <c r="W9" i="35"/>
  <c r="AA27" i="34"/>
  <c r="S27" i="34"/>
  <c r="S35" i="21"/>
  <c r="AA35" i="21"/>
  <c r="AB19" i="21"/>
  <c r="U19" i="21"/>
  <c r="AA19" i="21"/>
  <c r="S19" i="21"/>
  <c r="AC35" i="40"/>
  <c r="W35" i="40"/>
  <c r="U35" i="40"/>
  <c r="AB35" i="40"/>
  <c r="AB43" i="39"/>
  <c r="U43" i="39"/>
  <c r="AA33" i="39"/>
  <c r="S33" i="39"/>
  <c r="AA33" i="36"/>
  <c r="S33" i="36"/>
  <c r="AC13" i="36"/>
  <c r="W13" i="36"/>
  <c r="U12" i="36"/>
  <c r="AB12" i="36"/>
  <c r="U24" i="35"/>
  <c r="AB24" i="35"/>
  <c r="W24" i="35"/>
  <c r="AC24" i="35"/>
  <c r="AC12" i="35"/>
  <c r="W12" i="35"/>
  <c r="U26" i="33"/>
  <c r="AB26" i="33"/>
  <c r="W38" i="21"/>
  <c r="AC38" i="21"/>
  <c r="AB46" i="33"/>
  <c r="U46" i="33"/>
  <c r="AA45" i="34"/>
  <c r="S45" i="34"/>
  <c r="AB17" i="39"/>
  <c r="U17" i="39"/>
  <c r="AE11" i="1"/>
  <c r="AE8" i="1"/>
  <c r="K15" i="1"/>
  <c r="E30" i="6"/>
  <c r="E441" i="3"/>
  <c r="E519" i="3"/>
  <c r="E560" i="3"/>
  <c r="T20" i="59"/>
  <c r="D20" i="59"/>
  <c r="D40" i="59"/>
  <c r="T40" i="59"/>
  <c r="D6" i="59"/>
  <c r="C5" i="59"/>
  <c r="T24" i="59"/>
  <c r="D24" i="59"/>
  <c r="D16" i="59"/>
  <c r="T16" i="59"/>
  <c r="AE10" i="1"/>
  <c r="AE9" i="1"/>
  <c r="D5" i="59"/>
  <c r="R10" i="1"/>
  <c r="R8" i="1"/>
  <c r="R11" i="1"/>
  <c r="R9" i="1"/>
  <c r="F23" i="78" l="1"/>
  <c r="AA23" i="78" s="1"/>
  <c r="H34" i="39"/>
  <c r="J34" i="39"/>
  <c r="F34" i="39"/>
  <c r="F109" i="39"/>
  <c r="G109" i="39" s="1"/>
  <c r="H109" i="39" s="1"/>
  <c r="I109" i="39" s="1"/>
  <c r="J109" i="39" s="1"/>
  <c r="K109" i="39" s="1"/>
  <c r="L109" i="39" s="1"/>
  <c r="M109" i="39" s="1"/>
  <c r="W33" i="39"/>
  <c r="J23" i="78"/>
  <c r="AC23" i="78" s="1"/>
  <c r="S21" i="78"/>
  <c r="AC29" i="39"/>
  <c r="W29" i="39"/>
  <c r="G103" i="39"/>
  <c r="W25" i="39"/>
  <c r="H25" i="39"/>
  <c r="F23" i="39"/>
  <c r="AA23" i="39" s="1"/>
  <c r="J23" i="39"/>
  <c r="F97" i="39"/>
  <c r="G97" i="39" s="1"/>
  <c r="H23" i="39"/>
  <c r="AB23" i="39" s="1"/>
  <c r="F93" i="39"/>
  <c r="AA31" i="39"/>
  <c r="S29" i="39"/>
  <c r="J27" i="39"/>
  <c r="F101" i="39"/>
  <c r="G101" i="39" s="1"/>
  <c r="H27" i="39"/>
  <c r="F27" i="39"/>
  <c r="S27" i="39" s="1"/>
  <c r="U23" i="39"/>
  <c r="F91" i="39"/>
  <c r="G91" i="39" s="1"/>
  <c r="J17" i="39"/>
  <c r="H23" i="78"/>
  <c r="AB23" i="78" s="1"/>
  <c r="J17" i="78"/>
  <c r="H17" i="78"/>
  <c r="F17" i="78"/>
  <c r="AA17" i="78" s="1"/>
  <c r="F79" i="78"/>
  <c r="G79" i="78" s="1"/>
  <c r="U15" i="78"/>
  <c r="W15" i="78"/>
  <c r="F81" i="78"/>
  <c r="G81" i="78" s="1"/>
  <c r="J19" i="78" s="1"/>
  <c r="AC19" i="78" s="1"/>
  <c r="H19" i="78"/>
  <c r="AB19" i="78" s="1"/>
  <c r="F19" i="78"/>
  <c r="W19" i="78"/>
  <c r="U19" i="78"/>
  <c r="S15" i="39"/>
  <c r="S23" i="39"/>
  <c r="W16" i="39"/>
  <c r="AB15" i="39"/>
  <c r="AA16" i="39"/>
  <c r="W15" i="39"/>
  <c r="AB29" i="39"/>
  <c r="AA27" i="39"/>
  <c r="K17" i="4"/>
  <c r="A22" i="51" s="1"/>
  <c r="B16" i="63" s="1"/>
  <c r="G11" i="1"/>
  <c r="G12" i="1"/>
  <c r="G8" i="1"/>
  <c r="C53" i="10"/>
  <c r="K2" i="54"/>
  <c r="B23" i="63" s="1"/>
  <c r="D19" i="4"/>
  <c r="F6" i="1" s="1"/>
  <c r="G19" i="4"/>
  <c r="E19" i="4"/>
  <c r="F7" i="1" s="1"/>
  <c r="G19" i="46"/>
  <c r="C42" i="1"/>
  <c r="J51" i="15"/>
  <c r="C7" i="78"/>
  <c r="J51" i="72"/>
  <c r="C7" i="36"/>
  <c r="C46" i="36" s="1"/>
  <c r="C7" i="34"/>
  <c r="C59" i="34" s="1"/>
  <c r="C7" i="33"/>
  <c r="C58" i="33" s="1"/>
  <c r="J51" i="77"/>
  <c r="C9" i="39"/>
  <c r="C70" i="39" s="1"/>
  <c r="D38" i="4"/>
  <c r="C39" i="4" s="1"/>
  <c r="C9" i="40"/>
  <c r="C65" i="40" s="1"/>
  <c r="C7" i="37"/>
  <c r="C52" i="37" s="1"/>
  <c r="C7" i="35"/>
  <c r="C48" i="35" s="1"/>
  <c r="C7" i="21"/>
  <c r="N67" i="9"/>
  <c r="C15" i="43"/>
  <c r="E246" i="3"/>
  <c r="E396" i="3"/>
  <c r="E526" i="3"/>
  <c r="I4" i="6"/>
  <c r="G3" i="46" s="1"/>
  <c r="AG11" i="46" s="1"/>
  <c r="AG13" i="46" s="1"/>
  <c r="J22" i="46"/>
  <c r="D9" i="12"/>
  <c r="B13" i="52"/>
  <c r="E21" i="3"/>
  <c r="E419" i="3"/>
  <c r="E323" i="3"/>
  <c r="E547" i="3"/>
  <c r="E464" i="3"/>
  <c r="E245" i="3"/>
  <c r="L27" i="6"/>
  <c r="H5" i="3"/>
  <c r="BA13" i="3"/>
  <c r="AZ13" i="3" s="1"/>
  <c r="AZ5" i="3" s="1"/>
  <c r="W40" i="39"/>
  <c r="S40" i="39"/>
  <c r="E11" i="52"/>
  <c r="B14" i="52"/>
  <c r="BA5" i="3"/>
  <c r="E27" i="6" s="1"/>
  <c r="K20" i="6" s="1"/>
  <c r="K7" i="1"/>
  <c r="M7" i="1" s="1"/>
  <c r="C9" i="12"/>
  <c r="C33" i="78"/>
  <c r="F33" i="78" s="1"/>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I103" i="46" s="1"/>
  <c r="AJ11" i="46"/>
  <c r="AJ13" i="46" s="1"/>
  <c r="L101" i="46"/>
  <c r="L107" i="46" s="1"/>
  <c r="C101" i="46"/>
  <c r="C109" i="46" s="1"/>
  <c r="O8" i="1"/>
  <c r="P8" i="1" s="1"/>
  <c r="H16" i="1"/>
  <c r="G22" i="46"/>
  <c r="C23" i="46"/>
  <c r="C21" i="46" s="1"/>
  <c r="E22" i="52"/>
  <c r="E10" i="52"/>
  <c r="B23" i="52"/>
  <c r="Q16" i="1"/>
  <c r="F24" i="43" s="1"/>
  <c r="C26" i="43" s="1"/>
  <c r="D24" i="43" s="1"/>
  <c r="O12" i="1"/>
  <c r="P12" i="1" s="1"/>
  <c r="P10" i="1"/>
  <c r="M9" i="1"/>
  <c r="AQ11" i="1"/>
  <c r="O13" i="1"/>
  <c r="P13" i="1" s="1"/>
  <c r="H33" i="78"/>
  <c r="C103" i="46"/>
  <c r="C106" i="46"/>
  <c r="L109" i="46"/>
  <c r="O14" i="1"/>
  <c r="P14" i="1" s="1"/>
  <c r="K19" i="6"/>
  <c r="K25" i="6"/>
  <c r="M25" i="6" s="1"/>
  <c r="I25" i="6" s="1"/>
  <c r="S25" i="6" s="1"/>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s="1"/>
  <c r="AE11" i="46"/>
  <c r="AE13" i="46" s="1"/>
  <c r="AF11" i="46"/>
  <c r="AF13" i="46" s="1"/>
  <c r="AI11" i="46"/>
  <c r="AI13" i="46" s="1"/>
  <c r="AA11" i="46"/>
  <c r="AA13" i="46" s="1"/>
  <c r="AH11" i="46"/>
  <c r="AH13" i="46" s="1"/>
  <c r="Z11" i="46"/>
  <c r="Z13" i="46" s="1"/>
  <c r="Y11" i="46"/>
  <c r="Y13" i="46" s="1"/>
  <c r="AC11" i="46"/>
  <c r="AC13" i="46" s="1"/>
  <c r="K101" i="46"/>
  <c r="M101" i="46"/>
  <c r="J101" i="46"/>
  <c r="F101" i="46"/>
  <c r="H22" i="46"/>
  <c r="Z7" i="46"/>
  <c r="N104" i="45"/>
  <c r="E101" i="46"/>
  <c r="H101" i="46"/>
  <c r="E22" i="46"/>
  <c r="F22" i="46"/>
  <c r="AD11" i="46"/>
  <c r="AD13" i="46" s="1"/>
  <c r="N101" i="46"/>
  <c r="G101" i="46"/>
  <c r="B113" i="46"/>
  <c r="D101" i="46"/>
  <c r="O11" i="1"/>
  <c r="P11" i="1" s="1"/>
  <c r="O6" i="1"/>
  <c r="E8" i="6"/>
  <c r="E15" i="6"/>
  <c r="E11" i="6"/>
  <c r="E13" i="6"/>
  <c r="E5" i="6"/>
  <c r="E12" i="6"/>
  <c r="E14" i="6"/>
  <c r="U40" i="39"/>
  <c r="B4" i="52"/>
  <c r="E16" i="52"/>
  <c r="E6" i="52"/>
  <c r="E4" i="52"/>
  <c r="B16" i="52"/>
  <c r="E7" i="52"/>
  <c r="B10" i="52"/>
  <c r="E9" i="52"/>
  <c r="B6" i="52"/>
  <c r="E8" i="52"/>
  <c r="E21" i="52"/>
  <c r="B9" i="52"/>
  <c r="E5" i="52"/>
  <c r="B5" i="52"/>
  <c r="B22" i="52"/>
  <c r="B11" i="52"/>
  <c r="B7" i="52"/>
  <c r="S23" i="78" l="1"/>
  <c r="W23" i="78"/>
  <c r="AC34" i="39"/>
  <c r="W34" i="39"/>
  <c r="AA34" i="39"/>
  <c r="S34" i="39"/>
  <c r="AB34" i="39"/>
  <c r="U34" i="39"/>
  <c r="S17" i="78"/>
  <c r="AB25" i="39"/>
  <c r="U25" i="39"/>
  <c r="W23" i="39"/>
  <c r="AC23" i="39"/>
  <c r="G93" i="39"/>
  <c r="J19" i="39"/>
  <c r="H19" i="39"/>
  <c r="F19" i="39"/>
  <c r="AB27" i="39"/>
  <c r="U27" i="39"/>
  <c r="W27" i="39"/>
  <c r="AC27" i="39"/>
  <c r="AC17" i="39"/>
  <c r="W17" i="39"/>
  <c r="U23" i="78"/>
  <c r="AB17" i="78"/>
  <c r="U17" i="78"/>
  <c r="W17" i="78"/>
  <c r="AC17" i="78"/>
  <c r="AA19" i="78"/>
  <c r="S19" i="78"/>
  <c r="AP7" i="1"/>
  <c r="G7" i="1"/>
  <c r="G6" i="1"/>
  <c r="AP6" i="1"/>
  <c r="AP16" i="1" s="1"/>
  <c r="F22" i="11" s="1"/>
  <c r="A25" i="64"/>
  <c r="A25" i="51"/>
  <c r="B18" i="63" s="1"/>
  <c r="D48" i="35"/>
  <c r="E48" i="35" s="1"/>
  <c r="F48" i="35" s="1"/>
  <c r="G48" i="35" s="1"/>
  <c r="H48" i="35" s="1"/>
  <c r="I48" i="35" s="1"/>
  <c r="J48" i="35" s="1"/>
  <c r="K48" i="35" s="1"/>
  <c r="L48" i="35" s="1"/>
  <c r="M48" i="35" s="1"/>
  <c r="N48" i="35" s="1"/>
  <c r="O48" i="35" s="1"/>
  <c r="F7" i="35"/>
  <c r="H7" i="35"/>
  <c r="J7" i="35"/>
  <c r="C67" i="40"/>
  <c r="D65" i="40"/>
  <c r="D70" i="39"/>
  <c r="C72" i="39"/>
  <c r="D58" i="33"/>
  <c r="E58" i="33" s="1"/>
  <c r="F58" i="33" s="1"/>
  <c r="G58" i="33" s="1"/>
  <c r="H58" i="33" s="1"/>
  <c r="I58" i="33" s="1"/>
  <c r="J58" i="33" s="1"/>
  <c r="K58" i="33" s="1"/>
  <c r="L58" i="33" s="1"/>
  <c r="M58" i="33" s="1"/>
  <c r="N58" i="33" s="1"/>
  <c r="O58" i="33" s="1"/>
  <c r="F7" i="33"/>
  <c r="J7" i="33"/>
  <c r="H7" i="33"/>
  <c r="D46" i="36"/>
  <c r="E46" i="36" s="1"/>
  <c r="F46" i="36" s="1"/>
  <c r="G46" i="36" s="1"/>
  <c r="H46" i="36" s="1"/>
  <c r="I46" i="36" s="1"/>
  <c r="J46" i="36" s="1"/>
  <c r="K46" i="36" s="1"/>
  <c r="L46" i="36" s="1"/>
  <c r="M46" i="36" s="1"/>
  <c r="N46" i="36" s="1"/>
  <c r="O46" i="36" s="1"/>
  <c r="H7" i="36"/>
  <c r="F7" i="36"/>
  <c r="J7" i="36"/>
  <c r="C58" i="78"/>
  <c r="C25" i="12"/>
  <c r="C28" i="77"/>
  <c r="C31" i="43"/>
  <c r="C28" i="15"/>
  <c r="C27" i="43"/>
  <c r="C30" i="44"/>
  <c r="C28" i="72"/>
  <c r="G7" i="21"/>
  <c r="C58" i="21"/>
  <c r="I7" i="2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H7" i="34"/>
  <c r="F7" i="34"/>
  <c r="P22" i="46"/>
  <c r="P25" i="46"/>
  <c r="O19" i="46"/>
  <c r="P23" i="46"/>
  <c r="B73" i="39" s="1"/>
  <c r="P24" i="46"/>
  <c r="B68" i="40" s="1"/>
  <c r="P21" i="46"/>
  <c r="M20" i="46"/>
  <c r="C19" i="46" s="1"/>
  <c r="E3" i="6"/>
  <c r="AY6" i="3"/>
  <c r="K23" i="6"/>
  <c r="M23" i="6" s="1"/>
  <c r="I23" i="6" s="1"/>
  <c r="S23" i="6" s="1"/>
  <c r="K22" i="6"/>
  <c r="M22" i="6" s="1"/>
  <c r="I22" i="6" s="1"/>
  <c r="S22" i="6" s="1"/>
  <c r="M16" i="1"/>
  <c r="K16" i="1"/>
  <c r="I106" i="46"/>
  <c r="L105" i="46"/>
  <c r="J33" i="78"/>
  <c r="G16" i="1"/>
  <c r="H12" i="40" s="1"/>
  <c r="I107" i="46"/>
  <c r="L104" i="46"/>
  <c r="F18" i="11"/>
  <c r="C18" i="11" s="1"/>
  <c r="O9" i="1"/>
  <c r="P9" i="1" s="1"/>
  <c r="E31" i="6"/>
  <c r="K24" i="6"/>
  <c r="M24" i="6" s="1"/>
  <c r="I24" i="6" s="1"/>
  <c r="S24" i="6" s="1"/>
  <c r="K26" i="6"/>
  <c r="M26" i="6" s="1"/>
  <c r="I26" i="6" s="1"/>
  <c r="S26" i="6" s="1"/>
  <c r="K21" i="6"/>
  <c r="M21" i="6" s="1"/>
  <c r="I21" i="6" s="1"/>
  <c r="S21" i="6" s="1"/>
  <c r="C104" i="46"/>
  <c r="C102" i="46"/>
  <c r="C107" i="46"/>
  <c r="C105" i="46"/>
  <c r="F33" i="12"/>
  <c r="C34" i="12" s="1"/>
  <c r="D33" i="12" s="1"/>
  <c r="O7" i="1"/>
  <c r="O16" i="1" s="1"/>
  <c r="L106" i="46"/>
  <c r="L102" i="46"/>
  <c r="L103" i="46"/>
  <c r="I104" i="46"/>
  <c r="I109" i="46"/>
  <c r="I102" i="46"/>
  <c r="I105" i="46"/>
  <c r="E66" i="39"/>
  <c r="E61" i="40"/>
  <c r="D21" i="12"/>
  <c r="C21" i="12" s="1"/>
  <c r="D12" i="11"/>
  <c r="C12" i="11" s="1"/>
  <c r="E63" i="39"/>
  <c r="E58" i="40"/>
  <c r="F27" i="6"/>
  <c r="F31" i="6" s="1"/>
  <c r="E58" i="39"/>
  <c r="E53" i="40"/>
  <c r="E16" i="6"/>
  <c r="D3" i="6"/>
  <c r="AY549" i="3"/>
  <c r="AY69" i="3"/>
  <c r="AY88" i="3"/>
  <c r="AY530" i="3"/>
  <c r="AY97" i="3"/>
  <c r="AY26" i="3"/>
  <c r="AY129" i="3"/>
  <c r="AY529" i="3"/>
  <c r="AY104" i="3"/>
  <c r="AY145" i="3"/>
  <c r="AY259" i="3"/>
  <c r="AY248" i="3"/>
  <c r="AY368" i="3"/>
  <c r="AY472" i="3"/>
  <c r="AY409" i="3"/>
  <c r="AY96" i="3"/>
  <c r="AY171" i="3"/>
  <c r="AY233" i="3"/>
  <c r="AY365" i="3"/>
  <c r="AY329" i="3"/>
  <c r="AY471" i="3"/>
  <c r="AY131" i="3"/>
  <c r="AY288" i="3"/>
  <c r="AY371" i="3"/>
  <c r="AY318" i="3"/>
  <c r="BA6" i="3"/>
  <c r="AY249" i="3"/>
  <c r="AY561" i="3"/>
  <c r="AY486" i="3"/>
  <c r="AY80" i="3"/>
  <c r="AY67" i="3"/>
  <c r="AY58" i="3"/>
  <c r="AY159" i="3"/>
  <c r="AY179" i="3"/>
  <c r="AY105" i="3"/>
  <c r="AY274" i="3"/>
  <c r="AY293" i="3"/>
  <c r="AY275" i="3"/>
  <c r="AY386" i="3"/>
  <c r="AY556" i="3"/>
  <c r="AY411" i="3"/>
  <c r="AY414" i="3"/>
  <c r="AY187" i="3"/>
  <c r="AY114" i="3"/>
  <c r="AY271" i="3"/>
  <c r="AY304" i="3"/>
  <c r="AY445" i="3"/>
  <c r="AY38" i="3"/>
  <c r="AY87" i="3"/>
  <c r="AY198" i="3"/>
  <c r="AY77" i="3"/>
  <c r="AY158" i="3"/>
  <c r="AY290" i="3"/>
  <c r="AY443" i="3"/>
  <c r="AY46" i="3"/>
  <c r="AY219" i="3"/>
  <c r="AY569" i="3"/>
  <c r="AY148" i="3"/>
  <c r="AY316" i="3"/>
  <c r="AY147" i="3"/>
  <c r="AY446" i="3"/>
  <c r="AY37" i="3"/>
  <c r="AY203" i="3"/>
  <c r="AY95" i="3"/>
  <c r="AY150" i="3"/>
  <c r="AY216" i="3"/>
  <c r="AY432" i="3"/>
  <c r="AY28" i="3"/>
  <c r="AY280" i="3"/>
  <c r="AY311"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103" i="3"/>
  <c r="AY52" i="3"/>
  <c r="AY204" i="3"/>
  <c r="AY31" i="3"/>
  <c r="AY234" i="3"/>
  <c r="AY317" i="3"/>
  <c r="AY402" i="3"/>
  <c r="AY181" i="3"/>
  <c r="AY343" i="3"/>
  <c r="AY65" i="3"/>
  <c r="AY265" i="3"/>
  <c r="AY350" i="3"/>
  <c r="AY50" i="3"/>
  <c r="AY346" i="3"/>
  <c r="AY161" i="3"/>
  <c r="AY101" i="3"/>
  <c r="AY305" i="3"/>
  <c r="AY429" i="3"/>
  <c r="AY43" i="3"/>
  <c r="AY501" i="3"/>
  <c r="AY481" i="3"/>
  <c r="AY510" i="3"/>
  <c r="AY401" i="3"/>
  <c r="AY495" i="3"/>
  <c r="AY267" i="3"/>
  <c r="AY363" i="3"/>
  <c r="AY545" i="3"/>
  <c r="AY339" i="3"/>
  <c r="AY433" i="3"/>
  <c r="AY547" i="3"/>
  <c r="AY455" i="3"/>
  <c r="AY332" i="3"/>
  <c r="AY51" i="3"/>
  <c r="AY511" i="3"/>
  <c r="BJ6" i="3"/>
  <c r="AY535" i="3"/>
  <c r="AY564" i="3"/>
  <c r="AY98" i="3"/>
  <c r="AY291" i="3"/>
  <c r="AY448" i="3"/>
  <c r="AY149" i="3"/>
  <c r="AY476" i="3"/>
  <c r="AY294" i="3"/>
  <c r="AY168" i="3"/>
  <c r="AY155" i="3"/>
  <c r="AY122" i="3"/>
  <c r="AY278" i="3"/>
  <c r="AY352" i="3"/>
  <c r="AY273" i="3"/>
  <c r="AY19" i="3"/>
  <c r="AY251" i="3"/>
  <c r="AY237" i="3"/>
  <c r="AY119" i="3"/>
  <c r="AY89" i="3"/>
  <c r="AY33" i="3"/>
  <c r="AY570" i="3"/>
  <c r="AY482" i="3"/>
  <c r="AY508" i="3"/>
  <c r="AY53" i="3"/>
  <c r="AY182" i="3"/>
  <c r="AY262" i="3"/>
  <c r="AY146" i="3"/>
  <c r="AY116" i="3"/>
  <c r="AY62" i="3"/>
  <c r="AY295" i="3"/>
  <c r="AY438" i="3"/>
  <c r="AY91" i="3"/>
  <c r="AY48" i="3"/>
  <c r="AY347" i="3"/>
  <c r="AY173" i="3"/>
  <c r="AY79" i="3"/>
  <c r="AY426" i="3"/>
  <c r="AY521" i="3"/>
  <c r="AY523" i="3"/>
  <c r="AY29" i="3"/>
  <c r="AY453" i="3"/>
  <c r="AY225" i="3"/>
  <c r="AY184" i="3"/>
  <c r="BQ6" i="3"/>
  <c r="AY151" i="3"/>
  <c r="AY360" i="3"/>
  <c r="AY531" i="3"/>
  <c r="AY137" i="3"/>
  <c r="AY565" i="3"/>
  <c r="BP6" i="3"/>
  <c r="AY553" i="3"/>
  <c r="AY480" i="3"/>
  <c r="AY90" i="3"/>
  <c r="AY358" i="3"/>
  <c r="AY344" i="3"/>
  <c r="AY223" i="3"/>
  <c r="AY190" i="3"/>
  <c r="AY235" i="3"/>
  <c r="AY421" i="3"/>
  <c r="AY205" i="3"/>
  <c r="BM6" i="3"/>
  <c r="AY423" i="3"/>
  <c r="BL6" i="3"/>
  <c r="AY160" i="3"/>
  <c r="AY277" i="3"/>
  <c r="AY425" i="3"/>
  <c r="AY286" i="3"/>
  <c r="AY169" i="3"/>
  <c r="AY72" i="3"/>
  <c r="AY30" i="3"/>
  <c r="AY382" i="3"/>
  <c r="AY143" i="3"/>
  <c r="AY236" i="3"/>
  <c r="AY276" i="3"/>
  <c r="AY113" i="3"/>
  <c r="AY387" i="3"/>
  <c r="AY56" i="3"/>
  <c r="AY313" i="3"/>
  <c r="AY551" i="3"/>
  <c r="AY180" i="3"/>
  <c r="AY507" i="3"/>
  <c r="AY217" i="3"/>
  <c r="AY170" i="3"/>
  <c r="AY135" i="3"/>
  <c r="AY389" i="3"/>
  <c r="AY412" i="3"/>
  <c r="AY449" i="3"/>
  <c r="AY61" i="3"/>
  <c r="AY338" i="3"/>
  <c r="AY102" i="3"/>
  <c r="AY474" i="3"/>
  <c r="AY100" i="3"/>
  <c r="AY136" i="3"/>
  <c r="AY463" i="3"/>
  <c r="AY81" i="3"/>
  <c r="AY330" i="3"/>
  <c r="AY568" i="3"/>
  <c r="AY444" i="3"/>
  <c r="AY466" i="3"/>
  <c r="AY162" i="3"/>
  <c r="AY22" i="3"/>
  <c r="AY562" i="3"/>
  <c r="AY406" i="3"/>
  <c r="AY303" i="3"/>
  <c r="AY127" i="3"/>
  <c r="AY498" i="3"/>
  <c r="AY518" i="3"/>
  <c r="AY415" i="3"/>
  <c r="AY503" i="3"/>
  <c r="AY208" i="3"/>
  <c r="AY299" i="3"/>
  <c r="AY447" i="3"/>
  <c r="AY185" i="3"/>
  <c r="AY483" i="3"/>
  <c r="AY108" i="3"/>
  <c r="AY60" i="3"/>
  <c r="AY334" i="3"/>
  <c r="AY270" i="3"/>
  <c r="AY571" i="3"/>
  <c r="AY554" i="3"/>
  <c r="AY532" i="3"/>
  <c r="AY42" i="3"/>
  <c r="AY175" i="3"/>
  <c r="AY467" i="3"/>
  <c r="AY139" i="3"/>
  <c r="AY70" i="3"/>
  <c r="BK6" i="3"/>
  <c r="AY435" i="3"/>
  <c r="AY132" i="3"/>
  <c r="AY188" i="3"/>
  <c r="AY528" i="3"/>
  <c r="AY567" i="3"/>
  <c r="AY534" i="3"/>
  <c r="AY478" i="3"/>
  <c r="AY434" i="3"/>
  <c r="AY93" i="3"/>
  <c r="AY473" i="3"/>
  <c r="AY439" i="3"/>
  <c r="AY231" i="3"/>
  <c r="AY57" i="3"/>
  <c r="AY397" i="3"/>
  <c r="AY39" i="3"/>
  <c r="AY256" i="3"/>
  <c r="AY307" i="3"/>
  <c r="AY35" i="3"/>
  <c r="AY215" i="3"/>
  <c r="AY470" i="3"/>
  <c r="AY134" i="3"/>
  <c r="AY255" i="3"/>
  <c r="AY504" i="3"/>
  <c r="AY126" i="3"/>
  <c r="AY214" i="3"/>
  <c r="AY269" i="3"/>
  <c r="BC6" i="3"/>
  <c r="AY488" i="3"/>
  <c r="AY312" i="3"/>
  <c r="AY373" i="3"/>
  <c r="AY109" i="3"/>
  <c r="AY142" i="3"/>
  <c r="AY34" i="3"/>
  <c r="AY218" i="3"/>
  <c r="AY309" i="3"/>
  <c r="AY392" i="3"/>
  <c r="AY176" i="3"/>
  <c r="AY356" i="3"/>
  <c r="AY44" i="3"/>
  <c r="AY206" i="3"/>
  <c r="AY520" i="3"/>
  <c r="AY283" i="3"/>
  <c r="AY82" i="3"/>
  <c r="AY41" i="3"/>
  <c r="AY128" i="3"/>
  <c r="AY36" i="3"/>
  <c r="AY246" i="3"/>
  <c r="AY333" i="3"/>
  <c r="AY408" i="3"/>
  <c r="AY117" i="3"/>
  <c r="AY374" i="3"/>
  <c r="AY123"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13" i="3"/>
  <c r="AY21" i="3"/>
  <c r="AY191"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297" i="3"/>
  <c r="AY462" i="3"/>
  <c r="AY94" i="3"/>
  <c r="AY536" i="3"/>
  <c r="AY517" i="3"/>
  <c r="AY18" i="3"/>
  <c r="AY74" i="3"/>
  <c r="AY106" i="3"/>
  <c r="AY349" i="3"/>
  <c r="AY422" i="3"/>
  <c r="AY379" i="3"/>
  <c r="AY178" i="3"/>
  <c r="AY550" i="3"/>
  <c r="AY376" i="3"/>
  <c r="AY342" i="3"/>
  <c r="AY457" i="3"/>
  <c r="AY201" i="3"/>
  <c r="AY124" i="3"/>
  <c r="AY566" i="3"/>
  <c r="AY513" i="3"/>
  <c r="AY296" i="3"/>
  <c r="AY460" i="3"/>
  <c r="AY533" i="3"/>
  <c r="AY419" i="3"/>
  <c r="AY196" i="3"/>
  <c r="AY496" i="3"/>
  <c r="AY121" i="3"/>
  <c r="AY537" i="3"/>
  <c r="AY73" i="3"/>
  <c r="AY45" i="3"/>
  <c r="AY427" i="3"/>
  <c r="AY326" i="3"/>
  <c r="AY366" i="3"/>
  <c r="AY464" i="3"/>
  <c r="AY279" i="3"/>
  <c r="AY543" i="3"/>
  <c r="AY428" i="3"/>
  <c r="BB6" i="3"/>
  <c r="AY54" i="3"/>
  <c r="AY284" i="3"/>
  <c r="AY261" i="3"/>
  <c r="AY301" i="3"/>
  <c r="AY441" i="3"/>
  <c r="AY138" i="3"/>
  <c r="AY367" i="3"/>
  <c r="AY166" i="3"/>
  <c r="AY413" i="3"/>
  <c r="AY319" i="3"/>
  <c r="BT6" i="3"/>
  <c r="AY323" i="3"/>
  <c r="AY370" i="3"/>
  <c r="AY388" i="3"/>
  <c r="AY485" i="3"/>
  <c r="AY244" i="3"/>
  <c r="AY399" i="3"/>
  <c r="AY199" i="3"/>
  <c r="AY174" i="3"/>
  <c r="AY351" i="3"/>
  <c r="AY328" i="3"/>
  <c r="AY63" i="3"/>
  <c r="AY71" i="3"/>
  <c r="AY440" i="3"/>
  <c r="AY195" i="3"/>
  <c r="AY362" i="3"/>
  <c r="AY252" i="3"/>
  <c r="AY260" i="3"/>
  <c r="AY228" i="3"/>
  <c r="AY154" i="3"/>
  <c r="AY75" i="3"/>
  <c r="AY384" i="3"/>
  <c r="AY202" i="3"/>
  <c r="AY398" i="3"/>
  <c r="AY348" i="3"/>
  <c r="AY241" i="3"/>
  <c r="AY542" i="3"/>
  <c r="AY555" i="3"/>
  <c r="AY308" i="3"/>
  <c r="BD6" i="3"/>
  <c r="AY436" i="3"/>
  <c r="AY192" i="3"/>
  <c r="AY410" i="3"/>
  <c r="AY512" i="3"/>
  <c r="AY125" i="3"/>
  <c r="AY167" i="3"/>
  <c r="AY292" i="3"/>
  <c r="AY144" i="3"/>
  <c r="AY361" i="3"/>
  <c r="AY324" i="3"/>
  <c r="AY548" i="3"/>
  <c r="AY194" i="3"/>
  <c r="AY253" i="3"/>
  <c r="AY212" i="3"/>
  <c r="AY345" i="3"/>
  <c r="AY522" i="3"/>
  <c r="AY165" i="3"/>
  <c r="AY491" i="3"/>
  <c r="AY47" i="3"/>
  <c r="AY49" i="3"/>
  <c r="AY315" i="3"/>
  <c r="AY16" i="3"/>
  <c r="AY526" i="3"/>
  <c r="AY353" i="3"/>
  <c r="AY243" i="3"/>
  <c r="AY452" i="3"/>
  <c r="AY380" i="3"/>
  <c r="AY211" i="3"/>
  <c r="AY396" i="3"/>
  <c r="AY221" i="3"/>
  <c r="AY245" i="3"/>
  <c r="AY32" i="3"/>
  <c r="AY456" i="3"/>
  <c r="AY112" i="3"/>
  <c r="AY247" i="3"/>
  <c r="AY20" i="3"/>
  <c r="AY78" i="3"/>
  <c r="AY153" i="3"/>
  <c r="AY375" i="3"/>
  <c r="AY559" i="3"/>
  <c r="AY506" i="3"/>
  <c r="AY240" i="3"/>
  <c r="AY475" i="3"/>
  <c r="AY331" i="3"/>
  <c r="AY487" i="3"/>
  <c r="AY509" i="3"/>
  <c r="AY539" i="3"/>
  <c r="AY64" i="3"/>
  <c r="AY515" i="3"/>
  <c r="AY264" i="3"/>
  <c r="AY479" i="3"/>
  <c r="AY364" i="3"/>
  <c r="AY238" i="3"/>
  <c r="AY115" i="3"/>
  <c r="AY230" i="3"/>
  <c r="AY420" i="3"/>
  <c r="AY157" i="3"/>
  <c r="AY516" i="3"/>
  <c r="AY538" i="3"/>
  <c r="AY557" i="3"/>
  <c r="AY418" i="3"/>
  <c r="AY289" i="3"/>
  <c r="AY130" i="3"/>
  <c r="AY541" i="3"/>
  <c r="AY477" i="3"/>
  <c r="AY300" i="3"/>
  <c r="AY232" i="3"/>
  <c r="AY381" i="3"/>
  <c r="AY372" i="3"/>
  <c r="AY302" i="3"/>
  <c r="AY336" i="3"/>
  <c r="AY494" i="3"/>
  <c r="AY451" i="3"/>
  <c r="AY59" i="3"/>
  <c r="BG6" i="3"/>
  <c r="BE6" i="3"/>
  <c r="AY83" i="3"/>
  <c r="AY383" i="3"/>
  <c r="AY258" i="3"/>
  <c r="AY450" i="3"/>
  <c r="AY23" i="3"/>
  <c r="AY354" i="3"/>
  <c r="AY525" i="3"/>
  <c r="AY306" i="3"/>
  <c r="D118" i="46"/>
  <c r="E118" i="46" s="1"/>
  <c r="F118" i="46" s="1"/>
  <c r="D115" i="46"/>
  <c r="E115" i="46" s="1"/>
  <c r="F115" i="46" s="1"/>
  <c r="G115" i="46" s="1"/>
  <c r="H115" i="46" s="1"/>
  <c r="B115" i="46"/>
  <c r="I118" i="46"/>
  <c r="J118" i="46" s="1"/>
  <c r="K118" i="46" s="1"/>
  <c r="L118" i="46" s="1"/>
  <c r="M118" i="46" s="1"/>
  <c r="B118" i="46"/>
  <c r="C118" i="46" s="1"/>
  <c r="I115" i="46"/>
  <c r="J115" i="46" s="1"/>
  <c r="K115" i="46" s="1"/>
  <c r="L115" i="46" s="1"/>
  <c r="M115" i="46" s="1"/>
  <c r="B117" i="46"/>
  <c r="C117" i="46" s="1"/>
  <c r="I117" i="46"/>
  <c r="J117" i="46" s="1"/>
  <c r="K117" i="46" s="1"/>
  <c r="L117" i="46" s="1"/>
  <c r="M117" i="46" s="1"/>
  <c r="D116" i="46"/>
  <c r="E116" i="46" s="1"/>
  <c r="F116" i="46" s="1"/>
  <c r="G116" i="46" s="1"/>
  <c r="H116" i="46" s="1"/>
  <c r="B116" i="46"/>
  <c r="C116" i="46" s="1"/>
  <c r="D117" i="46"/>
  <c r="E117" i="46" s="1"/>
  <c r="F117" i="46" s="1"/>
  <c r="G117" i="46" s="1"/>
  <c r="H117" i="46" s="1"/>
  <c r="I116" i="46"/>
  <c r="J116" i="46" s="1"/>
  <c r="K116" i="46" s="1"/>
  <c r="L116" i="46" s="1"/>
  <c r="M116" i="46" s="1"/>
  <c r="G118" i="46"/>
  <c r="H118" i="46" s="1"/>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S7" i="1"/>
  <c r="M20" i="6"/>
  <c r="I20" i="6" s="1"/>
  <c r="S20" i="6" s="1"/>
  <c r="AB33" i="78"/>
  <c r="U33" i="78"/>
  <c r="L16" i="1"/>
  <c r="C13" i="43"/>
  <c r="N16" i="1"/>
  <c r="C29" i="43" s="1"/>
  <c r="E64" i="39"/>
  <c r="E59" i="40"/>
  <c r="E60" i="40"/>
  <c r="E65" i="39"/>
  <c r="E67" i="39"/>
  <c r="E62" i="40"/>
  <c r="D16" i="12"/>
  <c r="E6" i="6"/>
  <c r="L38" i="9"/>
  <c r="B14" i="66" s="1"/>
  <c r="C33" i="21"/>
  <c r="D10" i="11"/>
  <c r="C21" i="4"/>
  <c r="O5" i="54" s="1"/>
  <c r="B45" i="63" s="1"/>
  <c r="D46" i="9"/>
  <c r="D45" i="9"/>
  <c r="D16" i="43"/>
  <c r="C16" i="43" s="1"/>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S6" i="1"/>
  <c r="M19" i="6"/>
  <c r="AC33" i="78"/>
  <c r="W33" i="78"/>
  <c r="AA33" i="78"/>
  <c r="S33" i="78"/>
  <c r="AA19" i="39" l="1"/>
  <c r="S19" i="39"/>
  <c r="W19" i="39"/>
  <c r="AC19" i="39"/>
  <c r="AB19" i="39"/>
  <c r="U19" i="39"/>
  <c r="F12" i="39"/>
  <c r="H12" i="39"/>
  <c r="J12" i="40"/>
  <c r="J7" i="34"/>
  <c r="F7" i="37"/>
  <c r="F12" i="40"/>
  <c r="J12" i="39"/>
  <c r="C34" i="46"/>
  <c r="C36" i="46"/>
  <c r="T8" i="46"/>
  <c r="V8" i="46" s="1"/>
  <c r="T13" i="46"/>
  <c r="V13" i="46" s="1"/>
  <c r="C37" i="46"/>
  <c r="C39" i="46"/>
  <c r="C35" i="46"/>
  <c r="C33" i="46"/>
  <c r="T9" i="46"/>
  <c r="V9" i="46" s="1"/>
  <c r="T14" i="46"/>
  <c r="V14" i="46" s="1"/>
  <c r="C38" i="46"/>
  <c r="T16" i="46"/>
  <c r="V16" i="46" s="1"/>
  <c r="T10" i="46"/>
  <c r="V10" i="46" s="1"/>
  <c r="T15" i="46"/>
  <c r="V15" i="46" s="1"/>
  <c r="T12" i="46"/>
  <c r="V12" i="46" s="1"/>
  <c r="T11" i="46"/>
  <c r="V11" i="46" s="1"/>
  <c r="U7" i="34"/>
  <c r="AB7" i="34"/>
  <c r="T49" i="34" s="1"/>
  <c r="G49" i="34" s="1"/>
  <c r="J7" i="37"/>
  <c r="H7" i="37"/>
  <c r="D58" i="21"/>
  <c r="E58" i="21" s="1"/>
  <c r="F58" i="21" s="1"/>
  <c r="G58" i="21" s="1"/>
  <c r="H58" i="21" s="1"/>
  <c r="I58" i="21" s="1"/>
  <c r="J58" i="21" s="1"/>
  <c r="K58" i="21" s="1"/>
  <c r="L58" i="21" s="1"/>
  <c r="M58" i="21" s="1"/>
  <c r="N58" i="21" s="1"/>
  <c r="O58" i="21" s="1"/>
  <c r="F7" i="21"/>
  <c r="C29" i="46"/>
  <c r="D58" i="78"/>
  <c r="E58" i="78" s="1"/>
  <c r="F58" i="78" s="1"/>
  <c r="G58" i="78" s="1"/>
  <c r="H58" i="78" s="1"/>
  <c r="I58" i="78" s="1"/>
  <c r="J58" i="78" s="1"/>
  <c r="K58" i="78" s="1"/>
  <c r="L58" i="78" s="1"/>
  <c r="M58" i="78" s="1"/>
  <c r="N58" i="78" s="1"/>
  <c r="O58" i="78" s="1"/>
  <c r="H7" i="78"/>
  <c r="AC7" i="36"/>
  <c r="V36" i="36" s="1"/>
  <c r="I36" i="36" s="1"/>
  <c r="W7" i="36"/>
  <c r="U7" i="36"/>
  <c r="AB7" i="36"/>
  <c r="T36" i="36" s="1"/>
  <c r="G36" i="36" s="1"/>
  <c r="AB7" i="33"/>
  <c r="T48" i="33" s="1"/>
  <c r="G48" i="33" s="1"/>
  <c r="U7" i="33"/>
  <c r="AA7" i="33"/>
  <c r="R48" i="33" s="1"/>
  <c r="S7" i="33"/>
  <c r="E65" i="40"/>
  <c r="D67" i="40"/>
  <c r="AC7" i="35"/>
  <c r="V38" i="35" s="1"/>
  <c r="I38" i="35" s="1"/>
  <c r="W7" i="35"/>
  <c r="AA7" i="35"/>
  <c r="R38" i="35" s="1"/>
  <c r="S7" i="35"/>
  <c r="AA7" i="34"/>
  <c r="R49" i="34" s="1"/>
  <c r="S7" i="34"/>
  <c r="AC7" i="34"/>
  <c r="V49" i="34" s="1"/>
  <c r="I49" i="34" s="1"/>
  <c r="W7" i="34"/>
  <c r="AA7" i="37"/>
  <c r="R42" i="37" s="1"/>
  <c r="S7" i="37"/>
  <c r="J7" i="21"/>
  <c r="H7" i="21"/>
  <c r="J7" i="78"/>
  <c r="S7" i="36"/>
  <c r="AA7" i="36"/>
  <c r="R36" i="36" s="1"/>
  <c r="W7" i="33"/>
  <c r="AC7" i="33"/>
  <c r="V48" i="33" s="1"/>
  <c r="I48" i="33" s="1"/>
  <c r="E70" i="39"/>
  <c r="D72" i="39"/>
  <c r="AB7" i="35"/>
  <c r="T38" i="35" s="1"/>
  <c r="G38" i="35" s="1"/>
  <c r="U7" i="35"/>
  <c r="K27" i="6"/>
  <c r="P7" i="1"/>
  <c r="P16" i="1" s="1"/>
  <c r="C13" i="12" s="1"/>
  <c r="AA12" i="40"/>
  <c r="S12" i="40"/>
  <c r="AC12" i="39"/>
  <c r="W12" i="39"/>
  <c r="U12" i="40"/>
  <c r="AB12" i="40"/>
  <c r="E6" i="3"/>
  <c r="AA12" i="39"/>
  <c r="S12" i="39"/>
  <c r="AC12" i="40"/>
  <c r="W12" i="40"/>
  <c r="AB12" i="39"/>
  <c r="U12" i="39"/>
  <c r="I19" i="6"/>
  <c r="M27" i="6"/>
  <c r="S16" i="1"/>
  <c r="S5" i="46"/>
  <c r="T5" i="46" s="1"/>
  <c r="V5" i="46" s="1"/>
  <c r="S4" i="46"/>
  <c r="T4" i="46" s="1"/>
  <c r="V4" i="46" s="1"/>
  <c r="S6" i="46"/>
  <c r="T6" i="46" s="1"/>
  <c r="V6" i="46" s="1"/>
  <c r="S3" i="46"/>
  <c r="T3" i="46" s="1"/>
  <c r="V3" i="46" s="1"/>
  <c r="S2" i="46"/>
  <c r="T2" i="46" s="1"/>
  <c r="V2" i="46" s="1"/>
  <c r="S7" i="46"/>
  <c r="T7" i="46" s="1"/>
  <c r="V7" i="46" s="1"/>
  <c r="F33" i="21"/>
  <c r="H33" i="21"/>
  <c r="J33" i="21"/>
  <c r="D22" i="12"/>
  <c r="C22" i="12" s="1"/>
  <c r="C20" i="12" s="1"/>
  <c r="D13" i="11"/>
  <c r="C13" i="11" s="1"/>
  <c r="D20" i="6"/>
  <c r="D19" i="6"/>
  <c r="D22" i="6"/>
  <c r="D24" i="6"/>
  <c r="D26" i="6"/>
  <c r="D28" i="6"/>
  <c r="K38" i="9"/>
  <c r="C14" i="66" s="1"/>
  <c r="B2" i="66" s="1"/>
  <c r="D23" i="6"/>
  <c r="H20" i="6"/>
  <c r="D25" i="6"/>
  <c r="D29" i="6"/>
  <c r="D21" i="6"/>
  <c r="D6" i="6"/>
  <c r="E46" i="9"/>
  <c r="D12" i="6"/>
  <c r="H26" i="6"/>
  <c r="D5" i="6"/>
  <c r="E63" i="40"/>
  <c r="D9" i="6"/>
  <c r="D8" i="6"/>
  <c r="D11" i="6"/>
  <c r="H22" i="6"/>
  <c r="F45" i="9"/>
  <c r="D14" i="6"/>
  <c r="E45" i="9"/>
  <c r="H24" i="6"/>
  <c r="D15" i="6"/>
  <c r="H21" i="6"/>
  <c r="H19" i="6"/>
  <c r="D13" i="6"/>
  <c r="C22" i="4"/>
  <c r="D10" i="6"/>
  <c r="H25" i="6"/>
  <c r="F46" i="9"/>
  <c r="H23" i="6"/>
  <c r="C15" i="12"/>
  <c r="K14" i="66"/>
  <c r="B1" i="66"/>
  <c r="C16" i="12"/>
  <c r="D19" i="12"/>
  <c r="C19" i="12" s="1"/>
  <c r="C17" i="43"/>
  <c r="C14" i="43"/>
  <c r="C115" i="46"/>
  <c r="D113" i="46" s="1"/>
  <c r="E68" i="39"/>
  <c r="F40" i="15"/>
  <c r="L48" i="72"/>
  <c r="I6" i="65"/>
  <c r="F11" i="44"/>
  <c r="C19" i="44"/>
  <c r="B8" i="67"/>
  <c r="F13" i="72"/>
  <c r="J5" i="65"/>
  <c r="M22" i="72"/>
  <c r="F26" i="72"/>
  <c r="M28" i="77"/>
  <c r="M26" i="72"/>
  <c r="F35" i="77"/>
  <c r="L49" i="44"/>
  <c r="L48" i="15"/>
  <c r="F9" i="44"/>
  <c r="J17" i="44"/>
  <c r="F36" i="72"/>
  <c r="B13" i="67"/>
  <c r="E12" i="67"/>
  <c r="M23" i="44"/>
  <c r="M24" i="44"/>
  <c r="M6" i="15"/>
  <c r="F40" i="44"/>
  <c r="F36" i="77"/>
  <c r="I4" i="65"/>
  <c r="F16" i="15"/>
  <c r="M28" i="44"/>
  <c r="M28" i="15"/>
  <c r="F9" i="72"/>
  <c r="F36" i="15"/>
  <c r="E8" i="67"/>
  <c r="M22" i="15"/>
  <c r="F43" i="44"/>
  <c r="E10" i="67"/>
  <c r="F38" i="44"/>
  <c r="M23" i="72"/>
  <c r="J36" i="72"/>
  <c r="B14" i="67"/>
  <c r="F15" i="44"/>
  <c r="J36" i="15"/>
  <c r="M25" i="44"/>
  <c r="F6" i="15"/>
  <c r="L48" i="44"/>
  <c r="J15" i="72"/>
  <c r="F16" i="72"/>
  <c r="M8" i="77"/>
  <c r="E11" i="67"/>
  <c r="F37" i="77"/>
  <c r="F40" i="77"/>
  <c r="I5" i="65"/>
  <c r="M6" i="77"/>
  <c r="M23" i="77"/>
  <c r="F46" i="44"/>
  <c r="F6" i="77"/>
  <c r="M8" i="72"/>
  <c r="M24" i="72"/>
  <c r="M29" i="44"/>
  <c r="F43" i="72"/>
  <c r="F26" i="15"/>
  <c r="J15" i="15"/>
  <c r="F9" i="77"/>
  <c r="F40" i="72"/>
  <c r="M29" i="77"/>
  <c r="F8" i="67"/>
  <c r="M26" i="77"/>
  <c r="F18" i="44"/>
  <c r="F42" i="15"/>
  <c r="M27" i="15"/>
  <c r="J36" i="77"/>
  <c r="C14" i="72"/>
  <c r="E14" i="67"/>
  <c r="J4" i="65"/>
  <c r="F38" i="72"/>
  <c r="F13" i="15"/>
  <c r="J3" i="65"/>
  <c r="F6" i="72"/>
  <c r="F41" i="77"/>
  <c r="F37" i="72"/>
  <c r="F9" i="15"/>
  <c r="F26" i="77"/>
  <c r="F38" i="15"/>
  <c r="F12" i="67"/>
  <c r="M9" i="72"/>
  <c r="M27" i="72"/>
  <c r="F43" i="15"/>
  <c r="L47" i="77"/>
  <c r="M8" i="15"/>
  <c r="M31" i="44"/>
  <c r="M24" i="77"/>
  <c r="N3" i="65"/>
  <c r="F42" i="77"/>
  <c r="J15" i="77"/>
  <c r="F13" i="67"/>
  <c r="F10" i="44"/>
  <c r="F13" i="77"/>
  <c r="B10" i="67"/>
  <c r="M29" i="15"/>
  <c r="F7" i="77"/>
  <c r="C14" i="77"/>
  <c r="M8" i="44"/>
  <c r="F37" i="44"/>
  <c r="M9" i="15"/>
  <c r="L48" i="77"/>
  <c r="J6" i="65"/>
  <c r="M29" i="72"/>
  <c r="F45" i="44"/>
  <c r="F8" i="15"/>
  <c r="M22" i="77"/>
  <c r="F10" i="67"/>
  <c r="F8" i="72"/>
  <c r="M11" i="44"/>
  <c r="F16" i="77"/>
  <c r="F37" i="15"/>
  <c r="I3" i="65"/>
  <c r="M23" i="15"/>
  <c r="F7" i="15"/>
  <c r="F39" i="44"/>
  <c r="M9" i="77"/>
  <c r="N6" i="65"/>
  <c r="C16" i="44"/>
  <c r="M26" i="15"/>
  <c r="B12" i="67"/>
  <c r="E9" i="67"/>
  <c r="N4" i="65"/>
  <c r="F43" i="77"/>
  <c r="M28" i="72"/>
  <c r="M21" i="72"/>
  <c r="F38" i="77"/>
  <c r="F41" i="72"/>
  <c r="M10" i="44"/>
  <c r="F11" i="67"/>
  <c r="F14" i="67"/>
  <c r="I7" i="65"/>
  <c r="F35" i="72"/>
  <c r="F42" i="72"/>
  <c r="M30" i="44"/>
  <c r="N5" i="65"/>
  <c r="L47" i="72"/>
  <c r="M6" i="72"/>
  <c r="B9" i="67"/>
  <c r="M21" i="77"/>
  <c r="N7" i="65"/>
  <c r="F8" i="77"/>
  <c r="L47" i="15"/>
  <c r="F8" i="44"/>
  <c r="E13" i="67"/>
  <c r="B11" i="67"/>
  <c r="M26" i="44"/>
  <c r="M27" i="77"/>
  <c r="M24" i="15"/>
  <c r="F28" i="44"/>
  <c r="F7" i="72"/>
  <c r="J7" i="65"/>
  <c r="F9" i="67"/>
  <c r="F7" i="78" l="1"/>
  <c r="C6" i="72"/>
  <c r="Q72" i="72"/>
  <c r="F68" i="77"/>
  <c r="J1" i="65"/>
  <c r="C4" i="65"/>
  <c r="B39" i="1" s="1"/>
  <c r="M11" i="72" s="1"/>
  <c r="J10" i="72" s="1"/>
  <c r="L58" i="77"/>
  <c r="Q61" i="77" s="1"/>
  <c r="L59" i="77"/>
  <c r="Q62" i="77" s="1"/>
  <c r="F65" i="72"/>
  <c r="F70" i="15"/>
  <c r="F49" i="72"/>
  <c r="M7" i="72"/>
  <c r="J6" i="72" s="1"/>
  <c r="Q73" i="44"/>
  <c r="C21" i="44"/>
  <c r="C22" i="44" s="1"/>
  <c r="C28" i="44" s="1"/>
  <c r="C20" i="44"/>
  <c r="C17" i="44"/>
  <c r="C18" i="72"/>
  <c r="C19" i="72"/>
  <c r="C20" i="72" s="1"/>
  <c r="C26" i="72" s="1"/>
  <c r="C15" i="72"/>
  <c r="C29" i="44"/>
  <c r="Q72" i="77"/>
  <c r="F63" i="15"/>
  <c r="M7" i="15"/>
  <c r="J6" i="15" s="1"/>
  <c r="F49" i="15"/>
  <c r="F65" i="15"/>
  <c r="F64" i="15"/>
  <c r="E20" i="46"/>
  <c r="P17" i="46" s="1"/>
  <c r="C27" i="77"/>
  <c r="F67" i="72"/>
  <c r="F63" i="77"/>
  <c r="F50" i="72"/>
  <c r="C48" i="72" s="1"/>
  <c r="F64" i="72"/>
  <c r="C27" i="15"/>
  <c r="F70" i="72"/>
  <c r="J22" i="44"/>
  <c r="C8" i="44"/>
  <c r="F50" i="15"/>
  <c r="L59" i="15"/>
  <c r="Q62" i="15" s="1"/>
  <c r="L58" i="15"/>
  <c r="Q74" i="15" s="1"/>
  <c r="F50" i="77"/>
  <c r="F63" i="72"/>
  <c r="C6" i="77"/>
  <c r="J20" i="77"/>
  <c r="I54" i="77"/>
  <c r="J59" i="77"/>
  <c r="J57" i="77"/>
  <c r="J55" i="77" s="1"/>
  <c r="J58" i="77" s="1"/>
  <c r="Q51" i="77" s="1"/>
  <c r="J53" i="77"/>
  <c r="F1" i="77" s="1"/>
  <c r="L56" i="77"/>
  <c r="L60" i="77"/>
  <c r="Q67" i="77" s="1"/>
  <c r="L57" i="77"/>
  <c r="J60" i="77"/>
  <c r="Q49" i="77" s="1"/>
  <c r="M9" i="44"/>
  <c r="J8" i="44" s="1"/>
  <c r="I54" i="15"/>
  <c r="L60" i="15"/>
  <c r="Q58" i="15" s="1"/>
  <c r="J53" i="15"/>
  <c r="F1" i="15" s="1"/>
  <c r="L56" i="15"/>
  <c r="L57" i="15"/>
  <c r="J57" i="15"/>
  <c r="J55" i="15" s="1"/>
  <c r="J58" i="15" s="1"/>
  <c r="Q51" i="15" s="1"/>
  <c r="J60" i="15"/>
  <c r="Q49" i="15" s="1"/>
  <c r="J59" i="15"/>
  <c r="C36" i="44"/>
  <c r="L58" i="72"/>
  <c r="Q74" i="72" s="1"/>
  <c r="L59" i="72"/>
  <c r="Q75" i="72" s="1"/>
  <c r="L47" i="44"/>
  <c r="L61" i="44"/>
  <c r="Q68" i="44" s="1"/>
  <c r="J54" i="44"/>
  <c r="F1" i="44" s="1"/>
  <c r="I55" i="44"/>
  <c r="L58" i="44"/>
  <c r="J61" i="44"/>
  <c r="Q50" i="44" s="1"/>
  <c r="L57" i="44"/>
  <c r="J60" i="44"/>
  <c r="J58" i="44"/>
  <c r="J56" i="44" s="1"/>
  <c r="J59" i="44" s="1"/>
  <c r="Q52" i="44" s="1"/>
  <c r="C34" i="77"/>
  <c r="F62" i="77"/>
  <c r="C61" i="77" s="1"/>
  <c r="F67" i="77"/>
  <c r="C19" i="77"/>
  <c r="C20" i="77" s="1"/>
  <c r="C15" i="77"/>
  <c r="C18" i="77"/>
  <c r="F64" i="77"/>
  <c r="F49" i="77"/>
  <c r="M7" i="77"/>
  <c r="J6" i="77" s="1"/>
  <c r="F62" i="72"/>
  <c r="C61" i="72" s="1"/>
  <c r="C34" i="72"/>
  <c r="C27" i="72"/>
  <c r="L59" i="44"/>
  <c r="Q75" i="44" s="1"/>
  <c r="L60" i="44"/>
  <c r="Q76" i="44" s="1"/>
  <c r="C6" i="15"/>
  <c r="F68" i="72"/>
  <c r="F65" i="77"/>
  <c r="Q72" i="15"/>
  <c r="J20" i="72"/>
  <c r="L60" i="72"/>
  <c r="Q67" i="72" s="1"/>
  <c r="J53" i="72"/>
  <c r="Q53" i="72" s="1"/>
  <c r="I54" i="72"/>
  <c r="J60" i="72"/>
  <c r="Q49" i="72" s="1"/>
  <c r="L57" i="72"/>
  <c r="L56" i="72"/>
  <c r="J57" i="72"/>
  <c r="J55" i="72" s="1"/>
  <c r="J58" i="72" s="1"/>
  <c r="Q51" i="72" s="1"/>
  <c r="J59" i="72"/>
  <c r="F70" i="77"/>
  <c r="F67" i="15"/>
  <c r="Q63" i="44"/>
  <c r="F70" i="39"/>
  <c r="E72" i="39"/>
  <c r="U7" i="21"/>
  <c r="AB7" i="21"/>
  <c r="R49" i="33"/>
  <c r="E48" i="33"/>
  <c r="G52" i="33"/>
  <c r="H52" i="33" s="1"/>
  <c r="G53" i="33"/>
  <c r="H53" i="33" s="1"/>
  <c r="I40" i="36"/>
  <c r="J40" i="36" s="1"/>
  <c r="AA7" i="78"/>
  <c r="S7" i="78"/>
  <c r="E29" i="46"/>
  <c r="C30" i="46"/>
  <c r="E30" i="46" s="1"/>
  <c r="W7" i="37"/>
  <c r="AC7" i="37"/>
  <c r="V42" i="37" s="1"/>
  <c r="I42" i="37" s="1"/>
  <c r="G38" i="46"/>
  <c r="I38" i="46" s="1"/>
  <c r="E38" i="46"/>
  <c r="G35" i="46"/>
  <c r="I35" i="46" s="1"/>
  <c r="E35" i="46"/>
  <c r="G37" i="46"/>
  <c r="I37" i="46" s="1"/>
  <c r="E37" i="46"/>
  <c r="G34" i="46"/>
  <c r="I34" i="46" s="1"/>
  <c r="E34" i="46"/>
  <c r="G42" i="35"/>
  <c r="H42" i="35" s="1"/>
  <c r="G43" i="35"/>
  <c r="H43" i="35" s="1"/>
  <c r="I53" i="33"/>
  <c r="J53" i="33" s="1"/>
  <c r="I52" i="33"/>
  <c r="J52" i="33" s="1"/>
  <c r="E36" i="36"/>
  <c r="R37" i="36"/>
  <c r="AC7" i="78"/>
  <c r="W7" i="78"/>
  <c r="W7" i="21"/>
  <c r="AC7" i="21"/>
  <c r="E42" i="37"/>
  <c r="R43" i="37"/>
  <c r="I53" i="34"/>
  <c r="J53" i="34" s="1"/>
  <c r="R50" i="34"/>
  <c r="E49" i="34"/>
  <c r="I54" i="34" s="1"/>
  <c r="J54" i="34" s="1"/>
  <c r="R39" i="35"/>
  <c r="E38" i="35"/>
  <c r="I42" i="35"/>
  <c r="J42" i="35" s="1"/>
  <c r="I43" i="35"/>
  <c r="J43" i="35" s="1"/>
  <c r="F65" i="40"/>
  <c r="E67" i="40"/>
  <c r="G40" i="36"/>
  <c r="H40" i="36" s="1"/>
  <c r="G41" i="36"/>
  <c r="H41" i="36" s="1"/>
  <c r="AB7" i="78"/>
  <c r="U7" i="78"/>
  <c r="S7" i="21"/>
  <c r="AA7" i="21"/>
  <c r="AB7" i="37"/>
  <c r="T42" i="37" s="1"/>
  <c r="G42" i="37" s="1"/>
  <c r="U7" i="37"/>
  <c r="G53" i="34"/>
  <c r="H53" i="34" s="1"/>
  <c r="G54" i="34"/>
  <c r="H54" i="34" s="1"/>
  <c r="G33" i="46"/>
  <c r="I33" i="46" s="1"/>
  <c r="E33" i="46"/>
  <c r="G39" i="46"/>
  <c r="I39" i="46" s="1"/>
  <c r="E39" i="46"/>
  <c r="G36" i="46"/>
  <c r="I36" i="46" s="1"/>
  <c r="E36" i="46"/>
  <c r="F1" i="72"/>
  <c r="C18" i="43"/>
  <c r="C19" i="43" s="1"/>
  <c r="C25" i="43" s="1"/>
  <c r="C24" i="43" s="1"/>
  <c r="H27" i="6"/>
  <c r="R26" i="6"/>
  <c r="R22" i="6"/>
  <c r="C14" i="12"/>
  <c r="C17" i="12"/>
  <c r="D8" i="66"/>
  <c r="D7" i="66"/>
  <c r="R20" i="6"/>
  <c r="R7" i="1" s="1"/>
  <c r="W33" i="21"/>
  <c r="AC33" i="21"/>
  <c r="S33" i="21"/>
  <c r="AA33" i="21"/>
  <c r="T12" i="1"/>
  <c r="T8" i="1"/>
  <c r="T10" i="1"/>
  <c r="T9" i="1"/>
  <c r="T13" i="1"/>
  <c r="T11" i="1"/>
  <c r="S19" i="6"/>
  <c r="S27" i="6" s="1"/>
  <c r="I27" i="6"/>
  <c r="C8" i="66"/>
  <c r="C7" i="66"/>
  <c r="A20" i="51"/>
  <c r="B15" i="63" s="1"/>
  <c r="N5" i="54"/>
  <c r="B43" i="63" s="1"/>
  <c r="A6" i="64"/>
  <c r="A6" i="51"/>
  <c r="B7" i="63" s="1"/>
  <c r="A20" i="64"/>
  <c r="D16" i="6"/>
  <c r="R21" i="6"/>
  <c r="R25" i="6"/>
  <c r="R23" i="6"/>
  <c r="D30" i="6"/>
  <c r="R24" i="6"/>
  <c r="D27" i="6"/>
  <c r="D31" i="6" s="1"/>
  <c r="R19" i="6"/>
  <c r="T7" i="1"/>
  <c r="U33" i="21"/>
  <c r="AB33" i="21"/>
  <c r="T6" i="1"/>
  <c r="E2" i="65"/>
  <c r="C16" i="77"/>
  <c r="C17" i="72"/>
  <c r="F35" i="15"/>
  <c r="C16" i="15"/>
  <c r="C14" i="15"/>
  <c r="C18" i="44"/>
  <c r="AE7" i="1"/>
  <c r="F7" i="67"/>
  <c r="C17" i="15"/>
  <c r="C17" i="77"/>
  <c r="C16" i="72"/>
  <c r="M21" i="15"/>
  <c r="E3" i="65"/>
  <c r="B40" i="1" l="1"/>
  <c r="F24" i="15" s="1"/>
  <c r="C24" i="15" s="1"/>
  <c r="F13" i="44"/>
  <c r="C12" i="44" s="1"/>
  <c r="C7" i="44" s="1"/>
  <c r="F11" i="72"/>
  <c r="C52" i="72" s="1"/>
  <c r="C47" i="72" s="1"/>
  <c r="Q53" i="77"/>
  <c r="Q58" i="77"/>
  <c r="Q75" i="15"/>
  <c r="F11" i="15"/>
  <c r="C52" i="15" s="1"/>
  <c r="M11" i="15"/>
  <c r="J10" i="15" s="1"/>
  <c r="Q75" i="77"/>
  <c r="Q62" i="72"/>
  <c r="J5" i="72"/>
  <c r="J26" i="72" s="1"/>
  <c r="J29" i="72" s="1"/>
  <c r="M11" i="77"/>
  <c r="J10" i="77" s="1"/>
  <c r="F11" i="77"/>
  <c r="C52" i="77" s="1"/>
  <c r="M13" i="44"/>
  <c r="J12" i="44" s="1"/>
  <c r="J7" i="44" s="1"/>
  <c r="J26" i="44" s="1"/>
  <c r="Q59" i="44"/>
  <c r="Q62" i="44"/>
  <c r="C48" i="77"/>
  <c r="C47" i="77" s="1"/>
  <c r="C60" i="77" s="1"/>
  <c r="J5" i="15"/>
  <c r="J24" i="15" s="1"/>
  <c r="Q53" i="15"/>
  <c r="J5" i="77"/>
  <c r="J18" i="77" s="1"/>
  <c r="M17" i="46"/>
  <c r="Q67" i="15"/>
  <c r="F26" i="12"/>
  <c r="C27" i="12" s="1"/>
  <c r="D26" i="12" s="1"/>
  <c r="C32" i="12" s="1"/>
  <c r="D30" i="12" s="1"/>
  <c r="C48" i="15"/>
  <c r="Q54" i="44"/>
  <c r="Q74" i="77"/>
  <c r="Q61" i="72"/>
  <c r="Q61" i="15"/>
  <c r="N17" i="46"/>
  <c r="Q58" i="72"/>
  <c r="O17" i="46"/>
  <c r="C26" i="77"/>
  <c r="F17" i="11"/>
  <c r="C17" i="11" s="1"/>
  <c r="C19" i="11" s="1"/>
  <c r="C20" i="11" s="1"/>
  <c r="C21" i="11" s="1"/>
  <c r="C22" i="11" s="1"/>
  <c r="C23" i="11" s="1"/>
  <c r="B2" i="11" s="1"/>
  <c r="B4" i="11" s="1"/>
  <c r="E4" i="67"/>
  <c r="G47" i="37"/>
  <c r="H47" i="37" s="1"/>
  <c r="G46" i="37"/>
  <c r="H46" i="37" s="1"/>
  <c r="F67" i="40"/>
  <c r="G65" i="40"/>
  <c r="C39" i="35"/>
  <c r="B3" i="35" s="1"/>
  <c r="B2" i="35" s="1"/>
  <c r="C38" i="35"/>
  <c r="C50" i="34"/>
  <c r="B3" i="34" s="1"/>
  <c r="B2" i="34" s="1"/>
  <c r="C49" i="34"/>
  <c r="E47" i="37"/>
  <c r="F47" i="37" s="1"/>
  <c r="E46" i="37"/>
  <c r="F46" i="37" s="1"/>
  <c r="E41" i="36"/>
  <c r="F41" i="36" s="1"/>
  <c r="E40" i="36"/>
  <c r="F40" i="36" s="1"/>
  <c r="I46" i="37"/>
  <c r="J46" i="37" s="1"/>
  <c r="I47" i="37"/>
  <c r="J47" i="37" s="1"/>
  <c r="C27" i="46"/>
  <c r="I41" i="36"/>
  <c r="J41" i="36" s="1"/>
  <c r="E53" i="33"/>
  <c r="F53" i="33" s="1"/>
  <c r="E52" i="33"/>
  <c r="F52" i="33" s="1"/>
  <c r="E43" i="35"/>
  <c r="F43" i="35" s="1"/>
  <c r="E42" i="35"/>
  <c r="F42" i="35" s="1"/>
  <c r="E54" i="34"/>
  <c r="F54" i="34" s="1"/>
  <c r="E53" i="34"/>
  <c r="F53" i="34" s="1"/>
  <c r="C43" i="37"/>
  <c r="B3" i="37" s="1"/>
  <c r="B2" i="37" s="1"/>
  <c r="C42" i="37"/>
  <c r="C36" i="36"/>
  <c r="C37" i="36"/>
  <c r="B3" i="36" s="1"/>
  <c r="B2" i="36" s="1"/>
  <c r="C26" i="46"/>
  <c r="C49" i="33"/>
  <c r="B3" i="33" s="1"/>
  <c r="B2" i="33" s="1"/>
  <c r="C48" i="33"/>
  <c r="G70" i="39"/>
  <c r="F72" i="39"/>
  <c r="T16" i="1"/>
  <c r="C34" i="15"/>
  <c r="F62" i="15"/>
  <c r="C61" i="15" s="1"/>
  <c r="J20" i="15"/>
  <c r="C15" i="15"/>
  <c r="C18" i="15"/>
  <c r="R6" i="1"/>
  <c r="R16" i="1" s="1"/>
  <c r="R27" i="6"/>
  <c r="I5" i="6"/>
  <c r="I6" i="6"/>
  <c r="C18" i="12"/>
  <c r="C23" i="12" s="1"/>
  <c r="E7" i="67"/>
  <c r="F41" i="15"/>
  <c r="C10" i="72" l="1"/>
  <c r="C5" i="72" s="1"/>
  <c r="C38" i="72" s="1"/>
  <c r="F24" i="77"/>
  <c r="C24" i="77" s="1"/>
  <c r="J26" i="15"/>
  <c r="J29" i="15" s="1"/>
  <c r="F21" i="43"/>
  <c r="C23" i="43" s="1"/>
  <c r="D21" i="43" s="1"/>
  <c r="F24" i="72"/>
  <c r="C24" i="72" s="1"/>
  <c r="F26" i="44"/>
  <c r="C26" i="44" s="1"/>
  <c r="J24" i="77"/>
  <c r="J18" i="15"/>
  <c r="C40" i="44"/>
  <c r="C35" i="44"/>
  <c r="J24" i="72"/>
  <c r="J26" i="77"/>
  <c r="J29" i="77" s="1"/>
  <c r="C34" i="44"/>
  <c r="J18" i="72"/>
  <c r="C10" i="15"/>
  <c r="C5" i="15" s="1"/>
  <c r="C33" i="15" s="1"/>
  <c r="C10" i="77"/>
  <c r="C5" i="77" s="1"/>
  <c r="C38" i="77" s="1"/>
  <c r="C65" i="77"/>
  <c r="C47" i="15"/>
  <c r="C60" i="15" s="1"/>
  <c r="C59" i="77"/>
  <c r="C58" i="77" s="1"/>
  <c r="C23" i="77"/>
  <c r="C29" i="77" s="1"/>
  <c r="J19" i="77" s="1"/>
  <c r="J17" i="77" s="1"/>
  <c r="J20" i="44"/>
  <c r="B5" i="11"/>
  <c r="J28" i="44"/>
  <c r="J31" i="44" s="1"/>
  <c r="Q58" i="44" s="1"/>
  <c r="Q64" i="44" s="1"/>
  <c r="B3" i="11"/>
  <c r="F68" i="15"/>
  <c r="E3" i="67"/>
  <c r="H70" i="39"/>
  <c r="G72" i="39"/>
  <c r="B2" i="46"/>
  <c r="H65" i="40"/>
  <c r="G67" i="40"/>
  <c r="C60" i="72"/>
  <c r="C59" i="72"/>
  <c r="C65" i="72"/>
  <c r="C19" i="15"/>
  <c r="C20" i="15" s="1"/>
  <c r="C23" i="15" s="1"/>
  <c r="C13" i="39"/>
  <c r="C11" i="78"/>
  <c r="C11" i="21"/>
  <c r="B7" i="67"/>
  <c r="L52" i="44"/>
  <c r="C33" i="72" l="1"/>
  <c r="C32" i="72"/>
  <c r="C13" i="77"/>
  <c r="Q71" i="77" s="1"/>
  <c r="C22" i="43"/>
  <c r="C21" i="43" s="1"/>
  <c r="C28" i="43" s="1"/>
  <c r="C30" i="43" s="1"/>
  <c r="C32" i="43" s="1"/>
  <c r="B2" i="43" s="1"/>
  <c r="B3" i="43" s="1"/>
  <c r="C25" i="44"/>
  <c r="C31" i="44" s="1"/>
  <c r="J21" i="44" s="1"/>
  <c r="J19" i="44" s="1"/>
  <c r="C23" i="72"/>
  <c r="C29" i="72" s="1"/>
  <c r="J19" i="72" s="1"/>
  <c r="J17" i="72" s="1"/>
  <c r="C59" i="15"/>
  <c r="C58" i="15" s="1"/>
  <c r="C33" i="44"/>
  <c r="C32" i="77"/>
  <c r="C33" i="77"/>
  <c r="Q69" i="44"/>
  <c r="C36" i="72"/>
  <c r="C15" i="44"/>
  <c r="C39" i="44" s="1"/>
  <c r="C32" i="15"/>
  <c r="C31" i="15" s="1"/>
  <c r="C38" i="15"/>
  <c r="Q49" i="44"/>
  <c r="Q55" i="44" s="1"/>
  <c r="C65" i="15"/>
  <c r="Q50" i="77"/>
  <c r="C56" i="77"/>
  <c r="C63" i="77" s="1"/>
  <c r="C36" i="77"/>
  <c r="J14" i="77"/>
  <c r="J13" i="77" s="1"/>
  <c r="J23" i="77" s="1"/>
  <c r="Q67" i="44"/>
  <c r="Q77" i="44" s="1"/>
  <c r="B2" i="67"/>
  <c r="B4" i="67" s="1"/>
  <c r="I65" i="40"/>
  <c r="H67" i="40"/>
  <c r="D4" i="46"/>
  <c r="B4" i="46"/>
  <c r="B3" i="46"/>
  <c r="I70" i="39"/>
  <c r="H72" i="39"/>
  <c r="C58" i="72"/>
  <c r="C26" i="15"/>
  <c r="C29" i="15" s="1"/>
  <c r="C13" i="15" s="1"/>
  <c r="F11" i="21"/>
  <c r="J11" i="21"/>
  <c r="H11" i="21"/>
  <c r="H13" i="39"/>
  <c r="F13" i="39"/>
  <c r="J13" i="39"/>
  <c r="F11" i="78"/>
  <c r="J11" i="78"/>
  <c r="H11" i="78"/>
  <c r="B5" i="43" l="1"/>
  <c r="C31" i="72"/>
  <c r="Q72" i="44"/>
  <c r="C37" i="77"/>
  <c r="C55" i="77"/>
  <c r="C64" i="77" s="1"/>
  <c r="J35" i="77"/>
  <c r="Q51" i="44"/>
  <c r="C13" i="72"/>
  <c r="J35" i="72" s="1"/>
  <c r="J14" i="72"/>
  <c r="J22" i="72" s="1"/>
  <c r="Q50" i="72"/>
  <c r="C56" i="72"/>
  <c r="C63" i="72" s="1"/>
  <c r="B4" i="43"/>
  <c r="C38" i="44"/>
  <c r="J16" i="44"/>
  <c r="C31" i="77"/>
  <c r="C43" i="44"/>
  <c r="C32" i="44"/>
  <c r="C42" i="44" s="1"/>
  <c r="Q71" i="44" s="1"/>
  <c r="Q70" i="44" s="1"/>
  <c r="J22" i="77"/>
  <c r="J16" i="77" s="1"/>
  <c r="J25" i="77" s="1"/>
  <c r="C57" i="77"/>
  <c r="C66" i="77" s="1"/>
  <c r="C67" i="77" s="1"/>
  <c r="C70" i="77" s="1"/>
  <c r="B3" i="67"/>
  <c r="J13" i="72"/>
  <c r="J23" i="72" s="1"/>
  <c r="I67" i="40"/>
  <c r="J65" i="40"/>
  <c r="J70" i="39"/>
  <c r="I72" i="39"/>
  <c r="C56" i="15"/>
  <c r="C63" i="15" s="1"/>
  <c r="J14" i="15"/>
  <c r="J13" i="15" s="1"/>
  <c r="J23" i="15" s="1"/>
  <c r="Q50" i="15"/>
  <c r="C36" i="15"/>
  <c r="J19" i="15"/>
  <c r="J17" i="15" s="1"/>
  <c r="AC11" i="78"/>
  <c r="V48" i="78" s="1"/>
  <c r="I48" i="78" s="1"/>
  <c r="W11" i="78"/>
  <c r="J22" i="15"/>
  <c r="AC13" i="39"/>
  <c r="W13" i="39"/>
  <c r="AB13" i="39"/>
  <c r="U13" i="39"/>
  <c r="W11" i="21"/>
  <c r="AC11" i="21"/>
  <c r="V48" i="21" s="1"/>
  <c r="I48" i="21" s="1"/>
  <c r="AB11" i="78"/>
  <c r="T48" i="78" s="1"/>
  <c r="G48" i="78" s="1"/>
  <c r="U11" i="78"/>
  <c r="AA11" i="78"/>
  <c r="R48" i="78" s="1"/>
  <c r="S11" i="78"/>
  <c r="J35" i="15"/>
  <c r="C55" i="15"/>
  <c r="C64" i="15" s="1"/>
  <c r="C37" i="15"/>
  <c r="Q71" i="15"/>
  <c r="AA13" i="39"/>
  <c r="S13" i="39"/>
  <c r="AB11" i="21"/>
  <c r="T48" i="21" s="1"/>
  <c r="G48" i="21" s="1"/>
  <c r="U11" i="21"/>
  <c r="AA11" i="21"/>
  <c r="R48" i="21" s="1"/>
  <c r="S11" i="21"/>
  <c r="C30" i="77" l="1"/>
  <c r="C39" i="77" s="1"/>
  <c r="Q70" i="77" s="1"/>
  <c r="Q69" i="77" s="1"/>
  <c r="C37" i="72"/>
  <c r="C30" i="72" s="1"/>
  <c r="C39" i="72" s="1"/>
  <c r="Q70" i="72" s="1"/>
  <c r="C55" i="72"/>
  <c r="C64" i="72" s="1"/>
  <c r="C57" i="72" s="1"/>
  <c r="C66" i="72" s="1"/>
  <c r="C67" i="72" s="1"/>
  <c r="C70" i="72" s="1"/>
  <c r="Q71" i="72"/>
  <c r="J24" i="44"/>
  <c r="J15" i="44"/>
  <c r="J25" i="44" s="1"/>
  <c r="J39" i="77"/>
  <c r="J40" i="77" s="1"/>
  <c r="C44" i="44"/>
  <c r="C45" i="44" s="1"/>
  <c r="B2" i="44" s="1"/>
  <c r="B3" i="44" s="1"/>
  <c r="J16" i="72"/>
  <c r="J25" i="72" s="1"/>
  <c r="K65" i="40"/>
  <c r="J67" i="40"/>
  <c r="K70" i="39"/>
  <c r="J72" i="39"/>
  <c r="C57" i="15"/>
  <c r="C66" i="15" s="1"/>
  <c r="C67" i="15" s="1"/>
  <c r="C70" i="15" s="1"/>
  <c r="C30" i="15"/>
  <c r="C39" i="15" s="1"/>
  <c r="C40" i="15" s="1"/>
  <c r="J16" i="15"/>
  <c r="J25" i="15" s="1"/>
  <c r="R49" i="21"/>
  <c r="E48" i="21"/>
  <c r="I53" i="21" s="1"/>
  <c r="J53" i="21" s="1"/>
  <c r="G52" i="21"/>
  <c r="H52" i="21" s="1"/>
  <c r="G53" i="21"/>
  <c r="H53" i="21" s="1"/>
  <c r="R49" i="78"/>
  <c r="E48" i="78"/>
  <c r="I53" i="78" s="1"/>
  <c r="J53" i="78" s="1"/>
  <c r="G52" i="78"/>
  <c r="H52" i="78" s="1"/>
  <c r="G53" i="78"/>
  <c r="H53" i="78" s="1"/>
  <c r="I52" i="21"/>
  <c r="J52" i="21" s="1"/>
  <c r="I52" i="78"/>
  <c r="J52" i="78" s="1"/>
  <c r="L51" i="77"/>
  <c r="L51" i="72"/>
  <c r="C40" i="77" l="1"/>
  <c r="C46" i="77" s="1"/>
  <c r="C40" i="72"/>
  <c r="B2" i="72" s="1"/>
  <c r="B3" i="72" s="1"/>
  <c r="Q68" i="77"/>
  <c r="B4" i="44"/>
  <c r="J39" i="72"/>
  <c r="J40" i="72" s="1"/>
  <c r="Q68" i="72"/>
  <c r="Q69" i="72"/>
  <c r="J18" i="44"/>
  <c r="J27" i="44" s="1"/>
  <c r="B5" i="44"/>
  <c r="L70" i="39"/>
  <c r="K72" i="39"/>
  <c r="K67" i="40"/>
  <c r="L65" i="40"/>
  <c r="Q70" i="15"/>
  <c r="Q69" i="15" s="1"/>
  <c r="J39" i="15"/>
  <c r="J40" i="15" s="1"/>
  <c r="E52" i="78"/>
  <c r="F52" i="78" s="1"/>
  <c r="E53" i="78"/>
  <c r="F53" i="78" s="1"/>
  <c r="C48" i="21"/>
  <c r="C49" i="21"/>
  <c r="B3" i="21" s="1"/>
  <c r="B2" i="21" s="1"/>
  <c r="Q66" i="15"/>
  <c r="Q76" i="15" s="1"/>
  <c r="Q57" i="15"/>
  <c r="Q63" i="15" s="1"/>
  <c r="Q48" i="15"/>
  <c r="Q54" i="15" s="1"/>
  <c r="C43" i="15"/>
  <c r="B2" i="15"/>
  <c r="J42" i="15"/>
  <c r="J43" i="15" s="1"/>
  <c r="C49" i="78"/>
  <c r="B3" i="78" s="1"/>
  <c r="C48" i="78"/>
  <c r="E52" i="21"/>
  <c r="F52" i="21" s="1"/>
  <c r="E53" i="21"/>
  <c r="F53" i="21" s="1"/>
  <c r="C46" i="15"/>
  <c r="L51" i="15"/>
  <c r="C43" i="77" l="1"/>
  <c r="J42" i="72"/>
  <c r="J43" i="72" s="1"/>
  <c r="B2" i="77"/>
  <c r="B3" i="77" s="1"/>
  <c r="Q66" i="72"/>
  <c r="Q76" i="72" s="1"/>
  <c r="Q48" i="77"/>
  <c r="Q54" i="77" s="1"/>
  <c r="Q66" i="77"/>
  <c r="Q76" i="77" s="1"/>
  <c r="Q48" i="72"/>
  <c r="Q54" i="72" s="1"/>
  <c r="C43" i="72"/>
  <c r="Q57" i="72"/>
  <c r="Q63" i="72" s="1"/>
  <c r="C46" i="72"/>
  <c r="Q57" i="77"/>
  <c r="Q63" i="77" s="1"/>
  <c r="J42" i="77"/>
  <c r="J43" i="77" s="1"/>
  <c r="M65" i="40"/>
  <c r="L67" i="40"/>
  <c r="M70" i="39"/>
  <c r="L72" i="39"/>
  <c r="Q68" i="15"/>
  <c r="D8" i="12"/>
  <c r="B2" i="78"/>
  <c r="D10" i="12" s="1"/>
  <c r="B3" i="15"/>
  <c r="C8" i="12" s="1"/>
  <c r="C10" i="12"/>
  <c r="C6" i="12" l="1"/>
  <c r="C29" i="12" s="1"/>
  <c r="N70" i="39"/>
  <c r="N72" i="39" s="1"/>
  <c r="M72" i="39"/>
  <c r="N65" i="40"/>
  <c r="N67" i="40" s="1"/>
  <c r="M67" i="40"/>
  <c r="K5" i="79"/>
  <c r="K9" i="79"/>
  <c r="K13" i="79"/>
  <c r="K10" i="79"/>
  <c r="K3" i="79"/>
  <c r="K8" i="79"/>
  <c r="K4" i="79"/>
  <c r="K7" i="79"/>
  <c r="K11" i="79"/>
  <c r="K6" i="79"/>
  <c r="K14" i="79"/>
  <c r="K12" i="79"/>
  <c r="C24" i="12" l="1"/>
  <c r="C35" i="12" s="1"/>
  <c r="C33" i="12" s="1"/>
  <c r="J9" i="40"/>
  <c r="F9" i="40"/>
  <c r="H9" i="40"/>
  <c r="J9" i="39"/>
  <c r="H9" i="39"/>
  <c r="F9" i="39"/>
  <c r="K15" i="79"/>
  <c r="C28" i="12" l="1"/>
  <c r="C26" i="12" s="1"/>
  <c r="C31" i="12" s="1"/>
  <c r="C30" i="12" s="1"/>
  <c r="C36" i="12" s="1"/>
  <c r="B2" i="12" s="1"/>
  <c r="AA9" i="39"/>
  <c r="R49" i="39" s="1"/>
  <c r="S9" i="39"/>
  <c r="AC9" i="39"/>
  <c r="V49" i="39" s="1"/>
  <c r="I49" i="39" s="1"/>
  <c r="I53" i="39" s="1"/>
  <c r="J53" i="39" s="1"/>
  <c r="W9" i="39"/>
  <c r="AA9" i="40"/>
  <c r="R44" i="40" s="1"/>
  <c r="S9" i="40"/>
  <c r="U9" i="39"/>
  <c r="AB9" i="39"/>
  <c r="T49" i="39" s="1"/>
  <c r="G49" i="39" s="1"/>
  <c r="AB9" i="40"/>
  <c r="T44" i="40" s="1"/>
  <c r="G44" i="40" s="1"/>
  <c r="U9" i="40"/>
  <c r="AC9" i="40"/>
  <c r="V44" i="40" s="1"/>
  <c r="I44" i="40" s="1"/>
  <c r="W9" i="40"/>
  <c r="D19" i="9"/>
  <c r="I48" i="40" l="1"/>
  <c r="J48" i="40" s="1"/>
  <c r="G49" i="40"/>
  <c r="H49" i="40" s="1"/>
  <c r="G48" i="40"/>
  <c r="H48" i="40" s="1"/>
  <c r="R45" i="40"/>
  <c r="E44" i="40"/>
  <c r="G53" i="39"/>
  <c r="H53" i="39" s="1"/>
  <c r="G54" i="39"/>
  <c r="H54" i="39" s="1"/>
  <c r="R50" i="39"/>
  <c r="E49" i="39"/>
  <c r="L44" i="9"/>
  <c r="B3" i="12"/>
  <c r="B5" i="12"/>
  <c r="B4" i="12"/>
  <c r="D20" i="9"/>
  <c r="D21" i="9"/>
  <c r="I54" i="39" l="1"/>
  <c r="J54" i="39" s="1"/>
  <c r="E53" i="39"/>
  <c r="F53" i="39" s="1"/>
  <c r="E54" i="39"/>
  <c r="F54" i="39" s="1"/>
  <c r="E48" i="40"/>
  <c r="F48" i="40" s="1"/>
  <c r="E49" i="40"/>
  <c r="F49" i="40" s="1"/>
  <c r="I49" i="40"/>
  <c r="J49" i="40" s="1"/>
  <c r="C50" i="39"/>
  <c r="C49" i="39"/>
  <c r="C45" i="40"/>
  <c r="C44" i="40"/>
  <c r="B56" i="40" l="1"/>
  <c r="F56" i="40" s="1"/>
  <c r="B61" i="40"/>
  <c r="F61" i="40" s="1"/>
  <c r="B59" i="40"/>
  <c r="F59" i="40" s="1"/>
  <c r="B53" i="40"/>
  <c r="F53" i="40" s="1"/>
  <c r="B62" i="40"/>
  <c r="F62" i="40" s="1"/>
  <c r="B60" i="40"/>
  <c r="F60" i="40" s="1"/>
  <c r="B58" i="40"/>
  <c r="F58" i="40" s="1"/>
  <c r="B55" i="40"/>
  <c r="F55" i="40" s="1"/>
  <c r="B54" i="40"/>
  <c r="F54" i="40" s="1"/>
  <c r="B57" i="40"/>
  <c r="F57" i="40" s="1"/>
  <c r="F63" i="40"/>
  <c r="B2" i="40" s="1"/>
  <c r="B61" i="39"/>
  <c r="F61" i="39" s="1"/>
  <c r="B65" i="39"/>
  <c r="F65" i="39" s="1"/>
  <c r="B58" i="39"/>
  <c r="F58" i="39" s="1"/>
  <c r="B62" i="39"/>
  <c r="F62" i="39" s="1"/>
  <c r="B66" i="39"/>
  <c r="F66" i="39" s="1"/>
  <c r="B59" i="39"/>
  <c r="F59" i="39" s="1"/>
  <c r="B63" i="39"/>
  <c r="F63" i="39" s="1"/>
  <c r="B67" i="39"/>
  <c r="F67" i="39" s="1"/>
  <c r="B60" i="39"/>
  <c r="F60" i="39" s="1"/>
  <c r="B64" i="39"/>
  <c r="F64" i="39" s="1"/>
  <c r="F68" i="39" l="1"/>
  <c r="B2" i="39" s="1"/>
  <c r="B3" i="40"/>
  <c r="B4" i="40"/>
  <c r="B5" i="40"/>
  <c r="C19" i="9"/>
  <c r="L43" i="9" l="1"/>
  <c r="G19" i="9"/>
  <c r="D22" i="9"/>
  <c r="B5" i="39"/>
  <c r="B4" i="39"/>
  <c r="B3" i="39"/>
  <c r="C21" i="9"/>
  <c r="C20" i="9"/>
  <c r="G20" i="9" l="1"/>
  <c r="G21" i="9"/>
  <c r="D27" i="9"/>
  <c r="L15" i="79"/>
  <c r="Q29" i="9"/>
  <c r="G22" i="9"/>
  <c r="C32" i="9"/>
  <c r="N43" i="9"/>
  <c r="L11" i="79" l="1"/>
  <c r="L4" i="79"/>
  <c r="L6" i="79"/>
  <c r="L12" i="79"/>
  <c r="L7" i="79"/>
  <c r="L8" i="79"/>
  <c r="L9" i="79"/>
  <c r="L3" i="79"/>
  <c r="L13" i="79"/>
  <c r="L10" i="79"/>
  <c r="L5" i="79"/>
  <c r="L14" i="79"/>
  <c r="C34" i="9"/>
  <c r="C42" i="9"/>
  <c r="O43" i="9"/>
  <c r="C33" i="9"/>
  <c r="C35" i="9"/>
  <c r="F42" i="9" s="1"/>
  <c r="O38" i="9"/>
  <c r="K25" i="9" l="1"/>
  <c r="K26" i="9"/>
  <c r="N38" i="9"/>
  <c r="K28" i="9" s="1"/>
  <c r="D42" i="9"/>
  <c r="Q5" i="54" s="1"/>
  <c r="B47" i="63" s="1"/>
  <c r="C44" i="9"/>
  <c r="D14" i="66"/>
  <c r="D63" i="9"/>
  <c r="R5" i="54"/>
  <c r="B48" i="63" s="1"/>
  <c r="N68" i="9"/>
  <c r="M38" i="9"/>
  <c r="K27" i="9" s="1"/>
  <c r="E42" i="9"/>
  <c r="P5" i="54" s="1"/>
  <c r="B46" i="63" s="1"/>
  <c r="E14" i="66" l="1"/>
  <c r="F14" i="66"/>
  <c r="L14" i="66"/>
  <c r="B5" i="66"/>
  <c r="C111" i="9"/>
  <c r="C104" i="9" s="1"/>
  <c r="D70" i="9"/>
  <c r="D71" i="9"/>
  <c r="D66" i="9" s="1"/>
  <c r="N72" i="9" s="1"/>
  <c r="C96" i="9"/>
  <c r="C91" i="9" s="1"/>
  <c r="C103" i="9"/>
  <c r="C90" i="9"/>
  <c r="D73" i="9"/>
  <c r="N73" i="9" s="1"/>
  <c r="C82" i="9"/>
  <c r="C81" i="9" s="1"/>
  <c r="C85" i="9" s="1"/>
  <c r="C86" i="9" s="1"/>
  <c r="D72" i="9" s="1"/>
  <c r="O39" i="9"/>
  <c r="E44" i="9"/>
  <c r="F44" i="9"/>
  <c r="G14" i="66"/>
  <c r="B6" i="66" s="1"/>
  <c r="D44" i="9"/>
  <c r="N69" i="9"/>
  <c r="C97" i="9" l="1"/>
  <c r="C113" i="9"/>
  <c r="C114" i="9" s="1"/>
  <c r="E114" i="9" s="1"/>
  <c r="E115" i="9" s="1"/>
  <c r="K29" i="9"/>
  <c r="K30" i="9" s="1"/>
  <c r="R6" i="54"/>
  <c r="B50" i="63" s="1"/>
  <c r="M83" i="9"/>
  <c r="N83" i="9" s="1"/>
  <c r="M87" i="9"/>
  <c r="N87" i="9" s="1"/>
  <c r="M86" i="9"/>
  <c r="N86" i="9" s="1"/>
  <c r="M85" i="9"/>
  <c r="N85" i="9" s="1"/>
  <c r="M84" i="9"/>
  <c r="N84" i="9" s="1"/>
  <c r="M88" i="9"/>
  <c r="N88" i="9" s="1"/>
  <c r="D6" i="66"/>
  <c r="C6" i="66"/>
  <c r="C98" i="9"/>
  <c r="E98" i="9" s="1"/>
  <c r="E99" i="9" s="1"/>
  <c r="D5" i="66"/>
  <c r="C5" i="66"/>
  <c r="C115" i="9" l="1"/>
  <c r="D76" i="9" s="1"/>
  <c r="D74" i="9" s="1"/>
  <c r="N74" i="9" s="1"/>
  <c r="O77" i="9" s="1"/>
  <c r="O79" i="9" s="1"/>
  <c r="O81" i="9" s="1"/>
  <c r="C99" i="9"/>
  <c r="N89" i="9"/>
  <c r="O89" i="9" s="1"/>
  <c r="O80" i="9" l="1"/>
  <c r="Q77" i="9"/>
  <c r="O7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<sst xmlns="http://schemas.openxmlformats.org/spreadsheetml/2006/main" count="9363" uniqueCount="3423">
  <si>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</si>
  <si>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</si>
  <si>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</si>
  <si>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</si>
  <si>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</si>
  <si>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</si>
  <si>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</si>
  <si>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</si>
  <si>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</si>
  <si>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</si>
  <si>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</si>
  <si>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</si>
  <si>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</si>
  <si>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</si>
  <si>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</si>
  <si>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</si>
  <si>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</si>
  <si>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</si>
  <si>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</si>
  <si>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</si>
  <si>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</si>
  <si>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</si>
  <si>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</si>
  <si>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</si>
  <si>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</si>
  <si>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</si>
  <si>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</si>
  <si>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</si>
  <si>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</si>
  <si>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</si>
  <si>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</si>
  <si>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</si>
  <si>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</si>
  <si>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</si>
  <si>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</si>
  <si>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</si>
  <si>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</si>
  <si>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</si>
  <si>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</si>
  <si>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</si>
  <si>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</si>
  <si>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</si>
  <si>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</si>
  <si>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</si>
  <si>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</si>
  <si>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</si>
  <si>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</si>
  <si>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</si>
  <si>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</si>
  <si>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</si>
  <si>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</si>
  <si>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</si>
  <si>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</si>
  <si>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</si>
  <si>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</si>
  <si>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</si>
  <si>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</si>
  <si>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</si>
  <si>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</si>
  <si>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</si>
  <si>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</si>
  <si>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</si>
  <si>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</si>
  <si>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</si>
  <si>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</si>
  <si>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</si>
  <si>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</si>
  <si>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</si>
  <si>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</si>
  <si>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</si>
  <si>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</si>
  <si>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</si>
  <si>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</si>
  <si>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</si>
  <si>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</si>
  <si>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</si>
  <si>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</si>
  <si>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</si>
  <si>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</si>
  <si>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</si>
  <si>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</si>
  <si>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</si>
  <si>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</si>
  <si>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</si>
  <si>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</si>
  <si>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</si>
  <si>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</si>
  <si>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</si>
  <si>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</si>
  <si>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</si>
  <si>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</si>
  <si>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</si>
  <si>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</si>
  <si>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</si>
  <si>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</si>
  <si>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</si>
  <si>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</si>
  <si>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</si>
  <si>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</si>
  <si>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</si>
  <si>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</si>
  <si>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</si>
  <si>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</si>
  <si>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</si>
  <si>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</si>
  <si>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</si>
  <si>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</si>
  <si>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</si>
  <si>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</si>
  <si>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</si>
  <si>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</si>
  <si>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</si>
  <si>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</si>
  <si>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</si>
  <si>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</si>
  <si>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</si>
  <si>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</si>
  <si>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</si>
  <si>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</si>
  <si>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</si>
  <si>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</si>
  <si>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</si>
  <si>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</si>
  <si>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</si>
  <si>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</si>
  <si>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</si>
  <si>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</si>
  <si>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</si>
  <si>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</si>
  <si>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</si>
  <si>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</si>
  <si>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</si>
  <si>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</si>
  <si>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</si>
  <si>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</si>
  <si>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</si>
  <si>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</si>
  <si>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</si>
  <si>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</si>
  <si>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</si>
  <si>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</si>
  <si>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</si>
  <si>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</si>
  <si>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</si>
  <si>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</si>
  <si>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</si>
  <si>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</si>
  <si>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</si>
  <si>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</si>
  <si>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</si>
  <si>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</si>
  <si>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</si>
  <si>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</si>
  <si>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</si>
  <si>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</si>
  <si>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</si>
  <si>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</si>
  <si>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</si>
  <si>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</si>
  <si>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</si>
  <si>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</si>
  <si>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</si>
  <si>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</si>
  <si>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</si>
  <si>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</si>
  <si>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</si>
  <si>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</si>
  <si>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</si>
  <si>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</si>
  <si>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</si>
  <si>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</si>
  <si>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</si>
  <si>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</si>
  <si>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</si>
  <si>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</si>
  <si>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</si>
  <si>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</si>
  <si>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</si>
  <si>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</si>
  <si>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</si>
  <si>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</si>
  <si>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</si>
  <si>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</si>
  <si>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</si>
  <si>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</si>
  <si>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</si>
  <si>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</si>
  <si>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</si>
  <si>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</si>
  <si>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</si>
  <si>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</si>
  <si>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</si>
  <si>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</si>
  <si>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</si>
  <si>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</si>
  <si>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</si>
  <si>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</si>
  <si>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</si>
  <si>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</si>
  <si>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</si>
  <si>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</si>
  <si>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</si>
  <si>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</si>
  <si>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</si>
  <si>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</si>
  <si>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</si>
  <si>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</si>
  <si>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</si>
  <si>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</si>
  <si>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</si>
  <si>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</si>
  <si>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</si>
  <si>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</si>
  <si>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</si>
  <si>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</si>
  <si>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</si>
  <si>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</si>
  <si>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</si>
  <si>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</si>
  <si>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</si>
  <si>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</si>
  <si>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</si>
  <si>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</si>
  <si>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</si>
  <si>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</si>
  <si>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</si>
  <si>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</si>
  <si>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</si>
  <si>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</si>
  <si>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</si>
  <si>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</si>
  <si>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</si>
  <si>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</si>
  <si>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</si>
  <si>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</si>
  <si>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</si>
  <si>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</si>
  <si>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</si>
  <si>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</si>
  <si>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</si>
  <si>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</si>
  <si>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</si>
  <si>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</si>
  <si>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</si>
  <si>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</si>
  <si>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</si>
  <si>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</si>
  <si>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</si>
  <si>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</si>
  <si>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</si>
  <si>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</si>
  <si>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</si>
  <si>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</si>
  <si>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</si>
  <si>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</si>
  <si>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</si>
  <si>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</si>
  <si>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</si>
  <si>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</si>
  <si>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</si>
  <si>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</si>
  <si>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</si>
  <si>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</si>
  <si>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</si>
  <si>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</si>
  <si>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</si>
  <si>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</si>
  <si>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</si>
  <si>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</si>
  <si>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</si>
  <si>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</si>
  <si>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</si>
  <si>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</si>
  <si>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</si>
  <si>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</si>
  <si>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</si>
  <si>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</si>
  <si>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</si>
  <si>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</si>
  <si>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</si>
  <si>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</si>
  <si>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</si>
  <si>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</si>
  <si>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</si>
  <si>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</si>
  <si>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</si>
  <si>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</si>
  <si>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</si>
  <si>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</si>
  <si>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</si>
  <si>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</si>
  <si>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</si>
  <si>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</si>
  <si>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</si>
  <si>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</si>
  <si>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</si>
  <si>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</si>
  <si>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</si>
  <si>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</si>
  <si>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</si>
  <si>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</si>
  <si>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</si>
  <si>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</si>
  <si>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</si>
  <si>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</si>
  <si>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</si>
  <si>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</si>
  <si>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</si>
  <si>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</si>
  <si>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</si>
  <si>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</si>
  <si>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</si>
  <si>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</si>
  <si>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</si>
  <si>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</si>
  <si>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</si>
  <si>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</si>
  <si>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</si>
  <si>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</si>
  <si>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</si>
  <si>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</si>
  <si>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</si>
  <si>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</si>
  <si>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</si>
  <si>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</si>
  <si>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</si>
  <si>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</si>
  <si>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</si>
  <si>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</si>
  <si>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</si>
  <si>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</si>
  <si>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</si>
  <si>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</si>
  <si>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</si>
  <si>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</si>
  <si>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</si>
  <si>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</si>
  <si>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</si>
  <si>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</si>
  <si>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</si>
  <si>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</si>
  <si>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</si>
  <si>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</si>
  <si>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</si>
  <si>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</si>
  <si>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</si>
  <si>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</si>
  <si>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</si>
  <si>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</si>
  <si>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</si>
  <si>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</si>
  <si>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</si>
  <si>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</si>
  <si>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</si>
  <si>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</si>
  <si>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</si>
  <si>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</si>
  <si>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</si>
  <si>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</si>
  <si>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</si>
  <si>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</si>
  <si>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</si>
  <si>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</si>
  <si>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</si>
  <si>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</si>
  <si>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</si>
  <si>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</si>
  <si>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</si>
  <si>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</si>
  <si>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</si>
  <si>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</si>
  <si>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</si>
  <si>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</si>
  <si>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</si>
  <si>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</si>
  <si>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</si>
  <si>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</si>
  <si>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</si>
  <si>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</si>
  <si>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</si>
  <si>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</si>
  <si>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</si>
  <si>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</si>
  <si>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</si>
  <si>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</si>
  <si>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</si>
  <si>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</si>
  <si>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</si>
  <si>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</si>
  <si>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</si>
  <si>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</si>
  <si>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</si>
  <si>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</si>
  <si>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</si>
  <si>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</si>
  <si>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</si>
  <si>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</si>
  <si>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</si>
  <si>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</si>
  <si>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</si>
  <si>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</si>
  <si>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</si>
  <si>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</si>
  <si>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</si>
  <si>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</si>
  <si>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</si>
  <si>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</si>
  <si>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</si>
  <si>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</si>
  <si>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</si>
  <si>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</si>
  <si>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</si>
  <si>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</si>
  <si>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</si>
  <si>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</si>
  <si>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</si>
  <si>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</si>
  <si>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</si>
  <si>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</si>
  <si>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</si>
  <si>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</si>
  <si>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</si>
  <si>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</si>
  <si>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</si>
  <si>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</si>
  <si>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</si>
  <si>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</si>
  <si>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</si>
  <si>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</si>
  <si>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</si>
  <si>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</si>
  <si>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</si>
  <si>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</si>
  <si>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</si>
  <si>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</si>
  <si>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</si>
  <si>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</si>
  <si>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</si>
  <si>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</si>
  <si>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</si>
  <si>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</si>
  <si>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</si>
  <si>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</si>
  <si>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</si>
  <si>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</si>
  <si>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</si>
  <si>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</si>
  <si>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</si>
  <si>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</si>
  <si>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</si>
  <si>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</si>
  <si>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</si>
  <si>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</si>
  <si>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</si>
  <si>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</si>
  <si>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</si>
  <si>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</si>
  <si>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</si>
  <si>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</si>
  <si>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</si>
  <si>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</si>
  <si>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</si>
  <si>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</si>
  <si>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</si>
  <si>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</si>
  <si>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</si>
  <si>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</si>
  <si>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</si>
  <si>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</si>
  <si>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</si>
  <si>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</si>
  <si>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</si>
  <si>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</si>
  <si>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</si>
  <si>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</si>
  <si>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</si>
  <si>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</si>
  <si>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</si>
  <si>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</si>
  <si>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</si>
  <si>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</si>
  <si>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</si>
  <si>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</si>
  <si>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</si>
  <si>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</si>
  <si>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</si>
  <si>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</si>
  <si>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</si>
  <si>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</si>
  <si>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</si>
  <si>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</si>
  <si>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</si>
  <si>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</si>
  <si>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</si>
  <si>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</si>
  <si>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</si>
  <si>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</si>
  <si>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</si>
  <si>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</si>
  <si>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</si>
  <si>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</si>
  <si>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</si>
  <si>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</si>
  <si>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</si>
  <si>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</si>
  <si>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</si>
  <si>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</si>
  <si>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</si>
  <si>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</si>
  <si>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</si>
  <si>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</si>
  <si>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</si>
  <si>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</si>
  <si>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</si>
  <si>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</si>
  <si>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</si>
  <si>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</si>
  <si>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</si>
  <si>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</si>
  <si>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</si>
  <si>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</si>
  <si>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</si>
  <si>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</si>
  <si>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</si>
  <si>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</si>
  <si>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</si>
  <si>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</si>
  <si>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</si>
  <si>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</si>
  <si>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</si>
  <si>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</si>
  <si>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</si>
  <si>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</si>
  <si>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</si>
  <si>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</si>
  <si>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</si>
  <si>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</si>
  <si>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</si>
  <si>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</si>
  <si>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</si>
  <si>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</si>
  <si>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</si>
  <si>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</si>
  <si>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</si>
  <si>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</si>
  <si>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</si>
  <si>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</si>
  <si>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</si>
  <si>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</si>
  <si>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</si>
  <si>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</si>
  <si>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</si>
  <si>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</si>
  <si>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</si>
  <si>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</si>
  <si>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</si>
  <si>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</si>
  <si>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</si>
  <si>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</si>
  <si>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</si>
  <si>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</si>
  <si>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</si>
  <si>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</si>
  <si>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</si>
  <si>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</si>
  <si>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</si>
  <si>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</si>
  <si>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</si>
  <si>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</si>
  <si>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</si>
  <si>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</si>
  <si>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</si>
  <si>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</si>
  <si>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</si>
  <si>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</si>
  <si>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</si>
  <si>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</si>
  <si>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</si>
  <si>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</si>
  <si>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</si>
  <si>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</si>
  <si>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</si>
  <si>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</si>
  <si>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</si>
  <si>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</si>
  <si>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</si>
  <si>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</si>
  <si>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</si>
  <si>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</si>
  <si>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</si>
  <si>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</si>
  <si>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</si>
  <si>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</si>
  <si>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</si>
  <si>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</si>
  <si>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</si>
  <si>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</si>
  <si>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</si>
  <si>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</si>
  <si>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</si>
  <si>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</si>
  <si>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</si>
  <si>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</si>
  <si>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</si>
  <si>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</si>
  <si>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</si>
  <si>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</si>
  <si>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</si>
  <si>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</si>
  <si>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</si>
  <si>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</si>
  <si>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</si>
  <si>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</si>
  <si>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</si>
  <si>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</si>
  <si>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</si>
  <si>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</si>
  <si>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</si>
  <si>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</si>
  <si>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</si>
  <si>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</si>
  <si>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</si>
  <si>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</si>
  <si>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</si>
  <si>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</si>
  <si>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</si>
  <si>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</si>
  <si>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</si>
  <si>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</si>
  <si>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</si>
  <si>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</si>
  <si>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</si>
  <si>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</si>
  <si>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</si>
  <si>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</si>
  <si>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</si>
  <si>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</si>
  <si>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</si>
  <si>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</si>
  <si>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</si>
  <si>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</si>
  <si>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</si>
  <si>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</si>
  <si>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</si>
  <si>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</si>
  <si>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</si>
  <si>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</si>
  <si>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</si>
  <si>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</si>
  <si>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</si>
  <si>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</si>
  <si>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</si>
  <si>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</si>
  <si>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</si>
  <si>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</si>
  <si>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</si>
  <si>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</si>
  <si>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</si>
  <si>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</si>
  <si>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</si>
  <si>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</si>
  <si>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</si>
  <si>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</si>
  <si>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</si>
  <si>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</si>
  <si>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</si>
  <si>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</si>
  <si>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</si>
  <si>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</si>
  <si>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</si>
  <si>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</si>
  <si>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</si>
  <si>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</si>
  <si>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</si>
  <si>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</si>
  <si>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</si>
  <si>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</si>
  <si>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</si>
  <si>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</si>
  <si>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</si>
  <si>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</si>
  <si>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</si>
  <si>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</si>
  <si>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</si>
  <si>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</si>
  <si>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</si>
  <si>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</si>
  <si>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</si>
  <si>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</si>
  <si>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</si>
  <si>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</si>
  <si>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</si>
  <si>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</si>
  <si>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</si>
  <si>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</si>
  <si>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</si>
  <si>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</si>
  <si>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</si>
  <si>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</si>
  <si>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</si>
  <si>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</si>
  <si>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</si>
  <si>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</si>
  <si>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</si>
  <si>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</si>
  <si>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</si>
  <si>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</si>
  <si>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</si>
  <si>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</si>
  <si>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</si>
  <si>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</si>
  <si>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</si>
  <si>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</si>
  <si>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</si>
  <si>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</si>
  <si>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</si>
  <si>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</si>
  <si>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</si>
  <si>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</si>
  <si>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</si>
  <si>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</si>
  <si>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</si>
  <si>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</si>
  <si>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</si>
  <si>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</si>
  <si>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</si>
  <si>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</si>
  <si>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</si>
  <si>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</si>
  <si>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</si>
  <si>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</si>
  <si>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</si>
  <si>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</si>
  <si>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</si>
  <si>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</si>
  <si>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</si>
  <si>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</si>
  <si>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</si>
  <si>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</si>
  <si>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</si>
  <si>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</si>
  <si>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</si>
  <si>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</si>
  <si>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</si>
  <si>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</si>
  <si>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</si>
  <si>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</si>
  <si>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</si>
  <si>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</si>
  <si>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</si>
  <si>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</si>
  <si>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</si>
  <si>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</si>
  <si>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</si>
  <si>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</si>
  <si>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</si>
  <si>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</si>
  <si>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</si>
  <si>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</si>
  <si>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</si>
  <si>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</si>
  <si>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</si>
  <si>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</si>
  <si>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</si>
  <si>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</si>
  <si>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</si>
  <si>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</si>
  <si>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</si>
  <si>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</si>
  <si>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</si>
  <si>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</si>
  <si>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</si>
  <si>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</si>
  <si>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</si>
  <si>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</si>
  <si>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</si>
  <si>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</si>
  <si>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</si>
  <si>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</si>
  <si>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</si>
  <si>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</si>
  <si>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</si>
  <si>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</si>
  <si>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</si>
  <si>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</si>
  <si>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</si>
  <si>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</si>
  <si>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</si>
  <si>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</si>
  <si>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</si>
  <si>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</si>
  <si>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</si>
  <si>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</si>
  <si>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</si>
  <si>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</si>
  <si>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</si>
  <si>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</si>
  <si>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</si>
  <si>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</si>
  <si>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</si>
  <si>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</si>
  <si>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</si>
  <si>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</si>
  <si>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</si>
  <si>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</si>
  <si>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</si>
  <si>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</si>
  <si>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</si>
  <si>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</si>
  <si>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</si>
  <si>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</si>
  <si>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</si>
  <si>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</si>
  <si>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</si>
  <si>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</si>
  <si>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</si>
  <si>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</si>
  <si>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</si>
  <si>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</si>
  <si>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</si>
  <si>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</si>
  <si>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</si>
  <si>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</si>
  <si>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</si>
  <si>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</si>
  <si>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</si>
  <si>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</si>
  <si>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</si>
  <si>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</si>
  <si>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</si>
  <si>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</si>
  <si>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</si>
  <si>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</si>
  <si>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</si>
  <si>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</si>
  <si>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</si>
  <si>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</si>
  <si>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</si>
  <si>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</si>
  <si>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</si>
  <si>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</si>
  <si>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</si>
  <si>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</si>
  <si>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</si>
  <si>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</si>
  <si>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</si>
  <si>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</si>
  <si>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</si>
  <si>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</si>
  <si>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</si>
  <si>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</si>
  <si>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</si>
  <si>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</si>
  <si>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</si>
  <si>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</si>
  <si>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</si>
  <si>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</si>
  <si>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</si>
  <si>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</si>
  <si>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</si>
  <si>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</si>
  <si>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</si>
  <si>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</si>
  <si>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</si>
  <si>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</si>
  <si>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</si>
  <si>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</si>
  <si>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</si>
  <si>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</si>
  <si>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</si>
  <si>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</si>
  <si>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</si>
  <si>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</si>
  <si>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</si>
  <si>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</si>
  <si>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</si>
  <si>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</si>
  <si>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</si>
  <si>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</si>
  <si>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</si>
  <si>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</si>
  <si>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</si>
  <si>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</si>
  <si>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</si>
  <si>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</si>
  <si>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</si>
  <si>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</si>
  <si>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</si>
  <si>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</si>
  <si>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</si>
  <si>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</si>
  <si>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</si>
  <si>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</si>
  <si>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</si>
  <si>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</si>
  <si>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</si>
  <si>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</si>
  <si>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</si>
  <si>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</si>
  <si>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</si>
  <si>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</si>
  <si>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</si>
  <si>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</si>
  <si>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</si>
  <si>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</si>
  <si>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</si>
  <si>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</si>
  <si>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</si>
  <si>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</si>
  <si>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</si>
  <si>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</si>
  <si>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</si>
  <si>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</si>
  <si>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</si>
  <si>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</si>
  <si>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</si>
  <si>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</si>
  <si>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</si>
  <si>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</si>
  <si>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</si>
  <si>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</si>
  <si>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</si>
  <si>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</si>
  <si>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</si>
  <si>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</si>
  <si>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</si>
  <si>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</si>
  <si>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</si>
  <si>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</si>
  <si>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</si>
  <si>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</si>
  <si>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</si>
  <si>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</si>
  <si>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</si>
  <si>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</si>
  <si>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</si>
  <si>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</si>
  <si>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</si>
  <si>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</si>
  <si>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</si>
  <si>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</si>
  <si>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</si>
  <si>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</si>
  <si>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</si>
  <si>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</si>
  <si>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</si>
  <si>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</si>
  <si>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</si>
  <si>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</si>
  <si>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</si>
  <si>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</si>
  <si>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</si>
  <si>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</si>
  <si>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</si>
  <si>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</si>
  <si>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</si>
  <si>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</si>
  <si>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</si>
  <si>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</si>
  <si>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</si>
  <si>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</si>
  <si>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</si>
  <si>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</si>
  <si>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</si>
  <si>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</si>
  <si>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</si>
  <si>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</si>
  <si>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</si>
  <si>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</si>
  <si>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</si>
  <si>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</si>
  <si>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</si>
  <si>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</si>
  <si>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</si>
  <si>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</si>
  <si>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</si>
  <si>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</si>
  <si>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</si>
  <si>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</si>
  <si>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</si>
  <si>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</si>
  <si>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</si>
  <si>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</si>
  <si>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</si>
  <si>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</si>
  <si>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</si>
  <si>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</si>
  <si>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</si>
  <si>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</si>
  <si>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</si>
  <si>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</si>
  <si>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</si>
  <si>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</si>
  <si>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</si>
  <si>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</si>
  <si>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</si>
  <si>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</si>
  <si>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</si>
  <si>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</si>
  <si>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</si>
  <si>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</si>
  <si>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</si>
  <si>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</si>
  <si>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</si>
  <si>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</si>
  <si>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</si>
  <si>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</si>
  <si>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</si>
  <si>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</si>
  <si>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</si>
  <si>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</si>
  <si>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</si>
  <si>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</si>
  <si>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</si>
  <si>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</si>
  <si>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</si>
  <si>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</si>
  <si>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</si>
  <si>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</si>
  <si>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</si>
  <si>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</si>
  <si>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</si>
  <si>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</si>
  <si>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</si>
  <si>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</si>
  <si>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</si>
  <si>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</si>
  <si>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</si>
  <si>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</si>
  <si>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</si>
  <si>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</si>
  <si>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</si>
  <si>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</si>
  <si>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</si>
  <si>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</si>
  <si>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</si>
  <si>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</si>
  <si>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</si>
  <si>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</si>
  <si>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</si>
  <si>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</si>
  <si>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</si>
  <si>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</si>
  <si>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</si>
  <si>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</si>
  <si>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</si>
  <si>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</si>
  <si>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</si>
  <si>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</si>
  <si>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</si>
  <si>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</si>
  <si>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</si>
  <si>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</si>
  <si>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</si>
  <si>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</si>
  <si>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</si>
  <si>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</si>
  <si>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</si>
  <si>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</si>
  <si>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</si>
  <si>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</si>
  <si>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</si>
  <si>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</si>
  <si>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</si>
  <si>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</si>
  <si>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</si>
  <si>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</si>
  <si>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</si>
  <si>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</si>
  <si>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</si>
  <si>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</si>
  <si>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</si>
  <si>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</si>
  <si>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</si>
  <si>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</si>
  <si>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</si>
  <si>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</si>
  <si>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</si>
  <si>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</si>
  <si>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</si>
  <si>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</si>
  <si>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</si>
  <si>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</si>
  <si>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</si>
  <si>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</si>
  <si>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</si>
  <si>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</si>
  <si>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</si>
  <si>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</si>
  <si>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</si>
  <si>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</si>
  <si>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</si>
  <si>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</si>
  <si>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</si>
  <si>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</si>
  <si>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</si>
  <si>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</si>
  <si>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</si>
  <si>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</si>
  <si>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</si>
  <si>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</si>
  <si>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</si>
  <si>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</si>
  <si>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</si>
  <si>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</si>
  <si>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</si>
  <si>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</si>
  <si>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</si>
  <si>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</si>
  <si>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</si>
  <si>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</si>
  <si>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</si>
  <si>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</si>
  <si>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</si>
  <si>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</si>
  <si>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</si>
  <si>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</si>
  <si>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</si>
  <si>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</si>
  <si>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</si>
  <si>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</si>
  <si>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</si>
  <si>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</si>
  <si>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</si>
  <si>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</si>
  <si>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</si>
  <si>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</si>
  <si>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</si>
  <si>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</si>
  <si>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</si>
  <si>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</si>
  <si>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</si>
  <si>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</si>
  <si>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</si>
  <si>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</si>
  <si>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</si>
  <si>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</si>
  <si>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</si>
  <si>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</si>
  <si>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</si>
  <si>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</si>
  <si>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</si>
  <si>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</si>
  <si>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</si>
  <si>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</si>
  <si>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</si>
  <si>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</si>
  <si>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</si>
  <si>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</si>
  <si>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</si>
  <si>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</si>
  <si>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</si>
  <si>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</si>
  <si>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</si>
  <si>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</si>
  <si>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</si>
  <si>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</si>
  <si>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</si>
  <si>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</si>
  <si>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</si>
  <si>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</si>
  <si>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</si>
  <si>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</si>
  <si>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</si>
  <si>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</si>
  <si>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</si>
  <si>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</si>
  <si>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</si>
  <si>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</si>
  <si>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</si>
  <si>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</si>
  <si>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</si>
  <si>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</si>
  <si>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</si>
  <si>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</si>
  <si>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</si>
  <si>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</si>
  <si>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</si>
  <si>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</si>
  <si>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</si>
  <si>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</si>
  <si>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</si>
  <si>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</si>
  <si>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</si>
  <si>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</si>
  <si>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</si>
  <si>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</si>
  <si>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</si>
  <si>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</si>
  <si>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</si>
  <si>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</si>
  <si>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</si>
  <si>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</si>
  <si>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</si>
  <si>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</si>
  <si>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</si>
  <si>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</si>
  <si>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</si>
  <si>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</si>
  <si>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</si>
  <si>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</si>
  <si>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</si>
  <si>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</si>
  <si>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</si>
  <si>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</si>
  <si>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</si>
  <si>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</si>
  <si>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</si>
  <si>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</si>
  <si>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</si>
  <si>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</si>
  <si>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</si>
  <si>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</si>
  <si>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</si>
  <si>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</si>
  <si>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</si>
  <si>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</si>
  <si>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</si>
  <si>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</si>
  <si>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</si>
  <si>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</si>
  <si>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</si>
  <si>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</si>
  <si>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</si>
  <si>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</si>
  <si>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</si>
  <si>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</si>
  <si>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</si>
  <si>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</si>
  <si>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</si>
  <si>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</si>
  <si>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</si>
  <si>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</si>
  <si>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</si>
  <si>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</si>
  <si>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</si>
  <si>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</si>
  <si>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</si>
  <si>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</si>
  <si>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</si>
  <si>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</si>
  <si>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</si>
  <si>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</si>
  <si>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</si>
  <si>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</si>
  <si>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</si>
  <si>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</si>
  <si>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</si>
  <si>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</si>
  <si>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</si>
  <si>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</si>
  <si>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</si>
  <si>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</si>
  <si>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</si>
  <si>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</si>
  <si>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</si>
  <si>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</si>
  <si>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</si>
  <si>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</si>
  <si>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</si>
  <si>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</si>
  <si>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</si>
  <si>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</si>
  <si>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</si>
  <si>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</si>
  <si>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</si>
  <si>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</si>
  <si>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</si>
  <si>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</si>
  <si>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</si>
  <si>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</si>
  <si>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</si>
  <si>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</si>
  <si>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</si>
  <si>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</si>
  <si>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</si>
  <si>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</si>
  <si>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</si>
  <si>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</si>
  <si>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</si>
  <si>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</si>
  <si>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</si>
  <si>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</si>
  <si>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</si>
  <si>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</si>
  <si>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</si>
  <si>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</si>
  <si>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</si>
  <si>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</si>
  <si>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</si>
  <si>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</si>
  <si>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</si>
  <si>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</si>
  <si>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</si>
  <si>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</si>
  <si>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</si>
  <si>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</si>
  <si>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</si>
  <si>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</si>
  <si>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</si>
  <si>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</si>
  <si>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</si>
  <si>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</si>
  <si>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</si>
  <si>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</si>
  <si>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</si>
  <si>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</si>
  <si>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</si>
  <si>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</si>
  <si>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</si>
  <si>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</si>
  <si>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</si>
  <si>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</si>
  <si>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</si>
  <si>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</si>
  <si>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</si>
  <si>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</si>
  <si>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</si>
  <si>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</si>
  <si>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</si>
  <si>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</si>
  <si>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</si>
  <si>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</si>
  <si>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</si>
  <si>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</si>
  <si>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</si>
  <si>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</si>
  <si>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</si>
  <si>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</si>
  <si>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</si>
  <si>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</si>
  <si>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</si>
  <si>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</si>
  <si>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</si>
  <si>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</si>
  <si>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</si>
  <si>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</si>
  <si>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</si>
  <si>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</si>
  <si>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</si>
  <si>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</si>
  <si>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</si>
  <si>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</si>
  <si>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</si>
  <si>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</si>
  <si>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</si>
  <si>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</si>
  <si>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</si>
  <si>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</si>
  <si>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</si>
  <si>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</si>
  <si>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</si>
  <si>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</si>
  <si>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</si>
  <si>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</si>
  <si>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</si>
  <si>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</si>
  <si>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</si>
  <si>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</si>
  <si>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</si>
  <si>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</si>
  <si>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</si>
  <si>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</si>
  <si>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</si>
  <si>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</si>
  <si>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</si>
  <si>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</si>
  <si>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</si>
  <si>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</si>
  <si>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</si>
  <si>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</si>
  <si>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</si>
  <si>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</si>
  <si>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</si>
  <si>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</si>
  <si>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</si>
  <si>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</si>
  <si>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</si>
  <si>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</si>
  <si>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</si>
  <si>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</si>
  <si>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</si>
  <si>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</si>
  <si>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</si>
  <si>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</si>
  <si>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</si>
  <si>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</si>
  <si>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</si>
  <si>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</si>
  <si>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</si>
  <si>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</si>
  <si>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</si>
  <si>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</si>
  <si>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</si>
  <si>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</si>
  <si>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</si>
  <si>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</si>
  <si>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</si>
  <si>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</si>
  <si>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</si>
  <si>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</si>
  <si>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</si>
  <si>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</si>
  <si>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</si>
  <si>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</si>
  <si>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</si>
  <si>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</si>
  <si>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</si>
  <si>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</si>
  <si>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</si>
  <si>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</si>
  <si>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</si>
  <si>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</si>
  <si>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</si>
  <si>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</si>
  <si>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</si>
  <si>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</si>
  <si>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</si>
  <si>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</si>
  <si>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</si>
  <si>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</si>
  <si>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</si>
  <si>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</si>
  <si>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</si>
  <si>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</si>
  <si>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</si>
  <si>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</si>
  <si>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</si>
  <si>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</si>
  <si>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</si>
  <si>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</si>
  <si>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</si>
  <si>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</si>
  <si>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</si>
  <si>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</si>
  <si>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</si>
  <si>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</si>
  <si>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</si>
  <si>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</si>
  <si>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</si>
  <si>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</si>
  <si>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</si>
  <si>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</si>
  <si>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</si>
  <si>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</si>
  <si>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</si>
  <si>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</si>
  <si>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</si>
  <si>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</si>
  <si>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</si>
  <si>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</si>
  <si>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</si>
  <si>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</si>
  <si>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</si>
  <si>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</si>
  <si>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</si>
  <si>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</si>
  <si>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</si>
  <si>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</si>
  <si>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</si>
  <si>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</si>
  <si>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</si>
  <si>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</si>
  <si>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</si>
  <si>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</si>
  <si>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</si>
  <si>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</si>
  <si>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</si>
  <si>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</si>
  <si>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</si>
  <si>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</si>
  <si>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</si>
  <si>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</si>
  <si>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</si>
  <si>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</si>
  <si>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</si>
  <si>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</si>
  <si>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</si>
  <si>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</si>
  <si>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</si>
  <si>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</si>
  <si>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</si>
  <si>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</si>
  <si>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</si>
  <si>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</si>
  <si>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</si>
  <si>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</si>
  <si>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</si>
  <si>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</si>
  <si>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</si>
  <si>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</si>
  <si>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</si>
  <si>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</si>
  <si>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</si>
  <si>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</si>
  <si>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</si>
  <si>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</si>
  <si>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</si>
  <si>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</si>
  <si>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</si>
  <si>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</si>
  <si>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</si>
  <si>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</si>
  <si>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</si>
  <si>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</si>
  <si>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</si>
  <si>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</si>
  <si>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</si>
  <si>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</si>
  <si>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</si>
  <si>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</si>
  <si>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</si>
  <si>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</si>
  <si>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</si>
  <si>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</si>
  <si>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</si>
  <si>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</si>
  <si>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</si>
  <si>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</si>
  <si>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</si>
  <si>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</si>
  <si>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</si>
  <si>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</si>
  <si>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</si>
  <si>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</si>
  <si>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</si>
  <si>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</si>
  <si>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</si>
  <si>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</si>
  <si>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</si>
  <si>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</si>
  <si>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</si>
  <si>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</si>
  <si>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</si>
  <si>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</si>
  <si>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</si>
  <si>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</si>
  <si>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</si>
  <si>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</si>
  <si>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</si>
  <si>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</si>
  <si>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</si>
  <si>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</si>
  <si>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</si>
  <si>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</si>
  <si>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</si>
  <si>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</si>
  <si>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</si>
  <si>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</si>
  <si>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</si>
  <si>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</si>
  <si>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</si>
  <si>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</si>
  <si>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</si>
  <si>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</si>
  <si>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</si>
  <si>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</si>
  <si>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</si>
  <si>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</si>
  <si>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</si>
  <si>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</si>
  <si>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</si>
  <si>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</si>
  <si>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</si>
  <si>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</si>
  <si>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</si>
  <si>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</si>
  <si>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</si>
  <si>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</si>
  <si>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</si>
  <si>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</si>
  <si>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</si>
  <si>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</si>
  <si>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</si>
  <si>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</si>
  <si>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</si>
  <si>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</si>
  <si>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</si>
  <si>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</si>
  <si>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</si>
  <si>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</si>
  <si>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</si>
  <si>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</si>
  <si>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</si>
  <si>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</si>
  <si>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</si>
  <si>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</si>
  <si>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</si>
  <si>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</si>
  <si>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</si>
  <si>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</si>
  <si>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</si>
  <si>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</si>
  <si>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</si>
  <si>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</si>
  <si>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</si>
  <si>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</si>
  <si>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</si>
  <si>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</si>
  <si>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</si>
  <si>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</si>
  <si>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</si>
  <si>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</si>
  <si>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</si>
  <si>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</si>
  <si>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</si>
  <si>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</si>
  <si>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</si>
  <si>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</si>
  <si>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</si>
  <si>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</si>
  <si>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</si>
  <si>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</si>
  <si>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</si>
  <si>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</si>
  <si>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</si>
  <si>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</si>
  <si>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</si>
  <si>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</si>
  <si>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</si>
  <si>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</si>
  <si>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</si>
  <si>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</si>
  <si>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</si>
  <si>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</si>
  <si>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</si>
  <si>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</si>
  <si>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</si>
  <si>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</si>
  <si>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</si>
  <si>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</si>
  <si>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</si>
  <si>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</si>
  <si>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</si>
  <si>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</si>
  <si>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</si>
  <si>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</si>
  <si>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</si>
  <si>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</si>
  <si>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</si>
  <si>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</si>
  <si>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</si>
  <si>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</si>
  <si>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</si>
  <si>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</si>
  <si>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</si>
  <si>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</si>
  <si>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</si>
  <si>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</si>
  <si>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</si>
  <si>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</si>
  <si>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</si>
  <si>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</si>
  <si>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</si>
  <si>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</si>
  <si>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</si>
  <si>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</si>
  <si>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</si>
  <si>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</si>
  <si>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</si>
  <si>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</si>
  <si>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</si>
  <si>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</si>
  <si>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</si>
  <si>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</si>
  <si>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</si>
  <si>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</si>
  <si>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</si>
  <si>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</si>
  <si>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</si>
  <si>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</si>
  <si>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</si>
  <si>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</si>
  <si>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</si>
  <si>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</si>
  <si>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</si>
  <si>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</si>
  <si>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</si>
  <si>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</si>
  <si>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</si>
  <si>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</si>
  <si>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</si>
  <si>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</si>
  <si>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</si>
  <si>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</si>
  <si>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</si>
  <si>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</si>
  <si>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</si>
  <si>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</si>
  <si>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</si>
  <si>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</si>
  <si>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</si>
  <si>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</si>
  <si>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</si>
  <si>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</si>
  <si>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</si>
  <si>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</si>
  <si>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</si>
  <si>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</si>
  <si>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</si>
  <si>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</si>
  <si>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</si>
  <si>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</si>
  <si>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</si>
  <si>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</si>
  <si>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</si>
  <si>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</si>
  <si>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</si>
  <si>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</si>
  <si>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</si>
  <si>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</si>
  <si>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</si>
  <si>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</si>
  <si>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</si>
  <si>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</si>
  <si>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</si>
  <si>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</si>
  <si>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</si>
  <si>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</si>
  <si>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</si>
  <si>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</si>
  <si>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</si>
  <si>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</si>
  <si>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</si>
  <si>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</si>
  <si>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</si>
  <si>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</si>
  <si>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</si>
  <si>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</si>
  <si>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</si>
  <si>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</si>
  <si>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</si>
  <si>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</si>
  <si>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</si>
  <si>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</si>
  <si>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</si>
  <si>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</si>
  <si>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</si>
  <si>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</si>
  <si>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</si>
  <si>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</si>
  <si>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</si>
  <si>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</si>
  <si>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</si>
  <si>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</si>
  <si>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</si>
  <si>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</si>
  <si>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</si>
  <si>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</si>
  <si>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</si>
  <si>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</si>
  <si>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</si>
  <si>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</si>
  <si>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</si>
  <si>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</si>
  <si>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</si>
  <si>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</si>
  <si>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</si>
  <si>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</si>
  <si>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</si>
  <si>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</si>
  <si>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</si>
  <si>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</si>
  <si>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</si>
  <si>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</si>
  <si>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</si>
  <si>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</si>
  <si>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</si>
  <si>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</si>
  <si>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</si>
  <si>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</si>
  <si>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</si>
  <si>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</si>
  <si>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</si>
  <si>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</si>
  <si>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</si>
  <si>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</si>
  <si>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</si>
  <si>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</si>
  <si>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</si>
  <si>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</si>
  <si>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</si>
  <si>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</si>
  <si>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</si>
  <si>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</si>
  <si>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</si>
  <si>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</si>
  <si>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</si>
  <si>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</si>
  <si>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</si>
  <si>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</si>
  <si>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</si>
  <si>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</si>
  <si>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</si>
  <si>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</si>
  <si>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</si>
  <si>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</si>
  <si>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</si>
  <si>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</si>
  <si>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</si>
  <si>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</si>
  <si>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</si>
  <si>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</si>
  <si>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</si>
  <si>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</si>
  <si>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</si>
  <si>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</si>
  <si>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</si>
  <si>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</si>
  <si>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</si>
  <si>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</si>
  <si>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</si>
  <si>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</si>
  <si>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</si>
  <si>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</si>
  <si>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</si>
  <si>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</si>
  <si>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</si>
  <si>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</si>
  <si>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</si>
  <si>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</si>
  <si>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</si>
  <si>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</si>
  <si>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</si>
  <si>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</si>
  <si>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</si>
  <si>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</si>
  <si>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</si>
  <si>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</si>
  <si>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</si>
  <si>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</si>
  <si>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</si>
  <si>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</si>
  <si>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</si>
  <si>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</si>
  <si>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</si>
  <si>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</si>
  <si>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</si>
  <si>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</si>
  <si>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</si>
  <si>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</si>
  <si>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</si>
  <si>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</si>
  <si>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</si>
  <si>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</si>
  <si>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</si>
  <si>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</si>
  <si>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</si>
  <si>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</si>
  <si>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</si>
  <si>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</si>
  <si>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</si>
  <si>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</si>
  <si>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</si>
  <si>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</si>
  <si>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</si>
  <si>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</si>
  <si>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</si>
  <si>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</si>
  <si>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</si>
  <si>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</si>
  <si>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</si>
  <si>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</si>
  <si>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</si>
  <si>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</si>
  <si>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</si>
  <si>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</si>
  <si>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</si>
  <si>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</si>
  <si>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</si>
  <si>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</si>
  <si>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</si>
  <si>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</si>
  <si>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</si>
  <si>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</si>
  <si>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</si>
  <si>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</si>
  <si>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</si>
  <si>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</si>
  <si>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</si>
  <si>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</si>
  <si>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</si>
  <si>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</si>
  <si>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</si>
  <si>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</si>
  <si>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</si>
  <si>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</si>
  <si>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</si>
  <si>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</si>
  <si>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</si>
  <si>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</si>
  <si>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</si>
  <si>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</si>
  <si>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</si>
  <si>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</si>
  <si>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</si>
  <si>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</si>
  <si>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</si>
  <si>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</si>
  <si>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</si>
  <si>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</si>
  <si>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</si>
  <si>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</si>
  <si>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</si>
  <si>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</si>
  <si>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</si>
  <si>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</si>
  <si>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</si>
  <si>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</si>
  <si>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</si>
  <si>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</si>
  <si>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</si>
  <si>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</si>
  <si>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</si>
  <si>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</si>
  <si>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</si>
  <si>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</si>
  <si>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</si>
  <si>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</si>
  <si>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</si>
  <si>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</si>
  <si>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</si>
  <si>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</si>
  <si>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</si>
  <si>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</si>
  <si>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</si>
  <si>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</si>
  <si>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</si>
  <si>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</si>
  <si>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</si>
  <si>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</si>
  <si>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</si>
  <si>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</si>
  <si>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</si>
  <si>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</si>
  <si>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</si>
  <si>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</si>
  <si>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</si>
  <si>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</si>
  <si>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</si>
  <si>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</si>
  <si>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</si>
  <si>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</si>
  <si>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</si>
  <si>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</si>
  <si>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</si>
  <si>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</si>
  <si>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</si>
  <si>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</si>
  <si>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</si>
  <si>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</si>
  <si>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</si>
  <si>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</si>
  <si>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</si>
  <si>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</si>
  <si>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</si>
  <si>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</si>
  <si>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</si>
  <si>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</si>
  <si>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</si>
  <si>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</si>
  <si>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</si>
  <si>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</si>
  <si>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</si>
  <si>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</si>
  <si>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</si>
  <si>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</si>
  <si>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</si>
  <si>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</si>
  <si>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</si>
  <si>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</si>
  <si>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</si>
  <si>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</si>
  <si>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</si>
  <si>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</si>
  <si>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</si>
  <si>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</si>
  <si>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</si>
  <si>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</si>
  <si>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</si>
  <si>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</si>
  <si>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</si>
  <si>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</si>
  <si>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</si>
  <si>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</si>
  <si>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</si>
  <si>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</si>
  <si>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</si>
  <si>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</si>
  <si>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</si>
  <si>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</si>
  <si>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</si>
  <si>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</si>
  <si>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</si>
  <si>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</si>
  <si>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</si>
  <si>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</si>
  <si>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</si>
  <si>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</si>
  <si>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</si>
  <si>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</si>
  <si>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</si>
  <si>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</si>
  <si>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</si>
  <si>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</si>
  <si>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</si>
  <si>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</si>
  <si>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</si>
  <si>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</si>
  <si>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</si>
  <si>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</si>
  <si>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</si>
  <si>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</si>
  <si>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</si>
  <si>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</si>
  <si>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</si>
  <si>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</si>
  <si>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</si>
  <si>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</si>
  <si>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</si>
  <si>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</si>
  <si>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</si>
  <si>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</si>
  <si>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</si>
  <si>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</si>
  <si>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</si>
  <si>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</si>
  <si>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</si>
  <si>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</si>
  <si>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</si>
  <si>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</si>
  <si>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</si>
  <si>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</si>
  <si>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</si>
  <si>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</si>
  <si>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</si>
  <si>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</si>
  <si>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</si>
  <si>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</si>
  <si>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</si>
  <si>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</si>
  <si>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</si>
  <si>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</si>
  <si>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</si>
  <si>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</si>
  <si>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</si>
  <si>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</si>
  <si>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</si>
  <si>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</si>
  <si>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</si>
  <si>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</si>
  <si>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</si>
  <si>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</si>
  <si>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</si>
  <si>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</si>
  <si>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</si>
  <si>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</si>
  <si>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</si>
  <si>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</si>
  <si>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</si>
  <si>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</si>
  <si>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</si>
  <si>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</si>
  <si>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</si>
  <si>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</si>
  <si>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</si>
  <si>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</si>
  <si>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</si>
  <si>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</si>
  <si>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</si>
  <si>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</si>
  <si>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</si>
  <si>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</si>
  <si>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</si>
  <si>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</si>
  <si>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</si>
  <si>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</si>
  <si>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</si>
  <si>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</si>
  <si>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</si>
  <si>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</si>
  <si>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</si>
  <si>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</si>
  <si>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</si>
  <si>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</si>
  <si>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</si>
  <si>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</si>
  <si>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</si>
  <si>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</si>
  <si>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</si>
  <si>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</si>
  <si>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</si>
  <si>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</si>
  <si>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</si>
  <si>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</si>
  <si>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</si>
  <si>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</si>
  <si>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</si>
  <si>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</si>
  <si>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</si>
  <si>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</si>
  <si>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</si>
  <si>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</si>
  <si>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</si>
  <si>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</si>
  <si>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</si>
  <si>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</si>
  <si>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</si>
  <si>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</si>
  <si>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</si>
  <si>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</si>
  <si>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</si>
  <si>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</si>
  <si>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</si>
  <si>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</si>
  <si>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</si>
  <si>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</si>
  <si>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</si>
  <si>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</si>
  <si>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</si>
  <si>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</si>
  <si>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</si>
  <si>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</si>
  <si>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</si>
  <si>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</si>
  <si>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</si>
  <si>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</si>
  <si>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</si>
  <si>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</si>
  <si>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</si>
  <si>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</si>
  <si>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</si>
  <si>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</si>
  <si>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</si>
  <si>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</si>
  <si>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</si>
  <si>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</si>
  <si>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</si>
  <si>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</si>
  <si>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</si>
  <si>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</si>
  <si>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</si>
  <si>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</si>
  <si>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</si>
  <si>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</si>
  <si>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</si>
  <si>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</si>
  <si>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</si>
  <si>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</si>
  <si>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</si>
  <si>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</si>
  <si>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</si>
  <si>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</si>
  <si>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</si>
  <si>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</si>
  <si>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</si>
  <si>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</si>
  <si>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</si>
  <si>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</si>
  <si>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</si>
  <si>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</si>
  <si>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</si>
  <si>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</si>
  <si>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</si>
  <si>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</si>
  <si>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</si>
  <si>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</si>
  <si>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</si>
  <si>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</si>
  <si>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</si>
  <si>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</si>
  <si>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</si>
  <si>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</si>
  <si>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</si>
  <si>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</si>
  <si>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</si>
  <si>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</si>
  <si>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</si>
  <si>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</si>
  <si>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</si>
  <si>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</si>
  <si>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</si>
  <si>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</si>
  <si>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</si>
  <si>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</si>
  <si>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</si>
  <si>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</si>
  <si>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</si>
  <si>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</si>
  <si>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</si>
  <si>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</si>
  <si>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</si>
  <si>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</si>
  <si>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</si>
  <si>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</si>
  <si>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</si>
  <si>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</si>
  <si>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</si>
  <si>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</si>
  <si>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</si>
  <si>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</si>
  <si>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</si>
  <si>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</si>
  <si>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</si>
  <si>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</si>
  <si>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</si>
  <si>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</si>
  <si>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</si>
  <si>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</si>
  <si>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</si>
  <si>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</si>
  <si>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</si>
  <si>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</si>
  <si>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</si>
  <si>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</si>
  <si>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</si>
  <si>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</si>
  <si>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</si>
  <si>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</si>
  <si>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</si>
  <si>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</si>
  <si>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</si>
  <si>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</si>
  <si>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</si>
  <si>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</si>
  <si>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</si>
  <si>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</si>
  <si>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</si>
  <si>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</si>
  <si>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</si>
  <si>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</si>
  <si>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</si>
  <si>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</si>
  <si>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</si>
  <si>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</si>
  <si>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</si>
  <si>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</si>
  <si>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</si>
  <si>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</si>
  <si>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</si>
  <si>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</si>
  <si>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</si>
  <si>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</si>
  <si>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</si>
  <si>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</si>
  <si>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</si>
  <si>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</si>
  <si>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</si>
  <si>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</si>
  <si>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</si>
  <si>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</si>
  <si>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</si>
  <si>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</si>
  <si>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</si>
  <si>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</si>
  <si>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</si>
  <si>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</si>
  <si>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</si>
  <si>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</si>
  <si>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</si>
  <si>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</si>
  <si>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</si>
  <si>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</si>
  <si>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</si>
  <si>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</si>
  <si>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</si>
  <si>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</si>
  <si>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</si>
  <si>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</si>
  <si>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</si>
  <si>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</si>
  <si>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</si>
  <si>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</si>
  <si>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</si>
  <si>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</si>
  <si>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</si>
  <si>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</si>
  <si>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</si>
  <si>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</si>
  <si>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</si>
  <si>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</si>
  <si>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</si>
  <si>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</si>
  <si>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</si>
  <si>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</si>
  <si>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</si>
  <si>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</si>
  <si>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</si>
  <si>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</si>
  <si>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</si>
  <si>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</si>
  <si>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</si>
  <si>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</si>
  <si>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</si>
  <si>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</si>
  <si>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</si>
  <si>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</si>
  <si>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</si>
  <si>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</si>
  <si>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</si>
  <si>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</si>
  <si>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</si>
  <si>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</si>
  <si>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</si>
  <si>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</si>
  <si>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</si>
  <si>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</si>
  <si>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</si>
  <si>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</si>
  <si>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</si>
  <si>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</si>
  <si>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</si>
  <si>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</si>
  <si>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</si>
  <si>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</si>
  <si>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</si>
  <si>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</si>
  <si>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</si>
  <si>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</si>
  <si>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</si>
  <si>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</si>
  <si>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</si>
  <si>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</si>
  <si>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</si>
  <si>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</si>
  <si>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</si>
  <si>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</si>
  <si>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</si>
  <si>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</si>
  <si>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</si>
  <si>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</si>
  <si>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</si>
  <si>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</si>
  <si>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</si>
  <si>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</si>
  <si>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</si>
  <si>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</si>
  <si>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</si>
  <si>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</si>
  <si>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</si>
  <si>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</si>
  <si>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</si>
  <si>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</si>
  <si>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</si>
  <si>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</si>
  <si>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</si>
  <si>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</si>
  <si>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</si>
  <si>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</si>
  <si>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</si>
  <si>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</si>
  <si>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</si>
  <si>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</si>
  <si>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</si>
  <si>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</si>
  <si>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</si>
  <si>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</si>
  <si>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</si>
  <si>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</si>
  <si>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</si>
  <si>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</si>
  <si>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</si>
  <si>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</si>
  <si>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</si>
  <si>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</si>
  <si>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</si>
  <si>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</si>
  <si>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</si>
  <si>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</si>
  <si>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</si>
  <si>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</si>
  <si>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</si>
  <si>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</si>
  <si>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</si>
  <si>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</si>
  <si>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</si>
  <si>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</si>
  <si>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</si>
  <si>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</si>
  <si>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</si>
  <si>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</si>
  <si>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</si>
  <si>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</si>
  <si>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</si>
  <si>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</si>
  <si>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</si>
  <si>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</si>
  <si>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</si>
  <si>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</si>
  <si>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</si>
  <si>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</si>
  <si>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</si>
  <si>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</si>
  <si>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</si>
  <si>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</si>
  <si>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</si>
  <si>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</si>
  <si>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</si>
  <si>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</si>
  <si>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</si>
  <si>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</si>
  <si>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</si>
  <si>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</si>
  <si>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</si>
  <si>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</si>
  <si>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</si>
  <si>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</si>
  <si>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</si>
  <si>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</si>
  <si>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</si>
  <si>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</si>
  <si>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</si>
  <si>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</si>
  <si>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</si>
  <si>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</si>
  <si>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</si>
  <si>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</si>
  <si>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</si>
  <si>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</si>
  <si>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</si>
  <si>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</si>
  <si>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</si>
  <si>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</si>
  <si>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</si>
  <si>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</si>
  <si>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</si>
  <si>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</si>
  <si>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</si>
  <si>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</si>
  <si>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</si>
  <si>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</si>
  <si>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</si>
  <si>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</si>
  <si>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</si>
  <si>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</si>
  <si>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</si>
  <si>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</si>
  <si>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</si>
  <si>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</si>
  <si>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</si>
  <si>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</si>
  <si>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</si>
  <si>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</si>
  <si>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</si>
  <si>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</si>
  <si>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</si>
  <si>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</si>
  <si>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</si>
  <si>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</si>
  <si>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</si>
  <si>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</si>
  <si>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</si>
  <si>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</si>
  <si>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</si>
  <si>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</si>
  <si>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</si>
  <si>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</si>
  <si>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</si>
  <si>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</si>
  <si>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</si>
  <si>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</si>
  <si>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</si>
  <si>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</si>
  <si>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</si>
  <si>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</si>
  <si>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</si>
  <si>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</si>
  <si>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</si>
  <si>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</si>
  <si>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</si>
  <si>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</si>
  <si>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</si>
  <si>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</si>
  <si>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</si>
  <si>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</si>
  <si>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</si>
  <si>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</si>
  <si>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</si>
  <si>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</si>
  <si>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</si>
  <si>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</si>
  <si>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</si>
  <si>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</si>
  <si>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</si>
  <si>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</si>
  <si>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</si>
  <si>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</si>
  <si>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</si>
  <si>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</si>
  <si>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</si>
  <si>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</si>
  <si>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</si>
  <si>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</si>
  <si>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</si>
  <si>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</si>
  <si>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</si>
  <si>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</si>
  <si>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</si>
  <si>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</si>
  <si>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</si>
  <si>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</si>
  <si>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</si>
  <si>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</si>
  <si>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</si>
  <si>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</si>
  <si>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</si>
  <si>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</si>
  <si>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</si>
  <si>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</si>
  <si>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</si>
  <si>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</si>
  <si>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</si>
  <si>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</si>
  <si>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</si>
  <si>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</si>
  <si>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</si>
  <si>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</si>
  <si>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</si>
  <si>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</si>
  <si>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</si>
  <si>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</si>
  <si>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</si>
  <si>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</si>
  <si>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</si>
  <si>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</si>
  <si>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</si>
  <si>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</si>
  <si>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</si>
  <si>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</si>
  <si>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</si>
  <si>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</si>
  <si>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</si>
  <si>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</si>
  <si>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</si>
  <si>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</si>
  <si>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</si>
  <si>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</si>
  <si>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</si>
  <si>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</si>
  <si>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</si>
  <si>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</si>
  <si>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</si>
  <si>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</si>
  <si>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</si>
  <si>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</si>
  <si>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</si>
  <si>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</si>
  <si>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</si>
  <si>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</si>
  <si>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</si>
  <si>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</si>
  <si>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</si>
  <si>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</si>
  <si>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</si>
  <si>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</si>
  <si>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</si>
  <si>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</si>
  <si>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</si>
  <si>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</si>
  <si>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</si>
  <si>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</si>
  <si>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</si>
  <si>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</si>
  <si>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</si>
  <si>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</si>
  <si>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</si>
  <si>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</si>
  <si>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</si>
  <si>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</si>
  <si>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</si>
  <si>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</si>
  <si>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</si>
  <si>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</si>
  <si>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</si>
  <si>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</si>
  <si>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</si>
  <si>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</si>
  <si>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</si>
  <si>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</si>
  <si>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</si>
  <si>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</si>
  <si>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</si>
  <si>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</si>
  <si>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</si>
  <si>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</si>
  <si>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</si>
  <si>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</si>
  <si>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</si>
  <si>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</si>
  <si>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</si>
  <si>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</si>
  <si>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</si>
  <si>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</si>
  <si>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</si>
  <si>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</si>
  <si>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</si>
  <si>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</si>
  <si>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</si>
  <si>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</si>
  <si>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</si>
  <si>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</si>
  <si>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</si>
  <si>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</si>
  <si>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</si>
  <si>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</si>
  <si>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</si>
  <si>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</si>
  <si>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</si>
  <si>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</si>
  <si>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</si>
  <si>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</si>
  <si>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</si>
  <si>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</si>
  <si>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</si>
  <si>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</si>
  <si>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</si>
  <si>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</si>
  <si>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</si>
  <si>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</si>
  <si>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</si>
  <si>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</si>
  <si>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</si>
  <si>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</si>
  <si>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</si>
  <si>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</si>
  <si>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</si>
  <si>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</si>
  <si>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</si>
  <si>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</si>
  <si>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</si>
  <si>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</si>
  <si>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</si>
  <si>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</si>
  <si>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</si>
  <si>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</si>
  <si>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</si>
  <si>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</si>
  <si>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</si>
  <si>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</si>
  <si>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</si>
  <si>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</si>
  <si>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</si>
  <si>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</si>
  <si>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</si>
  <si>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</si>
  <si>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</si>
  <si>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</si>
  <si>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</si>
  <si>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</si>
  <si>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</si>
  <si>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</si>
  <si>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</si>
  <si>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</si>
  <si>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</si>
  <si>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</si>
  <si>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</si>
  <si>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</si>
  <si>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</si>
  <si>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</si>
  <si>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</si>
  <si>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</si>
  <si>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</si>
  <si>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</si>
  <si>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</si>
  <si>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</si>
  <si>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</si>
  <si>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</si>
  <si>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</si>
  <si>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</si>
  <si>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</si>
  <si>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</si>
  <si>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</si>
  <si>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</si>
  <si>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</si>
  <si>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</si>
  <si>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</si>
  <si>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</si>
  <si>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</si>
  <si>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</si>
  <si>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</si>
  <si>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</si>
  <si>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</si>
  <si>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</si>
  <si>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</si>
  <si>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</si>
  <si>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</si>
  <si>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</si>
  <si>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</si>
  <si>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</si>
  <si>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</si>
  <si>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</si>
  <si>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</si>
  <si>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</si>
  <si>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</si>
  <si>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</si>
  <si>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</si>
  <si>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</si>
  <si>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</si>
  <si>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</si>
  <si>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</si>
  <si>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</si>
  <si>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</si>
  <si>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</si>
  <si>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</si>
  <si>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</si>
  <si>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</si>
  <si>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</si>
  <si>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</si>
  <si>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</si>
  <si>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</si>
  <si>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</si>
  <si>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</si>
  <si>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</si>
  <si>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</si>
  <si>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</si>
  <si>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</si>
  <si>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</si>
  <si>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</si>
  <si>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</si>
  <si>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</si>
  <si>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</si>
  <si>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</si>
  <si>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</si>
  <si>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</si>
  <si>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</si>
  <si>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</si>
  <si>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</si>
  <si>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</si>
  <si>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</si>
  <si>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</si>
  <si>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</si>
  <si>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</si>
  <si>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</si>
  <si>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</si>
  <si>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</si>
  <si>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</si>
  <si>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</si>
  <si>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</si>
  <si>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</si>
  <si>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</si>
  <si>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</si>
  <si>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</si>
  <si>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</si>
  <si>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</si>
  <si>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</si>
  <si>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</si>
  <si>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</si>
  <si>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</si>
  <si>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</si>
  <si>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</si>
  <si>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</si>
  <si>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</si>
  <si>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</si>
  <si>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</si>
  <si>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</si>
  <si>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</si>
  <si>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</si>
  <si>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</si>
  <si>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</si>
  <si>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</si>
  <si>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</si>
  <si>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</si>
  <si>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</si>
  <si>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</si>
  <si>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</si>
  <si>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</si>
  <si>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</si>
  <si>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</si>
  <si>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</si>
  <si>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</si>
  <si>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</si>
  <si>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</si>
  <si>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</si>
  <si>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</si>
  <si>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</si>
  <si>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</si>
  <si>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</si>
  <si>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</si>
  <si>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</si>
  <si>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</si>
  <si>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</si>
  <si>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</si>
  <si>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</si>
  <si>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</si>
  <si>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</si>
  <si>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</si>
  <si>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</si>
  <si>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</si>
  <si>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</si>
  <si>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</si>
  <si>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</si>
  <si>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</si>
  <si>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</si>
  <si>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</si>
  <si>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</si>
  <si>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</si>
  <si>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</si>
  <si>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</si>
  <si>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</si>
  <si>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</si>
  <si>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</si>
  <si>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</si>
  <si>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</si>
  <si>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</si>
  <si>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</si>
  <si>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</si>
  <si>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</si>
  <si>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</si>
  <si>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</si>
  <si>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</si>
  <si>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</si>
  <si>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</si>
  <si>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</si>
  <si>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</si>
  <si>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</si>
  <si>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</si>
  <si>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</si>
  <si>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</si>
  <si>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</si>
  <si>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</si>
  <si>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</si>
  <si>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</si>
  <si>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</si>
  <si>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</si>
  <si>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</si>
  <si>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</si>
  <si>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</si>
  <si>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</si>
  <si>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</si>
  <si>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</si>
  <si>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</si>
  <si>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</si>
  <si>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</si>
  <si>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</si>
  <si>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</si>
  <si>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</si>
  <si>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</si>
  <si>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</si>
  <si>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</si>
  <si>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</si>
  <si>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</si>
  <si>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</si>
  <si>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</si>
  <si>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</si>
  <si>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</si>
  <si>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</si>
  <si>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</si>
  <si>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</si>
  <si>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</si>
  <si>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</si>
  <si>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</si>
  <si>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</si>
  <si>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</si>
  <si>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</si>
  <si>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</si>
  <si>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</si>
  <si>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</si>
  <si>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</si>
  <si>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</si>
  <si>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</si>
  <si>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</si>
  <si>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</si>
  <si>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</si>
  <si>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</si>
  <si>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</si>
  <si>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</si>
  <si>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</si>
  <si>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</si>
  <si>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</si>
  <si>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</si>
  <si>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</si>
  <si>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</si>
  <si>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</si>
  <si>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</si>
  <si>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</si>
  <si>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</si>
  <si>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</si>
  <si>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</si>
  <si>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</si>
  <si>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</si>
  <si>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</si>
  <si>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</si>
  <si>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</si>
  <si>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</si>
  <si>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</si>
  <si>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</si>
  <si>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</si>
  <si>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</si>
  <si>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</si>
  <si>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</si>
  <si>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</si>
  <si>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</si>
  <si>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</si>
  <si>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</si>
  <si>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</si>
  <si>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</si>
  <si>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</si>
  <si>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</si>
  <si>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</si>
  <si>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</si>
  <si>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</si>
  <si>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</si>
  <si>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</si>
  <si>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</si>
  <si>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</si>
  <si>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</si>
  <si>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</si>
  <si>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</si>
  <si>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</si>
  <si>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</si>
  <si>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</si>
  <si>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</si>
  <si>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</si>
  <si>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</si>
  <si>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</si>
  <si>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</si>
  <si>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</si>
  <si>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</si>
  <si>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</si>
  <si>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</si>
  <si>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</si>
  <si>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</si>
  <si>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</si>
  <si>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</si>
  <si>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</si>
  <si>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</si>
  <si>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</si>
  <si>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</si>
  <si>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</si>
  <si>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</si>
  <si>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</si>
  <si>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</si>
  <si>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</si>
  <si>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</si>
  <si>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</si>
  <si>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</si>
  <si>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</si>
  <si>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</si>
  <si>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</si>
  <si>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</si>
  <si>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</si>
  <si>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</si>
  <si>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</si>
  <si>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</si>
  <si>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</si>
  <si>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</si>
  <si>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</si>
  <si>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</si>
  <si>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</si>
  <si>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</si>
  <si>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</si>
  <si>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</si>
  <si>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</si>
  <si>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</si>
  <si>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</si>
  <si>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</si>
  <si>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</si>
  <si>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</si>
  <si>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</si>
  <si>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</si>
  <si>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</si>
  <si>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</si>
  <si>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</si>
  <si>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</si>
  <si>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</si>
  <si>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</si>
  <si>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</si>
  <si>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</si>
  <si>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</si>
  <si>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</si>
  <si>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</si>
  <si>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</si>
  <si>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</si>
  <si>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</si>
  <si>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</si>
  <si>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</si>
  <si>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</si>
  <si>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</si>
  <si>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</si>
  <si>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</si>
  <si>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</si>
  <si>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</si>
  <si>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</si>
  <si>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</si>
  <si>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</si>
  <si>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</si>
  <si>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</si>
  <si>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</si>
  <si>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</si>
  <si>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</si>
  <si>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</si>
  <si>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</si>
  <si>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</si>
  <si>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</si>
  <si>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</si>
  <si>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</si>
  <si>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</si>
  <si>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</si>
  <si>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</si>
  <si>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</si>
  <si>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</si>
  <si>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</si>
  <si>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</si>
  <si>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</si>
  <si>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</si>
  <si>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</si>
  <si>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</si>
  <si>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</si>
  <si>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</si>
  <si>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</si>
  <si>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</si>
  <si>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</si>
  <si>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</si>
  <si>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</si>
  <si>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</si>
  <si>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</si>
  <si>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</si>
  <si>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</si>
  <si>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</si>
  <si>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</si>
  <si>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</si>
  <si>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</si>
  <si>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</si>
  <si>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</si>
  <si>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</si>
  <si>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</si>
  <si>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</si>
  <si>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</si>
  <si>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</si>
  <si>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</si>
  <si>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</si>
  <si>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</si>
  <si>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</si>
  <si>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</si>
  <si>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</si>
  <si>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</si>
  <si>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</si>
  <si>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</si>
  <si>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</si>
  <si>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</si>
  <si>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</si>
  <si>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</si>
  <si>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</si>
  <si>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</si>
  <si>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</si>
  <si>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</si>
  <si>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</si>
  <si>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</si>
  <si>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</si>
  <si>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</si>
  <si>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</si>
  <si>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</si>
  <si>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</si>
  <si>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</si>
  <si>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</si>
  <si>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</si>
  <si>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</si>
  <si>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</si>
  <si>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</si>
  <si>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</si>
  <si>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</si>
  <si>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</si>
  <si>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</si>
  <si>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</si>
  <si>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</si>
  <si>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</si>
  <si>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</si>
  <si>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</si>
  <si>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</si>
  <si>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</si>
  <si>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</si>
  <si>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</si>
  <si>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</si>
  <si>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</si>
  <si>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</si>
  <si>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</si>
  <si>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</si>
  <si>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</si>
  <si>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</si>
  <si>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</si>
  <si>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</si>
  <si>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</si>
  <si>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</si>
  <si>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</si>
  <si>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</si>
  <si>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</si>
  <si>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</si>
  <si>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</si>
  <si>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</si>
  <si>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</si>
  <si>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</si>
  <si>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</si>
  <si>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</si>
  <si>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</si>
  <si>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</si>
  <si>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</si>
  <si>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</si>
  <si>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</si>
  <si>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</si>
  <si>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</si>
  <si>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</si>
  <si>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</si>
  <si>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</si>
  <si>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</si>
  <si>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</si>
  <si>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</si>
  <si>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</si>
  <si>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</si>
  <si>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</si>
  <si>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</si>
  <si>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</si>
  <si>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</si>
  <si>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</si>
  <si>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</si>
  <si>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</si>
  <si>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</si>
  <si>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</si>
  <si>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</si>
  <si>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</si>
  <si>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</si>
  <si>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</si>
  <si>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</si>
  <si>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</si>
  <si>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</si>
  <si>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</si>
  <si>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</si>
  <si>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</si>
  <si>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</si>
  <si>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</si>
  <si>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</si>
  <si>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</si>
  <si>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</si>
  <si>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</si>
  <si>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</si>
  <si>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</si>
  <si>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</si>
  <si>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</si>
  <si>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</si>
  <si>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</si>
  <si>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</si>
  <si>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</si>
  <si>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</si>
  <si>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</si>
  <si>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</si>
  <si>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</si>
  <si>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</si>
  <si>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</si>
  <si>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</si>
  <si>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</si>
  <si>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</si>
  <si>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</si>
  <si>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</si>
  <si>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</si>
  <si>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</si>
  <si>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</si>
  <si>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</si>
  <si>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</si>
  <si>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</si>
  <si>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</si>
  <si>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</si>
  <si>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</si>
  <si>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</si>
  <si>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</si>
  <si>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</si>
  <si>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</si>
  <si>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</si>
  <si>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</si>
  <si>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</si>
  <si>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</si>
  <si>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</si>
  <si>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</si>
  <si>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</si>
  <si>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</si>
  <si>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</si>
  <si>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</si>
  <si>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</si>
  <si>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</si>
  <si>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</si>
  <si>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</si>
  <si>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</si>
  <si>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</si>
  <si>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</si>
  <si>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</si>
  <si>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</si>
  <si>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</si>
  <si>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</si>
  <si>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</si>
  <si>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</si>
  <si>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</si>
  <si>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</si>
  <si>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</si>
  <si>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</si>
  <si>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</si>
  <si>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</si>
  <si>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</si>
  <si>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</si>
  <si>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</si>
  <si>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</si>
  <si>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</si>
  <si>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</si>
  <si>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</si>
  <si>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</si>
  <si>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</si>
  <si>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</si>
  <si>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</si>
  <si>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</si>
  <si>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</si>
  <si>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</si>
  <si>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</si>
  <si>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</si>
  <si>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</si>
  <si>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</si>
  <si>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</si>
  <si>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</si>
  <si>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</si>
  <si>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</si>
  <si>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</si>
  <si>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</si>
  <si>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</si>
  <si>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</si>
  <si>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</si>
  <si>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</si>
  <si>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</si>
  <si>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</si>
  <si>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</si>
  <si>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</si>
  <si>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</si>
  <si>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</si>
  <si>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</si>
  <si>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</si>
  <si>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</si>
  <si>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</si>
  <si>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</si>
  <si>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</si>
  <si>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</si>
  <si>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</si>
  <si>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</si>
  <si>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</si>
  <si>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</si>
  <si>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</si>
  <si>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</si>
  <si>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</si>
  <si>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</si>
  <si>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</si>
  <si>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</si>
  <si>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</si>
  <si>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</si>
  <si>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</si>
  <si>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</si>
  <si>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</si>
  <si>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</si>
  <si>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</si>
  <si>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</si>
  <si>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</si>
  <si>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</si>
  <si>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</si>
  <si>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</si>
  <si>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</si>
  <si>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</si>
  <si>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</si>
  <si>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</si>
  <si>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</si>
  <si>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</si>
  <si>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</si>
  <si>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</si>
  <si>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</si>
  <si>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</si>
  <si>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</si>
  <si>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</si>
  <si>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</si>
  <si>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</si>
  <si>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</si>
  <si>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</si>
  <si>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</si>
  <si>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</si>
  <si>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</si>
  <si>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</si>
  <si>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</si>
  <si>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</si>
  <si>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</si>
  <si>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</si>
  <si>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</si>
  <si>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</si>
  <si>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</si>
  <si>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</si>
  <si>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</si>
  <si>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</si>
  <si>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</si>
  <si>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</si>
  <si>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</si>
  <si>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</si>
  <si>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</si>
  <si>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</si>
  <si>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</si>
  <si>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</si>
  <si>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</si>
  <si>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</si>
  <si>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</si>
  <si>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</si>
  <si>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</si>
  <si>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</si>
  <si>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</si>
  <si>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</si>
  <si>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</si>
  <si>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</si>
  <si>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</si>
  <si>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</si>
  <si>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</si>
  <si>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</si>
  <si>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</si>
  <si>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</si>
  <si>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</si>
  <si>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</si>
  <si>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</si>
  <si>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</si>
  <si>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</si>
  <si>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</si>
  <si>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</si>
  <si>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</si>
  <si>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</si>
  <si>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</si>
  <si>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</si>
  <si>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</si>
  <si>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</si>
  <si>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</si>
  <si>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</si>
  <si>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</si>
  <si>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</si>
  <si>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</si>
  <si>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</si>
  <si>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</si>
  <si>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</si>
  <si>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</si>
  <si>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</si>
  <si>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</si>
  <si>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</si>
  <si>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</si>
  <si>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</si>
  <si>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</si>
  <si>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</si>
  <si>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</si>
  <si>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</si>
  <si>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</si>
  <si>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</si>
  <si>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</si>
  <si>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</si>
  <si>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</si>
  <si>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</si>
  <si>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</si>
  <si>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</si>
  <si>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</si>
  <si>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</si>
  <si>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</si>
  <si>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</si>
  <si>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</si>
  <si>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</si>
  <si>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</si>
  <si>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</si>
  <si>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</si>
  <si>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</si>
  <si>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</si>
  <si>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</si>
  <si>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</si>
  <si>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</si>
  <si>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</si>
  <si>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</si>
  <si>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</si>
  <si>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</si>
  <si>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</si>
  <si>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</si>
  <si>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</si>
  <si>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</si>
  <si>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</si>
  <si>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</si>
  <si>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</si>
  <si>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</si>
  <si>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</si>
  <si>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</si>
  <si>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</si>
  <si>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龙湖·長滩原麓</t>
    <phoneticPr fontId="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</si>
  <si>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</si>
  <si>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</si>
  <si>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</si>
  <si>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</si>
  <si>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</si>
  <si>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</si>
  <si>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</si>
  <si>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</si>
  <si>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</si>
  <si>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</si>
  <si>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</si>
  <si>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</si>
  <si>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</si>
  <si>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</si>
  <si>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</si>
  <si>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</si>
  <si>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</si>
  <si>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</si>
  <si>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</si>
  <si>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</si>
  <si>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</si>
  <si>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</si>
  <si>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</si>
  <si>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</si>
  <si>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</si>
  <si>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</si>
  <si>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</si>
  <si>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</si>
  <si>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</si>
  <si>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</si>
  <si>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</si>
  <si>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</si>
  <si>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</si>
  <si>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龙兴 · 国际生态新城</t>
    <phoneticPr fontId="3" type="noConversion"/>
  </si>
  <si>
    <t>瀚学融府</t>
    <phoneticPr fontId="3" type="noConversion"/>
  </si>
  <si>
    <t>较差</t>
  </si>
  <si>
    <t>法定年限</t>
    <phoneticPr fontId="3" type="noConversion"/>
  </si>
  <si>
    <t>是否有自持</t>
    <phoneticPr fontId="3" type="noConversion"/>
  </si>
  <si>
    <t>无</t>
    <phoneticPr fontId="3" type="noConversion"/>
  </si>
  <si>
    <t>无</t>
    <phoneticPr fontId="3" type="noConversion"/>
  </si>
  <si>
    <t>有</t>
    <phoneticPr fontId="3" type="noConversion"/>
  </si>
  <si>
    <t>住宅、商业</t>
    <phoneticPr fontId="3" type="noConversion"/>
  </si>
  <si>
    <t>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</si>
</sst>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f>'预评函-封皮'!B40</f>
        <v>0</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根据《国有土地使用证》[]，估价对象（分摊）出让国有建设用地使用权面积为41299平方米。根据《建设工程规划许可证》[]、《出让合同》[]，估价对象规划建筑面积为61948.5平方米。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41299</v>
      </c>
    </row>
    <row r="44" spans="1:2">
      <c r="A44" s="2877" t="s">
        <v>2737</v>
      </c>
      <c r="B44" s="2878" t="str">
        <f>'预评函-2'!O3</f>
        <v>规划建筑面积/㎡</v>
      </c>
    </row>
    <row r="45" spans="1:2">
      <c r="A45" s="2877" t="s">
        <v>2719</v>
      </c>
      <c r="B45" s="2878">
        <f>'预评函-2'!O5</f>
        <v>61948.5</v>
      </c>
    </row>
    <row r="46" spans="1:2">
      <c r="A46" s="2877" t="s">
        <v>2720</v>
      </c>
      <c r="B46" s="2878">
        <f ca="1">'预评函-2'!P5</f>
        <v>5676</v>
      </c>
    </row>
    <row r="47" spans="1:2">
      <c r="A47" s="2877" t="s">
        <v>2721</v>
      </c>
      <c r="B47" s="2878">
        <f ca="1">'预评函-2'!Q5</f>
        <v>3784</v>
      </c>
    </row>
    <row r="48" spans="1:2">
      <c r="A48" s="2877" t="s">
        <v>2722</v>
      </c>
      <c r="B48" s="2878">
        <f ca="1">'预评函-2'!R5</f>
        <v>23440</v>
      </c>
    </row>
    <row r="49" spans="1:2">
      <c r="A49" s="2877" t="s">
        <v>2738</v>
      </c>
      <c r="B49" s="2878" t="str">
        <f>'预评函-2'!A6</f>
        <v>抵押价格</v>
      </c>
    </row>
    <row r="50" spans="1:2">
      <c r="A50" s="2877" t="s">
        <v>2723</v>
      </c>
      <c r="B50" s="2878">
        <f ca="1">'预评函-2'!R6</f>
        <v>23440</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SheetLayoutView="90" workbookViewId="0">
      <selection activeCell="E18" sqref="E18"/>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277" t="str">
        <f>IF(B10="北京市","北京市",C10)&amp;F10&amp;B16&amp;"国有建设用地使用权"&amp;B9&amp;"预评估"</f>
        <v>重庆两江新区航悦项目E01-04-02出让国有建设用地使用权抵押价格预评估</v>
      </c>
      <c r="C1" s="3278"/>
      <c r="D1" s="3278"/>
      <c r="E1" s="3278"/>
      <c r="F1" s="3278"/>
      <c r="G1" s="3278"/>
      <c r="H1" s="3278"/>
      <c r="I1" s="3279"/>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283"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284"/>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80"/>
      <c r="C12" s="3281"/>
      <c r="D12" s="3282"/>
      <c r="E12" s="1697" t="s">
        <v>2062</v>
      </c>
      <c r="F12" s="3298" t="s">
        <v>2886</v>
      </c>
      <c r="G12" s="3299"/>
      <c r="H12" s="3299"/>
      <c r="I12" s="3300"/>
      <c r="J12" s="1692"/>
      <c r="K12" s="1772"/>
      <c r="L12" s="1721"/>
      <c r="M12" s="1721"/>
      <c r="N12" s="1692"/>
      <c r="O12" s="1693"/>
      <c r="P12" s="1692"/>
      <c r="Q12" s="1692"/>
      <c r="R12" s="1692"/>
      <c r="S12" s="1692"/>
      <c r="T12" s="1692"/>
      <c r="U12" s="1692"/>
    </row>
    <row r="13" spans="1:21">
      <c r="A13" s="1685" t="s">
        <v>2060</v>
      </c>
      <c r="B13" s="3280"/>
      <c r="C13" s="3281"/>
      <c r="D13" s="3282"/>
      <c r="E13" s="1697" t="s">
        <v>2062</v>
      </c>
      <c r="F13" s="3298" t="s">
        <v>2887</v>
      </c>
      <c r="G13" s="3299"/>
      <c r="H13" s="3299"/>
      <c r="I13" s="3300"/>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95"/>
      <c r="E20" s="3296"/>
      <c r="F20" s="3296"/>
      <c r="G20" s="3296"/>
      <c r="H20" s="3296"/>
      <c r="I20" s="3297"/>
      <c r="J20" s="1692"/>
      <c r="K20" s="1772"/>
      <c r="L20" s="1721"/>
      <c r="M20" s="1721"/>
      <c r="N20" s="1692"/>
      <c r="O20" s="1693"/>
      <c r="P20" s="1692"/>
      <c r="Q20" s="1692"/>
      <c r="R20" s="1692"/>
      <c r="S20" s="1692"/>
      <c r="T20" s="1692"/>
      <c r="U20" s="1692"/>
    </row>
    <row r="21" spans="1:21">
      <c r="A21" s="1761" t="s">
        <v>1959</v>
      </c>
      <c r="B21" s="1762" t="s">
        <v>1960</v>
      </c>
      <c r="C21" s="1757">
        <f>'数据-汇总表'!E3</f>
        <v>61948.5</v>
      </c>
      <c r="D21" s="1758" t="s">
        <v>1961</v>
      </c>
      <c r="E21" s="3285" t="s">
        <v>1999</v>
      </c>
      <c r="F21" s="3286"/>
      <c r="G21" s="3286"/>
      <c r="H21" s="3286"/>
      <c r="I21" s="3287"/>
      <c r="J21" s="1692"/>
      <c r="K21" s="1772"/>
      <c r="L21" s="1721"/>
      <c r="M21" s="1721"/>
      <c r="N21" s="1692"/>
      <c r="O21" s="1693"/>
      <c r="P21" s="1692"/>
      <c r="Q21" s="1692"/>
      <c r="R21" s="1692"/>
      <c r="S21" s="1692"/>
      <c r="T21" s="1692"/>
      <c r="U21" s="1692"/>
    </row>
    <row r="22" spans="1:21">
      <c r="A22" s="3144" t="s">
        <v>951</v>
      </c>
      <c r="B22" s="1659" t="s">
        <v>1962</v>
      </c>
      <c r="C22" s="1684">
        <f>'数据-汇总表'!D3</f>
        <v>41299</v>
      </c>
      <c r="D22" s="1685" t="s">
        <v>1961</v>
      </c>
      <c r="E22" s="3285" t="s">
        <v>2888</v>
      </c>
      <c r="F22" s="3286"/>
      <c r="G22" s="3286"/>
      <c r="H22" s="3286"/>
      <c r="I22" s="3287"/>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88" t="s">
        <v>1967</v>
      </c>
      <c r="C24" s="3289"/>
      <c r="D24" s="3290" t="s">
        <v>1968</v>
      </c>
      <c r="E24" s="3291"/>
      <c r="F24" s="1706" t="s">
        <v>1969</v>
      </c>
      <c r="G24" s="1692"/>
      <c r="H24" s="1692"/>
      <c r="I24" s="1705"/>
      <c r="J24" s="1692"/>
      <c r="K24" s="3276"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27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27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262" t="s">
        <v>2002</v>
      </c>
      <c r="B31" s="1762" t="s">
        <v>2003</v>
      </c>
      <c r="C31" s="3301" t="s">
        <v>3000</v>
      </c>
      <c r="D31" s="3302"/>
      <c r="E31" s="1692"/>
      <c r="F31" s="1692"/>
      <c r="G31" s="1692"/>
      <c r="H31" s="1692"/>
      <c r="I31" s="1705"/>
      <c r="J31" s="1692"/>
      <c r="K31" s="2457"/>
      <c r="L31" s="1692"/>
      <c r="M31" s="1692"/>
      <c r="N31" s="1692"/>
      <c r="O31" s="1692"/>
      <c r="P31" s="1692"/>
      <c r="Q31" s="1692"/>
      <c r="R31" s="1692"/>
      <c r="S31" s="1692"/>
      <c r="T31" s="1692"/>
      <c r="U31" s="1692"/>
    </row>
    <row r="32" spans="1:21">
      <c r="A32" s="3262"/>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262"/>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263"/>
      <c r="B34" s="1659" t="s">
        <v>2006</v>
      </c>
      <c r="C34" s="3264"/>
      <c r="D34" s="3265"/>
      <c r="E34" s="1692"/>
      <c r="F34" s="1692"/>
      <c r="G34" s="1692"/>
      <c r="H34" s="1692"/>
      <c r="I34" s="1705"/>
      <c r="J34" s="1692"/>
      <c r="K34" s="2457"/>
      <c r="L34" s="1692"/>
      <c r="M34" s="1692"/>
      <c r="N34" s="1692"/>
      <c r="O34" s="1692"/>
      <c r="P34" s="1692"/>
      <c r="Q34" s="1692"/>
      <c r="R34" s="1692"/>
      <c r="S34" s="1692"/>
      <c r="T34" s="1692"/>
      <c r="U34" s="1692"/>
    </row>
    <row r="35" spans="1:21">
      <c r="A35" s="3266" t="s">
        <v>846</v>
      </c>
      <c r="B35" s="1720" t="s">
        <v>3003</v>
      </c>
      <c r="C35" s="1774" t="str">
        <f>IF(B35="场地平整","——","具体情况：")</f>
        <v>——</v>
      </c>
      <c r="D35" s="3268"/>
      <c r="E35" s="3269"/>
      <c r="F35" s="3269"/>
      <c r="G35" s="3269"/>
      <c r="H35" s="3269"/>
      <c r="I35" s="3270"/>
      <c r="J35" s="1692"/>
      <c r="K35" s="1773"/>
      <c r="L35" s="1721"/>
      <c r="M35" s="1721"/>
      <c r="N35" s="1692"/>
      <c r="O35" s="1693"/>
      <c r="P35" s="1692"/>
      <c r="Q35" s="1692"/>
      <c r="R35" s="1692"/>
      <c r="S35" s="1692"/>
      <c r="T35" s="1692"/>
      <c r="U35" s="1692"/>
    </row>
    <row r="36" spans="1:21">
      <c r="A36" s="3262"/>
      <c r="B36" s="3271" t="s">
        <v>2055</v>
      </c>
      <c r="C36" s="3272"/>
      <c r="D36" s="1790" t="s">
        <v>3004</v>
      </c>
      <c r="E36" s="3273"/>
      <c r="F36" s="3273"/>
      <c r="G36" s="1685" t="str">
        <f>IF(B35="场地未平整","估价结果处理","")</f>
        <v/>
      </c>
      <c r="H36" s="3274"/>
      <c r="I36" s="3274"/>
      <c r="J36" s="1692"/>
      <c r="K36" s="1773"/>
      <c r="L36" s="1721"/>
      <c r="M36" s="1721"/>
      <c r="N36" s="1692"/>
      <c r="O36" s="1693"/>
      <c r="P36" s="1692"/>
      <c r="Q36" s="1692"/>
      <c r="R36" s="1692"/>
      <c r="S36" s="1692"/>
      <c r="T36" s="1692"/>
      <c r="U36" s="1692"/>
    </row>
    <row r="37" spans="1:21" ht="31.2">
      <c r="A37" s="3262"/>
      <c r="B37" s="3292"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62"/>
      <c r="B38" s="3293"/>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263"/>
      <c r="B39" s="329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275" t="s">
        <v>1986</v>
      </c>
      <c r="T40" s="1729" t="str">
        <f>NUMBERSTRING(7-K40,1)&amp;"通"</f>
        <v>七通</v>
      </c>
      <c r="U40" s="1692"/>
    </row>
    <row r="41" spans="1:21">
      <c r="A41" s="1661"/>
      <c r="B41" s="3267" t="s">
        <v>1720</v>
      </c>
      <c r="C41" s="3267"/>
      <c r="D41" s="3267"/>
      <c r="E41" s="3267"/>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275"/>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项目资料!D5</f>
        <v>41299</v>
      </c>
      <c r="B3" s="22">
        <f>IF(C3="否",G5-AT5,G5)</f>
        <v>61948.5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61948.5</v>
      </c>
      <c r="H5" s="27">
        <f t="shared" ref="H5:AT5" si="0">SUM(H13:H641)</f>
        <v>61948.5</v>
      </c>
      <c r="I5" s="27">
        <f t="shared" si="0"/>
        <v>49558.8</v>
      </c>
      <c r="J5" s="27">
        <f t="shared" si="0"/>
        <v>0</v>
      </c>
      <c r="K5" s="27">
        <f t="shared" si="0"/>
        <v>12389.7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61948.5</v>
      </c>
      <c r="BA5" s="29">
        <f t="shared" si="1"/>
        <v>61948.5</v>
      </c>
      <c r="BB5" s="29">
        <f t="shared" si="1"/>
        <v>49558.8</v>
      </c>
      <c r="BC5" s="29">
        <f t="shared" si="1"/>
        <v>12389.7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41299</v>
      </c>
      <c r="F6" s="27" t="s">
        <v>1</v>
      </c>
      <c r="G6" s="27" t="s">
        <v>2</v>
      </c>
      <c r="H6" s="33">
        <f>SUMIF(I$12:AB$12,"总值",I6:AB6)</f>
        <v>41299</v>
      </c>
      <c r="I6" s="27">
        <f t="shared" ref="I6:AB6" si="2">ROUND($A$3*I5/$B$3,2)</f>
        <v>33039.199999999997</v>
      </c>
      <c r="J6" s="27">
        <f t="shared" si="2"/>
        <v>0</v>
      </c>
      <c r="K6" s="27">
        <f t="shared" si="2"/>
        <v>8259.7999999999993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41299</v>
      </c>
      <c r="AZ6" s="27" t="s">
        <v>3</v>
      </c>
      <c r="BA6" s="27">
        <f>ROUND($AY$6*BA5/$AZ$5,2)</f>
        <v>41299</v>
      </c>
      <c r="BB6" s="27">
        <f>ROUND($AY$6*BB5/$AZ$5,2)</f>
        <v>33039.199999999997</v>
      </c>
      <c r="BC6" s="27">
        <f t="shared" ref="BC6:BH6" si="4">ROUND($AY$6*BC5/$AZ$5,2)</f>
        <v>8259.7999999999993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4.4">
      <c r="A13" s="3013"/>
      <c r="B13" s="1393"/>
      <c r="C13" s="3013"/>
      <c r="D13" s="3014" t="s">
        <v>1678</v>
      </c>
      <c r="E13" s="27">
        <f t="shared" ref="E13:E20" si="6">IF($C$3="是",ROUND($A$3*G13/$B$3,2),ROUND($A$3*(G13-AT13)/$B$3,2))</f>
        <v>41299</v>
      </c>
      <c r="F13" s="81"/>
      <c r="G13" s="82">
        <f t="shared" ref="G13:G20" si="7">H13+AC13+AT13</f>
        <v>61948.5</v>
      </c>
      <c r="H13" s="33">
        <f t="shared" ref="H13:H20" si="8">SUMIF(I$12:AB$12,"总值",I13:AB13)</f>
        <v>61948.5</v>
      </c>
      <c r="I13" s="3015">
        <f>项目资料!H5</f>
        <v>49558.8</v>
      </c>
      <c r="J13" s="3015"/>
      <c r="K13" s="3015">
        <f>项目资料!I5</f>
        <v>12389.7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41299</v>
      </c>
      <c r="AZ13" s="27">
        <f t="shared" ref="AZ13:AZ20" si="12">BA13+BL13</f>
        <v>61948.5</v>
      </c>
      <c r="BA13" s="27">
        <f t="shared" ref="BA13:BA20" si="13">SUM(BB13:BK13)</f>
        <v>61948.5</v>
      </c>
      <c r="BB13" s="27">
        <f t="shared" ref="BB13:BB20" si="14">IF($D13="是",I13-J13,0)</f>
        <v>49558.8</v>
      </c>
      <c r="BC13" s="27">
        <f t="shared" ref="BC13:BC20" si="15">IF($D13="是",K13-L13,0)</f>
        <v>12389.7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4.4">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4.4">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46.8">
      <c r="A3" s="3303"/>
      <c r="B3" s="3303"/>
      <c r="C3" s="3303"/>
      <c r="D3" s="3304"/>
      <c r="E3" s="330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D35" sqref="D35"/>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14" t="s">
        <v>202</v>
      </c>
      <c r="B2" s="3314"/>
      <c r="C2" s="3314"/>
      <c r="D2" s="1974" t="s">
        <v>203</v>
      </c>
      <c r="E2" s="106" t="s">
        <v>204</v>
      </c>
      <c r="F2" s="1983"/>
      <c r="G2" s="1198"/>
      <c r="H2" s="1199"/>
      <c r="I2" s="1200" t="s">
        <v>856</v>
      </c>
      <c r="J2" s="1983"/>
      <c r="K2" s="1983"/>
      <c r="L2" s="1983"/>
    </row>
    <row r="3" spans="1:16" ht="15" thickBot="1">
      <c r="A3" s="3315" t="s">
        <v>205</v>
      </c>
      <c r="B3" s="3315"/>
      <c r="C3" s="3315"/>
      <c r="D3" s="107">
        <f>'数据-基础表'!AY6</f>
        <v>41299</v>
      </c>
      <c r="E3" s="107">
        <f>'数据-基础表'!AZ5</f>
        <v>61948.5</v>
      </c>
      <c r="F3" s="1983"/>
      <c r="G3" s="280" t="s">
        <v>857</v>
      </c>
      <c r="H3" s="275" t="s">
        <v>858</v>
      </c>
      <c r="I3" s="1975">
        <f>ROUND('数据-基础表'!B3/'数据-基础表'!A3,2)</f>
        <v>1.5</v>
      </c>
      <c r="J3" s="1983"/>
      <c r="K3" s="1983"/>
      <c r="L3" s="1983"/>
    </row>
    <row r="4" spans="1:16" ht="14.4">
      <c r="A4" s="3316"/>
      <c r="B4" s="3317"/>
      <c r="C4" s="3318"/>
      <c r="D4" s="108" t="s">
        <v>203</v>
      </c>
      <c r="E4" s="109" t="s">
        <v>204</v>
      </c>
      <c r="F4" s="1983"/>
      <c r="G4" s="1201"/>
      <c r="H4" s="275" t="s">
        <v>859</v>
      </c>
      <c r="I4" s="1975">
        <f>ROUND(SUMIF('数据-基础表'!I9:AS9,"地上",'数据-基础表'!I5:AS5)/'数据-基础表'!A3,2)</f>
        <v>1.5</v>
      </c>
      <c r="J4" s="1983"/>
      <c r="K4" s="1983"/>
      <c r="L4" s="1983"/>
    </row>
    <row r="5" spans="1:16" ht="14.4">
      <c r="A5" s="110" t="s">
        <v>206</v>
      </c>
      <c r="B5" s="3319" t="s">
        <v>229</v>
      </c>
      <c r="C5" s="3319"/>
      <c r="D5" s="111">
        <f>ROUND($D$3*E5/$E$3,2)</f>
        <v>33039.199999999997</v>
      </c>
      <c r="E5" s="112">
        <f>SUMIF('数据-基础表'!$11:$11,"住宅",'数据-基础表'!$5:$5)</f>
        <v>49558.8</v>
      </c>
      <c r="F5" s="1983"/>
      <c r="G5" s="280" t="s">
        <v>860</v>
      </c>
      <c r="H5" s="275" t="s">
        <v>858</v>
      </c>
      <c r="I5" s="1975">
        <f>ROUND(E31/D31,2)</f>
        <v>1.5</v>
      </c>
      <c r="J5" s="1983"/>
      <c r="K5" s="1983"/>
      <c r="L5" s="1983"/>
    </row>
    <row r="6" spans="1:16" ht="15" thickBot="1">
      <c r="A6" s="113"/>
      <c r="B6" s="3319" t="s">
        <v>207</v>
      </c>
      <c r="C6" s="3319"/>
      <c r="D6" s="111">
        <f>ROUND($D$3*E6/$E$3,2)</f>
        <v>8259.7999999999993</v>
      </c>
      <c r="E6" s="112">
        <f>E3-E5</f>
        <v>12389.699999999997</v>
      </c>
      <c r="F6" s="1983"/>
      <c r="G6" s="1201"/>
      <c r="H6" s="275" t="s">
        <v>859</v>
      </c>
      <c r="I6" s="1975">
        <f>ROUND(F31/D31,2)</f>
        <v>1.5</v>
      </c>
      <c r="J6" s="1983"/>
      <c r="K6" s="1983"/>
      <c r="L6" s="1983"/>
    </row>
    <row r="7" spans="1:16" ht="14.4">
      <c r="A7" s="3311"/>
      <c r="B7" s="3312"/>
      <c r="C7" s="3313"/>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41299</v>
      </c>
      <c r="E8" s="116">
        <f>SUMIF('数据-基础表'!BB10:BK10,"地上",'数据-基础表'!BB5:BK5)</f>
        <v>61948.5</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41299</v>
      </c>
      <c r="E16" s="120">
        <f>SUM(E8:E15)</f>
        <v>61948.5</v>
      </c>
      <c r="F16" s="1983"/>
      <c r="G16" s="1985"/>
      <c r="H16" s="968" t="s">
        <v>218</v>
      </c>
      <c r="I16" s="969"/>
      <c r="J16" s="1983"/>
      <c r="K16" s="3305" t="s">
        <v>2564</v>
      </c>
      <c r="L16" s="3306"/>
      <c r="M16" s="3306"/>
      <c r="N16" s="3306"/>
      <c r="O16" s="3306"/>
      <c r="P16" s="3307"/>
    </row>
    <row r="17" spans="1:19" ht="14.4">
      <c r="A17" s="121" t="s">
        <v>215</v>
      </c>
      <c r="B17" s="122" t="s">
        <v>216</v>
      </c>
      <c r="C17" s="2297" t="s">
        <v>2313</v>
      </c>
      <c r="D17" s="108" t="s">
        <v>203</v>
      </c>
      <c r="E17" s="124" t="s">
        <v>204</v>
      </c>
      <c r="F17" s="125"/>
      <c r="G17" s="1365"/>
      <c r="H17" s="970" t="s">
        <v>217</v>
      </c>
      <c r="I17" s="971" t="s">
        <v>2312</v>
      </c>
      <c r="J17" s="1983"/>
      <c r="K17" s="3308" t="s">
        <v>2565</v>
      </c>
      <c r="L17" s="3309"/>
      <c r="M17" s="3310"/>
      <c r="N17" s="3308" t="s">
        <v>2566</v>
      </c>
      <c r="O17" s="3309"/>
      <c r="P17" s="3310"/>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3148</v>
      </c>
      <c r="D19" s="111">
        <f t="shared" ref="D19:D26" si="1">ROUND($D$3*E19/$E$3,2)</f>
        <v>33039.199999999997</v>
      </c>
      <c r="E19" s="134">
        <f t="shared" ref="E19:E26" si="2">SUM(F19:G19)</f>
        <v>49558.8</v>
      </c>
      <c r="F19" s="135">
        <f>'数据-基础表'!I13</f>
        <v>49558.8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33039.199999999997</v>
      </c>
      <c r="S19" s="2300">
        <f t="shared" si="5"/>
        <v>49558.8</v>
      </c>
    </row>
    <row r="20" spans="1:19" ht="14.4">
      <c r="A20" s="138"/>
      <c r="B20" s="115" t="s">
        <v>225</v>
      </c>
      <c r="C20" s="3022" t="s">
        <v>3152</v>
      </c>
      <c r="D20" s="111">
        <f t="shared" si="1"/>
        <v>8259.7999999999993</v>
      </c>
      <c r="E20" s="134">
        <f t="shared" si="2"/>
        <v>12389.7</v>
      </c>
      <c r="F20" s="135">
        <f>'数据-基础表'!K13</f>
        <v>12389.7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8259.7999999999993</v>
      </c>
      <c r="S20" s="2300">
        <f t="shared" si="5"/>
        <v>12389.7</v>
      </c>
    </row>
    <row r="21" spans="1:19" ht="14.4">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41299</v>
      </c>
      <c r="E27" s="143">
        <f>IF(SUM(E19:E26)='数据-基础表'!BA5,SUM(E19:E26),IF(F27="地上面积有误","面积有误","地下面积有误"))</f>
        <v>61948.5</v>
      </c>
      <c r="F27" s="134">
        <f>IF(SUM(F19:F26)=E8,SUM(F19:F26),"地上面积有误")</f>
        <v>61948.5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41299</v>
      </c>
      <c r="S27" s="275">
        <f>IF(SUM(S19:S26)=$E$3,SUM(S19:S26),SUM(S19:S26)&amp;"误差"&amp;ROUND(SUM(S19:S26)-E3,2))</f>
        <v>61948.5</v>
      </c>
    </row>
    <row r="28" spans="1:19" ht="14.4">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41299</v>
      </c>
      <c r="E31" s="1371">
        <f>E27+E30</f>
        <v>61948.5</v>
      </c>
      <c r="F31" s="1372">
        <f>F27+F30</f>
        <v>61948.5</v>
      </c>
      <c r="G31" s="1373">
        <f>G27+G30</f>
        <v>0</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9" sqref="L9"/>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49558.8</v>
      </c>
      <c r="L6" s="3024">
        <v>3000</v>
      </c>
      <c r="M6" s="177">
        <f t="shared" ref="M6:M14" si="0">ROUND(K6*L6/10000,0)</f>
        <v>14868</v>
      </c>
      <c r="N6" s="3025">
        <v>0</v>
      </c>
      <c r="O6" s="177">
        <f>IF($N$5="成新度","——",ROUND(M6*N6,0))</f>
        <v>0</v>
      </c>
      <c r="P6" s="178">
        <f>IF($N$5="成新度","——",M6-O6)</f>
        <v>14868</v>
      </c>
      <c r="Q6" s="3026">
        <v>0.15</v>
      </c>
      <c r="R6" s="179">
        <f>SUMIF('数据-汇总表'!C$19:C$33,A6,'数据-汇总表'!R$19:R$33)</f>
        <v>33039.199999999997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12389.7</v>
      </c>
      <c r="L7" s="3024">
        <f>L6</f>
        <v>3000</v>
      </c>
      <c r="M7" s="177">
        <f t="shared" si="0"/>
        <v>3717</v>
      </c>
      <c r="N7" s="3025">
        <v>0</v>
      </c>
      <c r="O7" s="177">
        <f t="shared" ref="O7:O14" si="3">IF($N$5="成新度","——",ROUND(M7*N7,0))</f>
        <v>0</v>
      </c>
      <c r="P7" s="178">
        <f t="shared" ref="P7:P14" si="4">IF($N$5="成新度","——",M7-O7)</f>
        <v>3717</v>
      </c>
      <c r="Q7" s="3026">
        <v>0.2</v>
      </c>
      <c r="R7" s="179">
        <f>SUMIF('数据-汇总表'!C$19:C$33,A7,'数据-汇总表'!R$19:R$33)</f>
        <v>8259.7999999999993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33.07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0</v>
      </c>
      <c r="L14" s="193">
        <f>L6</f>
        <v>3000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61948.5</v>
      </c>
      <c r="L16" s="206">
        <f>ROUND(M16*10000/SUM(K6:K14),0)</f>
        <v>3000</v>
      </c>
      <c r="M16" s="206">
        <f>SUM(M6:M14)</f>
        <v>18585</v>
      </c>
      <c r="N16" s="207">
        <f>ROUND(SUMPRODUCT(M6:M14,N6:N14)/M16,3)</f>
        <v>0</v>
      </c>
      <c r="O16" s="206">
        <f>SUM(O6:O14)</f>
        <v>0</v>
      </c>
      <c r="P16" s="206">
        <f>SUM(P6:P14)</f>
        <v>18585</v>
      </c>
      <c r="Q16" s="208">
        <f>ROUND(SUMPRODUCT(Q6:Q13,K6:K13)/SUMPRODUCT((Q6:Q13&gt;0)*(K6:K13)),2)</f>
        <v>0.16</v>
      </c>
      <c r="R16" s="2310">
        <f>SUM(R6:R13)</f>
        <v>41299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140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60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0.05</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20" t="s">
        <v>1663</v>
      </c>
      <c r="B1" s="3321"/>
      <c r="C1" s="3321"/>
      <c r="D1" s="3321"/>
      <c r="E1" s="3321"/>
      <c r="F1" s="3321"/>
      <c r="G1" s="3321"/>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3059</v>
      </c>
      <c r="D8" s="2009"/>
      <c r="E8" s="2009"/>
      <c r="F8" s="1552"/>
      <c r="G8" s="1552"/>
      <c r="H8" s="2007"/>
      <c r="I8" s="2007"/>
      <c r="J8" s="2007"/>
      <c r="K8" s="2007"/>
      <c r="L8" s="2007"/>
      <c r="M8" s="2007"/>
      <c r="N8" s="2007"/>
      <c r="O8" s="2007"/>
      <c r="P8" s="2007"/>
      <c r="Q8" s="2007"/>
      <c r="R8" s="2007"/>
    </row>
    <row r="9" spans="1:18" ht="43.2">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3082</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workbookViewId="0">
      <selection activeCell="C21" sqref="C21"/>
    </sheetView>
  </sheetViews>
  <sheetFormatPr defaultColWidth="14.6640625" defaultRowHeight="14.4"/>
  <cols>
    <col min="1" max="1" width="24.33203125" customWidth="1"/>
    <col min="10" max="10" width="10.33203125" customWidth="1"/>
    <col min="11" max="11" width="10" customWidth="1"/>
    <col min="12" max="12" width="9.21875" customWidth="1"/>
  </cols>
  <sheetData>
    <row r="1" spans="1:12" ht="15.6">
      <c r="A1" s="3043" t="s">
        <v>2841</v>
      </c>
      <c r="B1" s="3043">
        <f>SUM(B14:B23)</f>
        <v>61948.5</v>
      </c>
      <c r="C1" s="3044"/>
      <c r="D1" s="3044"/>
      <c r="E1" s="3044"/>
      <c r="F1" s="3044"/>
    </row>
    <row r="2" spans="1:12" ht="15.6">
      <c r="A2" s="3043" t="s">
        <v>2842</v>
      </c>
      <c r="B2" s="3043">
        <f>SUM(C14:C23)</f>
        <v>41299</v>
      </c>
      <c r="C2" s="3044"/>
      <c r="D2" s="3044"/>
      <c r="E2" s="3044"/>
      <c r="F2" s="3044"/>
    </row>
    <row r="3" spans="1:12" ht="15.6">
      <c r="A3" s="3043" t="s">
        <v>2843</v>
      </c>
      <c r="B3" s="3045">
        <f>项目基本情况!D3</f>
        <v>43626</v>
      </c>
      <c r="C3" s="3044"/>
      <c r="D3" s="3044"/>
      <c r="E3" s="3044"/>
      <c r="F3" s="3044"/>
    </row>
    <row r="4" spans="1:12" ht="31.2">
      <c r="A4" s="3043" t="s">
        <v>2844</v>
      </c>
      <c r="B4" s="3043" t="s">
        <v>2845</v>
      </c>
      <c r="C4" s="3043" t="s">
        <v>2846</v>
      </c>
      <c r="D4" s="3043" t="s">
        <v>2847</v>
      </c>
      <c r="E4" s="3044"/>
      <c r="F4" s="3044"/>
    </row>
    <row r="5" spans="1:12" ht="15.6">
      <c r="A5" s="3043" t="s">
        <v>2848</v>
      </c>
      <c r="B5" s="3043">
        <f ca="1">SUM(D14:D23)</f>
        <v>23440</v>
      </c>
      <c r="C5" s="3043">
        <f ca="1">ROUND(B5*10000/$B$1,0)</f>
        <v>3784</v>
      </c>
      <c r="D5" s="3043">
        <f ca="1">ROUND(B5*10000/$B$2,0)</f>
        <v>5676</v>
      </c>
      <c r="E5" s="3044"/>
      <c r="F5" s="3044"/>
    </row>
    <row r="6" spans="1:12" ht="15.6">
      <c r="A6" s="3043" t="s">
        <v>2849</v>
      </c>
      <c r="B6" s="3043">
        <f ca="1">SUM(G14:G23)</f>
        <v>23440</v>
      </c>
      <c r="C6" s="3043">
        <f t="shared" ref="C6:C8" ca="1" si="0">ROUND(B6*10000/$B$1,0)</f>
        <v>3784</v>
      </c>
      <c r="D6" s="3043">
        <f t="shared" ref="D6:D8" ca="1" si="1">ROUND(B6*10000/$B$2,0)</f>
        <v>5676</v>
      </c>
      <c r="E6" s="3044"/>
      <c r="F6" s="3044"/>
    </row>
    <row r="7" spans="1:12" ht="15.6">
      <c r="A7" s="3043" t="s">
        <v>2850</v>
      </c>
      <c r="B7" s="3043">
        <f>SUM(H14:H23)</f>
        <v>0</v>
      </c>
      <c r="C7" s="3043">
        <f t="shared" si="0"/>
        <v>0</v>
      </c>
      <c r="D7" s="3043">
        <f t="shared" si="1"/>
        <v>0</v>
      </c>
      <c r="E7" s="3044"/>
      <c r="F7" s="3044"/>
    </row>
    <row r="8" spans="1:12" ht="15.6">
      <c r="A8" s="3043" t="s">
        <v>2851</v>
      </c>
      <c r="B8" s="3043">
        <f>SUM(I14:I23)</f>
        <v>0</v>
      </c>
      <c r="C8" s="3043">
        <f t="shared" si="0"/>
        <v>0</v>
      </c>
      <c r="D8" s="3043">
        <f t="shared" si="1"/>
        <v>0</v>
      </c>
      <c r="E8" s="3044"/>
      <c r="F8" s="3044"/>
    </row>
    <row r="9" spans="1:12" ht="15.6">
      <c r="A9" s="3043" t="s">
        <v>2852</v>
      </c>
      <c r="B9" s="3046"/>
      <c r="C9" s="3044"/>
      <c r="D9" s="3044"/>
      <c r="E9" s="3044"/>
      <c r="F9" s="3044"/>
    </row>
    <row r="10" spans="1:12" ht="15.6">
      <c r="A10" s="3043" t="s">
        <v>2853</v>
      </c>
      <c r="B10" s="3046"/>
      <c r="C10" s="3044"/>
      <c r="D10" s="3044"/>
      <c r="E10" s="3044"/>
      <c r="F10" s="3044"/>
    </row>
    <row r="11" spans="1:12" ht="15.6">
      <c r="A11" s="3043" t="s">
        <v>2870</v>
      </c>
      <c r="B11" s="3046"/>
      <c r="C11" s="3044"/>
      <c r="D11" s="3044"/>
      <c r="E11" s="3044"/>
      <c r="F11" s="3044"/>
    </row>
    <row r="12" spans="1:12" ht="15.6">
      <c r="A12" s="3044"/>
      <c r="B12" s="3044"/>
      <c r="C12" s="3044"/>
      <c r="D12" s="3044"/>
      <c r="E12" s="3044"/>
      <c r="F12" s="3044"/>
    </row>
    <row r="13" spans="1:12" ht="31.2">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5.6">
      <c r="A14" s="3050" t="s">
        <v>2867</v>
      </c>
      <c r="B14" s="3047">
        <f>结果表!L38</f>
        <v>61948.5</v>
      </c>
      <c r="C14" s="3047">
        <f>结果表!K38</f>
        <v>41299</v>
      </c>
      <c r="D14" s="3047">
        <f ca="1">结果表!C42</f>
        <v>23440</v>
      </c>
      <c r="E14" s="3047">
        <f ca="1">ROUND(D14*10000/B14,0)</f>
        <v>3784</v>
      </c>
      <c r="F14" s="3047">
        <f ca="1">ROUND(D14*10000/C14,0)</f>
        <v>5676</v>
      </c>
      <c r="G14" s="3047">
        <f ca="1">结果表!C44</f>
        <v>23440</v>
      </c>
      <c r="H14" s="3047" t="str">
        <f>结果表!C45</f>
        <v>——</v>
      </c>
      <c r="I14" s="3047" t="str">
        <f>结果表!C46</f>
        <v>——</v>
      </c>
      <c r="J14" s="3220" t="s">
        <v>3317</v>
      </c>
      <c r="K14">
        <f>ROUND(B14/C14,2)</f>
        <v>1.5</v>
      </c>
      <c r="L14">
        <f ca="1">ROUND(D14/C14*666.67,0)</f>
        <v>378</v>
      </c>
    </row>
    <row r="15" spans="1:12" ht="15.6">
      <c r="A15" s="3050" t="s">
        <v>2858</v>
      </c>
      <c r="B15" s="3051"/>
      <c r="C15" s="3051"/>
      <c r="D15" s="3051"/>
      <c r="E15" s="3047" t="e">
        <f t="shared" ref="E15:E23" si="2">ROUND(D15*10000/B15,0)</f>
        <v>#DIV/0!</v>
      </c>
      <c r="F15" s="3047" t="e">
        <f t="shared" ref="F15:F23" si="3">ROUND(D15*10000/C15,0)</f>
        <v>#DIV/0!</v>
      </c>
      <c r="G15" s="3048"/>
      <c r="H15" s="3048"/>
      <c r="I15" s="3051"/>
      <c r="J15" s="3220" t="s">
        <v>3318</v>
      </c>
      <c r="K15" t="e">
        <f t="shared" ref="K15:K18" si="4">ROUND(B15/C15,2)</f>
        <v>#DIV/0!</v>
      </c>
      <c r="L15" t="e">
        <f t="shared" ref="L15:L18" si="5">ROUND(D15/C15*666.67,0)</f>
        <v>#DIV/0!</v>
      </c>
    </row>
    <row r="16" spans="1:12" ht="15.6">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5.6">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5.6">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5.6">
      <c r="A19" s="3050" t="s">
        <v>2862</v>
      </c>
      <c r="B19" s="3051"/>
      <c r="C19" s="3051"/>
      <c r="D19" s="3051"/>
      <c r="E19" s="3047" t="e">
        <f t="shared" si="2"/>
        <v>#DIV/0!</v>
      </c>
      <c r="F19" s="3047" t="e">
        <f t="shared" si="3"/>
        <v>#DIV/0!</v>
      </c>
      <c r="G19" s="3051"/>
      <c r="H19" s="3051"/>
      <c r="I19" s="3051"/>
    </row>
    <row r="20" spans="1:12" ht="15.6">
      <c r="A20" s="3050" t="s">
        <v>2863</v>
      </c>
      <c r="B20" s="3051"/>
      <c r="C20" s="3051"/>
      <c r="D20" s="3051"/>
      <c r="E20" s="3047" t="e">
        <f t="shared" si="2"/>
        <v>#DIV/0!</v>
      </c>
      <c r="F20" s="3047" t="e">
        <f t="shared" si="3"/>
        <v>#DIV/0!</v>
      </c>
      <c r="G20" s="3051"/>
      <c r="H20" s="3051"/>
      <c r="I20" s="3051"/>
    </row>
    <row r="21" spans="1:12" ht="15.6">
      <c r="A21" s="3050" t="s">
        <v>2864</v>
      </c>
      <c r="B21" s="3051"/>
      <c r="C21" s="3051"/>
      <c r="D21" s="3051"/>
      <c r="E21" s="3047" t="e">
        <f t="shared" si="2"/>
        <v>#DIV/0!</v>
      </c>
      <c r="F21" s="3047" t="e">
        <f t="shared" si="3"/>
        <v>#DIV/0!</v>
      </c>
      <c r="G21" s="3051"/>
      <c r="H21" s="3051"/>
      <c r="I21" s="3051"/>
    </row>
    <row r="22" spans="1:12" ht="15.6">
      <c r="A22" s="3050" t="s">
        <v>2865</v>
      </c>
      <c r="B22" s="3051"/>
      <c r="C22" s="3051"/>
      <c r="D22" s="3051"/>
      <c r="E22" s="3047" t="e">
        <f t="shared" si="2"/>
        <v>#DIV/0!</v>
      </c>
      <c r="F22" s="3047" t="e">
        <f t="shared" si="3"/>
        <v>#DIV/0!</v>
      </c>
      <c r="G22" s="3051"/>
      <c r="H22" s="3051"/>
      <c r="I22" s="3051"/>
    </row>
    <row r="23" spans="1:12" ht="15.6">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SheetLayoutView="80" zoomScalePageLayoutView="80" workbookViewId="0">
      <selection activeCell="N15" sqref="N15"/>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358" t="str">
        <f>项目基本情况!K2</f>
        <v>重庆两江新区航悦项目E01-04-02出让国有建设用地使用权</v>
      </c>
      <c r="B2" s="3359"/>
      <c r="C2" s="3360"/>
      <c r="D2" s="3360"/>
      <c r="E2" s="3360"/>
      <c r="F2" s="3360"/>
      <c r="G2" s="3359"/>
      <c r="H2" s="3359"/>
      <c r="I2" s="3361"/>
      <c r="J2" s="2029"/>
      <c r="K2" s="2028"/>
      <c r="L2" s="2028"/>
      <c r="M2" s="2028"/>
      <c r="N2" s="2028"/>
      <c r="O2" s="2028"/>
      <c r="P2" s="2028"/>
      <c r="Q2" s="2028"/>
      <c r="R2" s="2028"/>
      <c r="S2" s="2028"/>
      <c r="T2" s="2028"/>
      <c r="U2" s="2028"/>
      <c r="V2" s="2028"/>
    </row>
    <row r="3" spans="1:22" ht="13.8">
      <c r="A3" s="3351" t="s">
        <v>297</v>
      </c>
      <c r="B3" s="3352"/>
      <c r="C3" s="3352"/>
      <c r="D3" s="3352"/>
      <c r="E3" s="3352"/>
      <c r="F3" s="3352"/>
      <c r="G3" s="3352"/>
      <c r="H3" s="3352"/>
      <c r="I3" s="3352"/>
      <c r="J3" s="2029"/>
      <c r="K3" s="2028"/>
      <c r="L3" s="2028"/>
      <c r="M3" s="2028"/>
      <c r="N3" s="2028"/>
      <c r="O3" s="2028"/>
      <c r="P3" s="2028"/>
      <c r="Q3" s="2028"/>
      <c r="R3" s="2028"/>
      <c r="S3" s="2028"/>
      <c r="T3" s="2028"/>
      <c r="U3" s="2028"/>
      <c r="V3" s="2028"/>
    </row>
    <row r="4" spans="1:22" ht="14.4">
      <c r="A4" s="258" t="s">
        <v>298</v>
      </c>
      <c r="B4" s="259" t="s">
        <v>299</v>
      </c>
      <c r="C4" s="260" t="s">
        <v>3037</v>
      </c>
      <c r="D4" s="260" t="s">
        <v>3038</v>
      </c>
      <c r="E4" s="3323" t="s">
        <v>300</v>
      </c>
      <c r="F4" s="3324"/>
      <c r="G4" s="3324"/>
      <c r="H4" s="3324"/>
      <c r="I4" s="335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22" t="s">
        <v>301</v>
      </c>
      <c r="B5" s="3348">
        <v>25</v>
      </c>
      <c r="C5" s="3346"/>
      <c r="D5" s="3350"/>
      <c r="E5" s="261" t="s">
        <v>302</v>
      </c>
      <c r="F5" s="262"/>
      <c r="G5" s="262"/>
      <c r="H5" s="262"/>
      <c r="I5" s="263"/>
      <c r="J5" s="2029"/>
      <c r="K5" s="2028"/>
      <c r="L5" s="2028"/>
      <c r="M5" s="2028"/>
      <c r="N5" s="2028"/>
      <c r="O5" s="2028"/>
      <c r="P5" s="2028"/>
      <c r="Q5" s="2028"/>
      <c r="R5" s="2028"/>
      <c r="S5" s="2028"/>
      <c r="T5" s="2028"/>
      <c r="U5" s="2028"/>
      <c r="V5" s="2028"/>
    </row>
    <row r="6" spans="1:22" ht="13.8">
      <c r="A6" s="3322"/>
      <c r="B6" s="3348"/>
      <c r="C6" s="3349"/>
      <c r="D6" s="3350"/>
      <c r="E6" s="261" t="s">
        <v>303</v>
      </c>
      <c r="F6" s="262"/>
      <c r="G6" s="262"/>
      <c r="H6" s="262"/>
      <c r="I6" s="263"/>
      <c r="J6" s="2029"/>
      <c r="K6" s="2028"/>
      <c r="L6" s="2028"/>
      <c r="M6" s="2028"/>
      <c r="N6" s="2028"/>
      <c r="O6" s="2028"/>
      <c r="P6" s="2028"/>
      <c r="Q6" s="2028"/>
      <c r="R6" s="2028"/>
      <c r="S6" s="2028"/>
      <c r="T6" s="2028"/>
      <c r="U6" s="2028"/>
      <c r="V6" s="2028"/>
    </row>
    <row r="7" spans="1:22" ht="13.8">
      <c r="A7" s="3322"/>
      <c r="B7" s="3348"/>
      <c r="C7" s="3347"/>
      <c r="D7" s="3350"/>
      <c r="E7" s="261" t="s">
        <v>304</v>
      </c>
      <c r="F7" s="262"/>
      <c r="G7" s="262"/>
      <c r="H7" s="262"/>
      <c r="I7" s="263"/>
      <c r="J7" s="2029"/>
      <c r="K7" s="2028"/>
      <c r="L7" s="2028"/>
      <c r="M7" s="2028"/>
      <c r="N7" s="2028"/>
      <c r="O7" s="2028"/>
      <c r="P7" s="2028"/>
      <c r="Q7" s="2028"/>
      <c r="R7" s="2028"/>
      <c r="S7" s="2028"/>
      <c r="T7" s="2028"/>
      <c r="U7" s="2028"/>
      <c r="V7" s="2028"/>
    </row>
    <row r="8" spans="1:22" ht="13.8">
      <c r="A8" s="3322" t="s">
        <v>305</v>
      </c>
      <c r="B8" s="3348">
        <v>15</v>
      </c>
      <c r="C8" s="3346"/>
      <c r="D8" s="3350"/>
      <c r="E8" s="261" t="s">
        <v>306</v>
      </c>
      <c r="F8" s="262"/>
      <c r="G8" s="262"/>
      <c r="H8" s="262"/>
      <c r="I8" s="263"/>
      <c r="J8" s="2029"/>
      <c r="K8" s="2028"/>
      <c r="L8" s="2028"/>
      <c r="M8" s="2028"/>
      <c r="N8" s="2028"/>
      <c r="O8" s="2028"/>
      <c r="P8" s="2028"/>
      <c r="Q8" s="2028"/>
      <c r="R8" s="2028"/>
      <c r="S8" s="2028"/>
      <c r="T8" s="2028"/>
      <c r="U8" s="2028"/>
      <c r="V8" s="2028"/>
    </row>
    <row r="9" spans="1:22" ht="13.8">
      <c r="A9" s="3322"/>
      <c r="B9" s="3348"/>
      <c r="C9" s="3347"/>
      <c r="D9" s="3350"/>
      <c r="E9" s="261" t="s">
        <v>307</v>
      </c>
      <c r="F9" s="262"/>
      <c r="G9" s="262"/>
      <c r="H9" s="262"/>
      <c r="I9" s="263"/>
      <c r="J9" s="2029"/>
      <c r="K9" s="2028"/>
      <c r="L9" s="2028"/>
      <c r="M9" s="2028"/>
      <c r="N9" s="2028"/>
      <c r="O9" s="2028"/>
      <c r="P9" s="2028"/>
      <c r="Q9" s="2028"/>
      <c r="R9" s="2028"/>
      <c r="S9" s="2028"/>
      <c r="T9" s="2028"/>
      <c r="U9" s="2028"/>
      <c r="V9" s="2028"/>
    </row>
    <row r="10" spans="1:22" ht="13.8">
      <c r="A10" s="3322" t="s">
        <v>308</v>
      </c>
      <c r="B10" s="3348">
        <v>15</v>
      </c>
      <c r="C10" s="3346"/>
      <c r="D10" s="3350"/>
      <c r="E10" s="261" t="s">
        <v>309</v>
      </c>
      <c r="F10" s="262"/>
      <c r="G10" s="262"/>
      <c r="H10" s="262"/>
      <c r="I10" s="263"/>
      <c r="J10" s="2029"/>
      <c r="K10" s="2028"/>
      <c r="L10" s="2028"/>
      <c r="M10" s="2028"/>
      <c r="N10" s="2028"/>
      <c r="O10" s="2028"/>
      <c r="P10" s="2028"/>
      <c r="Q10" s="2028"/>
      <c r="R10" s="2028"/>
      <c r="S10" s="2028"/>
      <c r="T10" s="2028"/>
      <c r="U10" s="2028"/>
      <c r="V10" s="2028"/>
    </row>
    <row r="11" spans="1:22" ht="13.8">
      <c r="A11" s="3322"/>
      <c r="B11" s="3348"/>
      <c r="C11" s="3347"/>
      <c r="D11" s="3350"/>
      <c r="E11" s="261" t="s">
        <v>310</v>
      </c>
      <c r="F11" s="262"/>
      <c r="G11" s="262"/>
      <c r="H11" s="262"/>
      <c r="I11" s="263"/>
      <c r="J11" s="2029"/>
      <c r="K11" s="2028"/>
      <c r="L11" s="2028"/>
      <c r="M11" s="2028"/>
      <c r="N11" s="2028"/>
      <c r="O11" s="2028"/>
      <c r="P11" s="2028"/>
      <c r="Q11" s="2028"/>
      <c r="R11" s="2028"/>
      <c r="S11" s="2028"/>
      <c r="T11" s="2028"/>
      <c r="U11" s="2028"/>
      <c r="V11" s="2028"/>
    </row>
    <row r="12" spans="1:22" ht="13.8">
      <c r="A12" s="3322" t="s">
        <v>311</v>
      </c>
      <c r="B12" s="3348">
        <v>15</v>
      </c>
      <c r="C12" s="3346"/>
      <c r="D12" s="3350"/>
      <c r="E12" s="261" t="s">
        <v>312</v>
      </c>
      <c r="F12" s="262"/>
      <c r="G12" s="262"/>
      <c r="H12" s="262"/>
      <c r="I12" s="263"/>
      <c r="J12" s="2029"/>
      <c r="K12" s="2028"/>
      <c r="L12" s="2028"/>
      <c r="M12" s="2028"/>
      <c r="N12" s="2028"/>
      <c r="O12" s="2028"/>
      <c r="P12" s="2028"/>
      <c r="Q12" s="2028"/>
      <c r="R12" s="2028"/>
      <c r="S12" s="2028"/>
      <c r="T12" s="2028"/>
      <c r="U12" s="2028"/>
      <c r="V12" s="2028"/>
    </row>
    <row r="13" spans="1:22" ht="13.8">
      <c r="A13" s="3322"/>
      <c r="B13" s="3348"/>
      <c r="C13" s="3347"/>
      <c r="D13" s="3350"/>
      <c r="E13" s="261" t="s">
        <v>313</v>
      </c>
      <c r="F13" s="262"/>
      <c r="G13" s="262"/>
      <c r="H13" s="262"/>
      <c r="I13" s="263"/>
      <c r="J13" s="2029"/>
      <c r="K13" s="2028"/>
      <c r="L13" s="2028"/>
      <c r="M13" s="2028"/>
      <c r="N13" s="2028"/>
      <c r="O13" s="2028"/>
      <c r="P13" s="2028"/>
      <c r="Q13" s="2028"/>
      <c r="R13" s="2028"/>
      <c r="S13" s="2028"/>
      <c r="T13" s="2028"/>
      <c r="U13" s="2028"/>
      <c r="V13" s="2028"/>
    </row>
    <row r="14" spans="1:22" ht="13.8">
      <c r="A14" s="3322" t="s">
        <v>314</v>
      </c>
      <c r="B14" s="3348">
        <v>30</v>
      </c>
      <c r="C14" s="3346">
        <v>5</v>
      </c>
      <c r="D14" s="3350">
        <v>5</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322"/>
      <c r="B15" s="3348"/>
      <c r="C15" s="3349"/>
      <c r="D15" s="3350"/>
      <c r="E15" s="261" t="s">
        <v>316</v>
      </c>
      <c r="F15" s="262"/>
      <c r="G15" s="262"/>
      <c r="H15" s="262"/>
      <c r="I15" s="263"/>
      <c r="J15" s="2029"/>
      <c r="K15" s="2028"/>
      <c r="L15" s="2028"/>
      <c r="M15" s="2028"/>
      <c r="N15" s="2028"/>
      <c r="O15" s="2028"/>
      <c r="P15" s="2028"/>
      <c r="Q15" s="2028"/>
      <c r="R15" s="2028"/>
      <c r="S15" s="2028"/>
      <c r="T15" s="2028"/>
      <c r="U15" s="2028"/>
      <c r="V15" s="2028"/>
    </row>
    <row r="16" spans="1:22" ht="13.8">
      <c r="A16" s="3322"/>
      <c r="B16" s="3348"/>
      <c r="C16" s="3347"/>
      <c r="D16" s="3350"/>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20573</v>
      </c>
      <c r="D19" s="271">
        <f ca="1">SUMIF(INDIRECT("'"&amp;D4&amp;"'"&amp;"!A:A"),结果表!B19,INDIRECT("'"&amp;D4&amp;"'"&amp;"!B:B"))</f>
        <v>26306</v>
      </c>
      <c r="E19" s="268" t="s">
        <v>322</v>
      </c>
      <c r="F19" s="269" t="s">
        <v>321</v>
      </c>
      <c r="G19" s="272">
        <f ca="1">ROUND(C19*$C$18+D19*$D$18,0)</f>
        <v>23440</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3321</v>
      </c>
      <c r="D20" s="277">
        <f ca="1">SUMIF(INDIRECT("'"&amp;D4&amp;"'"&amp;"!A:A"),结果表!B20,INDIRECT("'"&amp;D4&amp;"'"&amp;"!B:B"))</f>
        <v>4246</v>
      </c>
      <c r="E20" s="274"/>
      <c r="F20" s="275" t="s">
        <v>324</v>
      </c>
      <c r="G20" s="278">
        <f ca="1">ROUND(C20*$C$18+D20*$D$18,0)</f>
        <v>3784</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4981</v>
      </c>
      <c r="D21" s="151">
        <f ca="1">SUMIF(INDIRECT("'"&amp;D4&amp;"'"&amp;"!A:A"),结果表!B21,INDIRECT("'"&amp;D4&amp;"'"&amp;"!B:B"))</f>
        <v>6370</v>
      </c>
      <c r="E21" s="274"/>
      <c r="F21" s="280" t="s">
        <v>326</v>
      </c>
      <c r="G21" s="282">
        <f ca="1">ROUND(C21*$C$18+D21*$D$18,0)</f>
        <v>5676</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0.27866621299761829</v>
      </c>
      <c r="E22" s="284"/>
      <c r="F22" s="285"/>
      <c r="G22" s="286">
        <f ca="1">ROUND(G19/('数据-汇总表'!D3/666.67),0)</f>
        <v>378</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8"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29"/>
      <c r="B25" s="1321" t="s">
        <v>330</v>
      </c>
      <c r="C25" s="290">
        <f>IF(B30=0,0,C30)</f>
        <v>0</v>
      </c>
      <c r="D25" s="291"/>
      <c r="E25" s="311"/>
      <c r="F25" s="311"/>
      <c r="G25" s="311"/>
      <c r="H25" s="311"/>
      <c r="I25" s="311"/>
      <c r="J25" s="2028"/>
      <c r="K25" s="1255" t="str">
        <f ca="1">项目基本情况!B16&amp;"国有建设用地使用权价格："&amp;O38&amp;"万元"</f>
        <v>出让国有建设用地使用权价格：23440万元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大写金额：人民币贰亿叁仟肆佰肆拾万元整</v>
      </c>
      <c r="L26" s="1252"/>
      <c r="M26" s="1252"/>
      <c r="N26" s="1252"/>
      <c r="O26" s="1251"/>
      <c r="P26" s="2028"/>
      <c r="Q26" s="2028"/>
      <c r="R26" s="2028"/>
      <c r="S26" s="2028"/>
      <c r="T26" s="2028"/>
      <c r="U26" s="2028"/>
      <c r="V26" s="2028"/>
      <c r="W26" s="292"/>
      <c r="X26" s="292"/>
      <c r="Y26" s="292"/>
      <c r="Z26" s="292"/>
    </row>
    <row r="27" spans="1:26" ht="17.399999999999999">
      <c r="A27" s="293"/>
      <c r="B27" s="294"/>
      <c r="C27" s="294"/>
      <c r="D27" s="295">
        <f ca="1">G19/'数据-汇总表'!F31*10000</f>
        <v>3783.7881466056483</v>
      </c>
      <c r="E27" s="311"/>
      <c r="F27" s="311"/>
      <c r="G27" s="311"/>
      <c r="H27" s="311"/>
      <c r="I27" s="311"/>
      <c r="J27" s="2028"/>
      <c r="K27" s="1258" t="str">
        <f ca="1">"单位面积地价："&amp;M38&amp;"元/平方米"</f>
        <v>单位面积地价：5676元/平方米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楼面地价：3784元/平方米</v>
      </c>
      <c r="L28" s="1252"/>
      <c r="M28" s="1252"/>
      <c r="N28" s="1252"/>
      <c r="O28" s="1251"/>
      <c r="P28" s="2028"/>
      <c r="Q28" s="3215" t="s">
        <v>3149</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抵押价格：23440万元</v>
      </c>
      <c r="L29" s="1252"/>
      <c r="M29" s="1252"/>
      <c r="N29" s="1252"/>
      <c r="O29" s="1251"/>
      <c r="P29" s="2028"/>
      <c r="Q29" s="3216">
        <f ca="1">ROUND(G19/'数据-汇总表'!F27*10000,0)</f>
        <v>3784</v>
      </c>
      <c r="V29" s="2028"/>
    </row>
    <row r="30" spans="1:26" ht="18" thickBot="1">
      <c r="A30" s="3126" t="s">
        <v>335</v>
      </c>
      <c r="B30" s="309"/>
      <c r="C30" s="309"/>
      <c r="D30" s="310"/>
      <c r="E30" s="3127" t="s">
        <v>2964</v>
      </c>
      <c r="F30" s="311"/>
      <c r="G30" s="311"/>
      <c r="H30" s="311"/>
      <c r="I30" s="311"/>
      <c r="J30" s="2028"/>
      <c r="K30" s="1258" t="str">
        <f ca="1">IF(K29="——","——","大写金额：人民币"&amp;NUMBERSTRING(INT(O39*10000),2)&amp;"元整")</f>
        <v>大写金额：人民币贰亿叁仟肆佰肆拾万元整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23440</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3784</v>
      </c>
      <c r="D33" s="1385" t="s">
        <v>1690</v>
      </c>
      <c r="E33" s="3328"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5676</v>
      </c>
      <c r="D34" s="1387" t="s">
        <v>1690</v>
      </c>
      <c r="E34" s="3369"/>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378</v>
      </c>
      <c r="D35" s="1390" t="s">
        <v>1692</v>
      </c>
      <c r="E35" s="3370"/>
      <c r="F35" s="301" t="s">
        <v>341</v>
      </c>
      <c r="G35" s="982"/>
      <c r="H35" s="981" t="s">
        <v>342</v>
      </c>
      <c r="I35" s="311"/>
      <c r="J35" s="2028"/>
      <c r="K35" s="3343" t="s">
        <v>349</v>
      </c>
      <c r="L35" s="3343" t="s">
        <v>350</v>
      </c>
      <c r="M35" s="1264" t="s">
        <v>351</v>
      </c>
      <c r="N35" s="3343" t="s">
        <v>352</v>
      </c>
      <c r="O35" s="3343" t="s">
        <v>353</v>
      </c>
      <c r="P35" s="2028"/>
      <c r="V35" s="2028"/>
    </row>
    <row r="36" spans="1:26" ht="16.5" customHeight="1">
      <c r="A36" s="303" t="s">
        <v>343</v>
      </c>
      <c r="B36" s="304" t="s">
        <v>332</v>
      </c>
      <c r="C36" s="305" t="s">
        <v>344</v>
      </c>
      <c r="D36" s="305" t="s">
        <v>345</v>
      </c>
      <c r="E36" s="306" t="s">
        <v>346</v>
      </c>
      <c r="F36" s="311"/>
      <c r="G36" s="311"/>
      <c r="H36" s="311"/>
      <c r="I36" s="311"/>
      <c r="J36" s="2030"/>
      <c r="K36" s="3344"/>
      <c r="L36" s="3344"/>
      <c r="M36" s="1266" t="s">
        <v>354</v>
      </c>
      <c r="N36" s="3344"/>
      <c r="O36" s="3344"/>
      <c r="P36" s="2028"/>
      <c r="V36" s="2028"/>
    </row>
    <row r="37" spans="1:26" ht="16.5" customHeight="1" thickBot="1">
      <c r="A37" s="1260" t="s">
        <v>347</v>
      </c>
      <c r="B37" s="307"/>
      <c r="C37" s="294"/>
      <c r="D37" s="294"/>
      <c r="E37" s="295"/>
      <c r="F37" s="311"/>
      <c r="G37" s="311"/>
      <c r="H37" s="311"/>
      <c r="I37" s="311"/>
      <c r="J37" s="2030"/>
      <c r="K37" s="3345"/>
      <c r="L37" s="3345"/>
      <c r="M37" s="1267"/>
      <c r="N37" s="3345"/>
      <c r="O37" s="3345"/>
      <c r="P37" s="2028"/>
      <c r="V37" s="2028"/>
    </row>
    <row r="38" spans="1:26" ht="16.5" customHeight="1" thickBot="1">
      <c r="A38" s="1260" t="s">
        <v>348</v>
      </c>
      <c r="B38" s="307"/>
      <c r="C38" s="294"/>
      <c r="D38" s="294"/>
      <c r="E38" s="295"/>
      <c r="F38" s="311"/>
      <c r="G38" s="311"/>
      <c r="H38" s="311"/>
      <c r="I38" s="311"/>
      <c r="J38" s="2030"/>
      <c r="K38" s="1268">
        <f>'数据-汇总表'!D3</f>
        <v>41299</v>
      </c>
      <c r="L38" s="1269">
        <f>'数据-汇总表'!E3</f>
        <v>61948.5</v>
      </c>
      <c r="M38" s="1269">
        <f ca="1">C34</f>
        <v>5676</v>
      </c>
      <c r="N38" s="1269">
        <f ca="1">C33</f>
        <v>3784</v>
      </c>
      <c r="O38" s="1270">
        <f ca="1">C32</f>
        <v>23440</v>
      </c>
      <c r="P38" s="2028"/>
      <c r="V38" s="2028"/>
    </row>
    <row r="39" spans="1:26" ht="16.5" customHeight="1" thickBot="1">
      <c r="A39" s="1265"/>
      <c r="B39" s="308"/>
      <c r="C39" s="309"/>
      <c r="D39" s="309"/>
      <c r="E39" s="310"/>
      <c r="F39" s="311"/>
      <c r="G39" s="311"/>
      <c r="H39" s="311"/>
      <c r="I39" s="311"/>
      <c r="J39" s="2030"/>
      <c r="K39" s="3388" t="str">
        <f>MID(A44,3,LEN(A44)-2)</f>
        <v>抵押价格</v>
      </c>
      <c r="L39" s="3389"/>
      <c r="M39" s="3389"/>
      <c r="N39" s="3390"/>
      <c r="O39" s="1392">
        <f ca="1">C44</f>
        <v>23440</v>
      </c>
      <c r="P39" s="2028"/>
      <c r="V39" s="2028"/>
    </row>
    <row r="40" spans="1:26" ht="18" thickBot="1">
      <c r="A40" s="104" t="s">
        <v>872</v>
      </c>
      <c r="B40" s="311"/>
      <c r="C40" s="311"/>
      <c r="D40" s="311"/>
      <c r="E40" s="311"/>
      <c r="F40" s="311"/>
      <c r="G40" s="311"/>
      <c r="H40" s="311"/>
      <c r="I40" s="311"/>
      <c r="J40" s="2030"/>
      <c r="K40" s="3388" t="str">
        <f t="shared" ref="K40:K41" si="0">MID(A45,3,LEN(A45)-2)</f>
        <v/>
      </c>
      <c r="L40" s="3389"/>
      <c r="M40" s="3389"/>
      <c r="N40" s="3390"/>
      <c r="O40" s="1392" t="str">
        <f>C45</f>
        <v>——</v>
      </c>
      <c r="P40" s="2028"/>
      <c r="V40" s="2028"/>
    </row>
    <row r="41" spans="1:26" ht="16.2" thickBot="1">
      <c r="A41" s="312" t="s">
        <v>355</v>
      </c>
      <c r="B41" s="313"/>
      <c r="C41" s="314" t="s">
        <v>356</v>
      </c>
      <c r="D41" s="315" t="s">
        <v>357</v>
      </c>
      <c r="E41" s="315" t="s">
        <v>358</v>
      </c>
      <c r="F41" s="316" t="s">
        <v>359</v>
      </c>
      <c r="G41" s="311"/>
      <c r="H41" s="311"/>
      <c r="I41" s="311"/>
      <c r="J41" s="2030"/>
      <c r="K41" s="3388" t="str">
        <f t="shared" si="0"/>
        <v/>
      </c>
      <c r="L41" s="3389"/>
      <c r="M41" s="3389"/>
      <c r="N41" s="3390"/>
      <c r="O41" s="1392" t="str">
        <f>C46</f>
        <v>——</v>
      </c>
      <c r="P41" s="2028"/>
      <c r="V41" s="2028"/>
    </row>
    <row r="42" spans="1:26" ht="31.2">
      <c r="A42" s="3330" t="s">
        <v>2068</v>
      </c>
      <c r="B42" s="3331"/>
      <c r="C42" s="264">
        <f ca="1">C32</f>
        <v>23440</v>
      </c>
      <c r="D42" s="317">
        <f ca="1">C33</f>
        <v>3784</v>
      </c>
      <c r="E42" s="317">
        <f ca="1">C34</f>
        <v>5676</v>
      </c>
      <c r="F42" s="318">
        <f ca="1">C35</f>
        <v>378</v>
      </c>
      <c r="G42" s="311"/>
      <c r="H42" s="311"/>
      <c r="I42" s="319"/>
      <c r="J42" s="2030"/>
      <c r="K42" s="1271" t="s">
        <v>360</v>
      </c>
      <c r="L42" s="2047" t="s">
        <v>361</v>
      </c>
      <c r="M42" s="1272" t="s">
        <v>362</v>
      </c>
      <c r="N42" s="2048" t="s">
        <v>363</v>
      </c>
      <c r="O42" s="2049" t="s">
        <v>364</v>
      </c>
      <c r="P42" s="2028"/>
      <c r="V42" s="2028"/>
    </row>
    <row r="43" spans="1:26" ht="30">
      <c r="A43" s="3341" t="s">
        <v>2727</v>
      </c>
      <c r="B43" s="3342"/>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20573</v>
      </c>
      <c r="M43" s="1275">
        <f>C18</f>
        <v>0.5</v>
      </c>
      <c r="N43" s="1276">
        <f ca="1">IF(N42="测算结果/万元",G19,G20)</f>
        <v>23440</v>
      </c>
      <c r="O43" s="1277">
        <f ca="1">IF(O42="最终结果/万元",C32,C33)</f>
        <v>23440</v>
      </c>
      <c r="P43" s="2028"/>
      <c r="V43" s="2028"/>
    </row>
    <row r="44" spans="1:26" ht="30.6" thickBot="1">
      <c r="A44" s="3330" t="str">
        <f>IF(OR(项目基本情况!E8="抵押价格",项目基本情况!E8="已注销及未注销"),"3.抵押价格","——")</f>
        <v>3.抵押价格</v>
      </c>
      <c r="B44" s="3331"/>
      <c r="C44" s="264">
        <f ca="1">IF(A44="——","——",C42-C43)</f>
        <v>23440</v>
      </c>
      <c r="D44" s="317">
        <f ca="1">ROUND(C44*10000/'数据-汇总表'!E3,0)</f>
        <v>3784</v>
      </c>
      <c r="E44" s="317">
        <f ca="1">ROUND(C44*10000/'数据-汇总表'!D3,0)</f>
        <v>5676</v>
      </c>
      <c r="F44" s="318">
        <f ca="1">ROUND(C44/('数据-汇总表'!D3/666.67),0)</f>
        <v>378</v>
      </c>
      <c r="G44" s="311"/>
      <c r="H44" s="311"/>
      <c r="I44" s="319"/>
      <c r="J44" s="2030"/>
      <c r="K44" s="1278" t="str">
        <f>D4</f>
        <v>剩余法-待开发</v>
      </c>
      <c r="L44" s="1279">
        <f ca="1">IF(L42="估价结果/万元",D19,D20)</f>
        <v>26306</v>
      </c>
      <c r="M44" s="1280">
        <f>D18</f>
        <v>0.5</v>
      </c>
      <c r="N44" s="1281"/>
      <c r="O44" s="1282"/>
      <c r="P44" s="2028"/>
      <c r="V44" s="2028"/>
    </row>
    <row r="45" spans="1:26" ht="13.8">
      <c r="A45" s="3336" t="str">
        <f>IF(项目基本情况!E8="已注销及未注销","4.抵押担保权已注销时的抵押价格",IF(项目基本情况!E8="已注销","3.抵押担保权已注销时的抵押价格","——"))</f>
        <v>——</v>
      </c>
      <c r="B45" s="333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32" t="str">
        <f>IF(项目基本情况!E9="抵押净值",IF(A45="——","4.抵押净值","5.抵押净值"),"——")</f>
        <v>——</v>
      </c>
      <c r="B46" s="333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77" t="s">
        <v>373</v>
      </c>
      <c r="B63" s="3378"/>
      <c r="C63" s="3379"/>
      <c r="D63" s="341">
        <f ca="1">ROUND(C42*F63,0)</f>
        <v>23440</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38" t="s">
        <v>377</v>
      </c>
      <c r="B64" s="3339"/>
      <c r="C64" s="3339"/>
      <c r="D64" s="3339"/>
      <c r="E64" s="3339"/>
      <c r="F64" s="3339"/>
      <c r="G64" s="3340"/>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34" t="s">
        <v>385</v>
      </c>
      <c r="B66" s="3335"/>
      <c r="C66" s="3335"/>
      <c r="D66" s="261">
        <f ca="1">IF(H66="情况1",0,IF(H66="情况2",D70,IF(H66="情况3",D71,IF(H66="情况4",D72))))</f>
        <v>1250</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92" t="s">
        <v>384</v>
      </c>
      <c r="M66" s="3393"/>
      <c r="N66" s="2458"/>
      <c r="O66" s="2459"/>
      <c r="P66" s="2460"/>
      <c r="Q66" s="2028"/>
      <c r="R66" s="2028"/>
      <c r="S66" s="2028"/>
      <c r="T66" s="2028"/>
      <c r="U66" s="2028"/>
      <c r="V66" s="2028"/>
    </row>
    <row r="67" spans="1:22" ht="25.5" customHeight="1">
      <c r="A67" s="352" t="s">
        <v>389</v>
      </c>
      <c r="B67" s="3325" t="s">
        <v>390</v>
      </c>
      <c r="C67" s="3325"/>
      <c r="D67" s="353">
        <v>0</v>
      </c>
      <c r="E67" s="41" t="s">
        <v>391</v>
      </c>
      <c r="F67" s="62" t="s">
        <v>21</v>
      </c>
      <c r="G67" s="3380"/>
      <c r="H67" s="311"/>
      <c r="I67" s="1292"/>
      <c r="J67" s="2035"/>
      <c r="K67" s="1976">
        <v>2</v>
      </c>
      <c r="L67" s="3391" t="s">
        <v>388</v>
      </c>
      <c r="M67" s="3391"/>
      <c r="N67" s="1325">
        <f>'数据-取费表'!B2</f>
        <v>43626</v>
      </c>
      <c r="O67" s="1325"/>
      <c r="P67" s="1325"/>
      <c r="Q67" s="2028"/>
      <c r="R67" s="2028"/>
      <c r="S67" s="2028"/>
      <c r="T67" s="2028"/>
      <c r="U67" s="2028"/>
      <c r="V67" s="2028"/>
    </row>
    <row r="68" spans="1:22" ht="25.5" customHeight="1">
      <c r="A68" s="354"/>
      <c r="B68" s="3325" t="s">
        <v>393</v>
      </c>
      <c r="C68" s="3325"/>
      <c r="D68" s="355"/>
      <c r="E68" s="77"/>
      <c r="F68" s="356"/>
      <c r="G68" s="3381"/>
      <c r="H68" s="311"/>
      <c r="I68" s="1292"/>
      <c r="J68" s="2035"/>
      <c r="K68" s="1976">
        <v>3</v>
      </c>
      <c r="L68" s="3391" t="s">
        <v>392</v>
      </c>
      <c r="M68" s="3391"/>
      <c r="N68" s="1293">
        <f ca="1">C42</f>
        <v>23440</v>
      </c>
      <c r="O68" s="1293"/>
      <c r="P68" s="1293"/>
      <c r="Q68" s="2028"/>
      <c r="R68" s="2028"/>
      <c r="S68" s="2028"/>
      <c r="T68" s="2028"/>
      <c r="U68" s="2028"/>
      <c r="V68" s="2028"/>
    </row>
    <row r="69" spans="1:22" ht="12" customHeight="1">
      <c r="A69" s="357"/>
      <c r="B69" s="3325" t="s">
        <v>394</v>
      </c>
      <c r="C69" s="3325"/>
      <c r="D69" s="358"/>
      <c r="E69" s="73"/>
      <c r="F69" s="356"/>
      <c r="G69" s="3382"/>
      <c r="H69" s="311"/>
      <c r="I69" s="1292"/>
      <c r="J69" s="2035"/>
      <c r="K69" s="1294">
        <v>4</v>
      </c>
      <c r="L69" s="3396" t="s">
        <v>2880</v>
      </c>
      <c r="M69" s="3397"/>
      <c r="N69" s="1295">
        <f ca="1">C44</f>
        <v>23440</v>
      </c>
      <c r="O69" s="1295"/>
      <c r="P69" s="1295"/>
      <c r="Q69" s="2028"/>
      <c r="R69" s="2028"/>
      <c r="S69" s="2028"/>
      <c r="T69" s="2028"/>
      <c r="U69" s="2028"/>
      <c r="V69" s="2028"/>
    </row>
    <row r="70" spans="1:22" ht="24" customHeight="1">
      <c r="A70" s="359" t="s">
        <v>395</v>
      </c>
      <c r="B70" s="3325" t="s">
        <v>396</v>
      </c>
      <c r="C70" s="3325"/>
      <c r="D70" s="358">
        <f ca="1">ROUND(D63*'数据-取费表'!B41/(1+'数据-取费表'!C42),0)</f>
        <v>1250</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26" t="s">
        <v>404</v>
      </c>
      <c r="C71" s="3327"/>
      <c r="D71" s="358">
        <f ca="1">ROUND(D63*'数据-取费表'!B41/(1+'数据-取费表'!C42),0)</f>
        <v>1250</v>
      </c>
      <c r="E71" s="17" t="s">
        <v>397</v>
      </c>
      <c r="F71" s="360">
        <f>'数据-取费表'!B41</f>
        <v>5.6000000000000001E-2</v>
      </c>
      <c r="G71" s="361"/>
      <c r="H71" s="311"/>
      <c r="I71" s="1292"/>
      <c r="J71" s="2035"/>
      <c r="K71" s="3059" t="s">
        <v>398</v>
      </c>
      <c r="L71" s="3398" t="s">
        <v>399</v>
      </c>
      <c r="M71" s="3398"/>
      <c r="N71" s="3059" t="s">
        <v>400</v>
      </c>
      <c r="O71" s="3059" t="s">
        <v>401</v>
      </c>
      <c r="P71" s="3059" t="s">
        <v>402</v>
      </c>
      <c r="Q71" s="2028"/>
      <c r="R71" s="2028"/>
      <c r="S71" s="2028"/>
      <c r="T71" s="2028"/>
      <c r="U71" s="2028"/>
      <c r="V71" s="2028"/>
    </row>
    <row r="72" spans="1:22" ht="12" customHeight="1">
      <c r="A72" s="359" t="s">
        <v>406</v>
      </c>
      <c r="B72" s="3326" t="s">
        <v>407</v>
      </c>
      <c r="C72" s="3327"/>
      <c r="D72" s="358">
        <f ca="1">C86</f>
        <v>1138</v>
      </c>
      <c r="E72" s="73" t="s">
        <v>408</v>
      </c>
      <c r="F72" s="360">
        <f>'数据-取费表'!B41</f>
        <v>5.6000000000000001E-2</v>
      </c>
      <c r="G72" s="361"/>
      <c r="H72" s="1298"/>
      <c r="I72" s="1292"/>
      <c r="J72" s="2035"/>
      <c r="K72" s="1976">
        <v>1</v>
      </c>
      <c r="L72" s="3373" t="s">
        <v>405</v>
      </c>
      <c r="M72" s="3373"/>
      <c r="N72" s="1296">
        <f ca="1">D66</f>
        <v>1250</v>
      </c>
      <c r="O72" s="1859" t="str">
        <f>E66</f>
        <v>销售额×税（费）率</v>
      </c>
      <c r="P72" s="1297">
        <f>F66</f>
        <v>5.6000000000000001E-2</v>
      </c>
      <c r="Q72" s="2028"/>
      <c r="R72" s="2028"/>
      <c r="S72" s="2028"/>
      <c r="T72" s="2028"/>
      <c r="U72" s="2028"/>
      <c r="V72" s="2028"/>
    </row>
    <row r="73" spans="1:22" ht="24" customHeight="1">
      <c r="A73" s="3367" t="s">
        <v>410</v>
      </c>
      <c r="B73" s="3335"/>
      <c r="C73" s="3335"/>
      <c r="D73" s="362">
        <f ca="1">IF(H73="个人住宅",0,ROUND(D63*I73,0))</f>
        <v>12</v>
      </c>
      <c r="E73" s="17" t="s">
        <v>411</v>
      </c>
      <c r="F73" s="360">
        <f>IF(H73="正常",I73,"免征")</f>
        <v>5.0000000000000001E-4</v>
      </c>
      <c r="G73" s="361"/>
      <c r="H73" s="191" t="s">
        <v>3008</v>
      </c>
      <c r="I73" s="360">
        <f>'数据-取费表'!B49</f>
        <v>5.0000000000000001E-4</v>
      </c>
      <c r="J73" s="2035"/>
      <c r="K73" s="1976">
        <v>2</v>
      </c>
      <c r="L73" s="3373" t="s">
        <v>409</v>
      </c>
      <c r="M73" s="3373"/>
      <c r="N73" s="1296">
        <f t="shared" ref="N73:P74" ca="1" si="1">D73</f>
        <v>12</v>
      </c>
      <c r="O73" s="1859" t="str">
        <f t="shared" si="1"/>
        <v>销售额×税（费）率</v>
      </c>
      <c r="P73" s="1297">
        <f t="shared" si="1"/>
        <v>5.0000000000000001E-4</v>
      </c>
      <c r="Q73" s="2028"/>
      <c r="R73" s="2028"/>
      <c r="S73" s="2028"/>
      <c r="T73" s="2028"/>
      <c r="U73" s="2028"/>
      <c r="V73" s="2028"/>
    </row>
    <row r="74" spans="1:22" ht="25.2">
      <c r="A74" s="3367" t="s">
        <v>414</v>
      </c>
      <c r="B74" s="3335"/>
      <c r="C74" s="3335"/>
      <c r="D74" s="362">
        <f ca="1">IF(H74="个人住宅",D75,D76)</f>
        <v>0</v>
      </c>
      <c r="E74" s="17" t="s">
        <v>415</v>
      </c>
      <c r="F74" s="360" t="str">
        <f>IF(H74="正常",F76,"免征")</f>
        <v>——</v>
      </c>
      <c r="G74" s="983" t="s">
        <v>416</v>
      </c>
      <c r="H74" s="363" t="s">
        <v>412</v>
      </c>
      <c r="I74" s="42"/>
      <c r="J74" s="2035"/>
      <c r="K74" s="1976">
        <v>3</v>
      </c>
      <c r="L74" s="3373" t="s">
        <v>413</v>
      </c>
      <c r="M74" s="3373"/>
      <c r="N74" s="1296">
        <f t="shared" ca="1" si="1"/>
        <v>0</v>
      </c>
      <c r="O74" s="1859" t="str">
        <f t="shared" si="1"/>
        <v>增值额×税（费）率</v>
      </c>
      <c r="P74" s="1299" t="str">
        <f t="shared" si="1"/>
        <v>——</v>
      </c>
      <c r="Q74" s="2028"/>
      <c r="R74" s="2028"/>
      <c r="S74" s="2028"/>
      <c r="T74" s="2028"/>
      <c r="U74" s="2028"/>
      <c r="V74" s="2028"/>
    </row>
    <row r="75" spans="1:22" ht="13.2">
      <c r="A75" s="359" t="s">
        <v>417</v>
      </c>
      <c r="B75" s="3323" t="s">
        <v>418</v>
      </c>
      <c r="C75" s="3353"/>
      <c r="D75" s="364">
        <v>0</v>
      </c>
      <c r="E75" s="41" t="s">
        <v>419</v>
      </c>
      <c r="F75" s="365"/>
      <c r="G75" s="361"/>
      <c r="H75" s="42"/>
      <c r="I75" s="42"/>
      <c r="J75" s="2035"/>
      <c r="K75" s="3052" t="str">
        <f>IF(H77="非个人房产","",4)</f>
        <v/>
      </c>
      <c r="L75" s="3373" t="str">
        <f>IF(H77="非个人房产","——","个人所得税")</f>
        <v>——</v>
      </c>
      <c r="M75" s="3373"/>
      <c r="N75" s="1300" t="str">
        <f>D77</f>
        <v>——</v>
      </c>
      <c r="O75" s="1872" t="str">
        <f>E77</f>
        <v>——</v>
      </c>
      <c r="P75" s="1301" t="str">
        <f>F77</f>
        <v>——</v>
      </c>
      <c r="Q75" s="2028"/>
      <c r="R75" s="2028"/>
      <c r="S75" s="2028"/>
      <c r="T75" s="2028"/>
      <c r="U75" s="2028"/>
      <c r="V75" s="2028"/>
    </row>
    <row r="76" spans="1:22" ht="25.2">
      <c r="A76" s="359" t="s">
        <v>395</v>
      </c>
      <c r="B76" s="3323" t="s">
        <v>421</v>
      </c>
      <c r="C76" s="3324"/>
      <c r="D76" s="362">
        <f ca="1">IF(H76="转让取得",C99,C115)</f>
        <v>0</v>
      </c>
      <c r="E76" s="17" t="s">
        <v>422</v>
      </c>
      <c r="F76" s="53" t="s">
        <v>21</v>
      </c>
      <c r="G76" s="361"/>
      <c r="H76" s="363" t="s">
        <v>423</v>
      </c>
      <c r="I76" s="42"/>
      <c r="J76" s="2035"/>
      <c r="K76" s="3052" t="str">
        <f>IF(项目基本情况!K6="上海银行",IF(K75="",4,K75+1),"")</f>
        <v/>
      </c>
      <c r="L76" s="3384" t="str">
        <f>IF(项目基本情况!K6="上海银行","其他处置费用","")</f>
        <v/>
      </c>
      <c r="M76" s="3385"/>
      <c r="N76" s="1296" t="str">
        <f>IF(项目基本情况!K6="上海银行",N89,"")</f>
        <v/>
      </c>
      <c r="O76" s="3386" t="str">
        <f>IF(项目基本情况!K6="上海银行","包含处置中涉及的律师、诉讼、拍卖、评估等费用","")</f>
        <v/>
      </c>
      <c r="P76" s="3387"/>
      <c r="Q76" s="2028"/>
      <c r="R76" s="2028"/>
      <c r="S76" s="2028"/>
      <c r="T76" s="2028"/>
      <c r="U76" s="2028"/>
      <c r="V76" s="2028"/>
    </row>
    <row r="77" spans="1:22" ht="24.6" thickBot="1">
      <c r="A77" s="3375" t="s">
        <v>425</v>
      </c>
      <c r="B77" s="3376"/>
      <c r="C77" s="3376"/>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374">
        <f>IF(AND(K75="",K76=""),4,IF(项目基本情况!K6="上海银行",K76+1,K75+1))</f>
        <v>4</v>
      </c>
      <c r="L77" s="3373" t="s">
        <v>2881</v>
      </c>
      <c r="M77" s="3058" t="s">
        <v>420</v>
      </c>
      <c r="N77" s="1302"/>
      <c r="O77" s="1303">
        <f ca="1">SUMIF(N72:N76,"&lt;9e307")</f>
        <v>1262</v>
      </c>
      <c r="P77" s="1304"/>
      <c r="Q77" s="3056">
        <f ca="1">O77/N69</f>
        <v>5.3839590443686004E-2</v>
      </c>
      <c r="R77" s="2028"/>
      <c r="S77" s="2028"/>
      <c r="T77" s="2028"/>
      <c r="U77" s="2028"/>
      <c r="V77" s="2028"/>
    </row>
    <row r="78" spans="1:22" ht="12" customHeight="1">
      <c r="A78" s="1305"/>
      <c r="B78" s="311"/>
      <c r="C78" s="311"/>
      <c r="D78" s="311"/>
      <c r="E78" s="42"/>
      <c r="F78" s="42"/>
      <c r="G78" s="42"/>
      <c r="H78" s="1003"/>
      <c r="I78" s="311"/>
      <c r="J78" s="2035"/>
      <c r="K78" s="3374"/>
      <c r="L78" s="3373"/>
      <c r="M78" s="3058" t="s">
        <v>424</v>
      </c>
      <c r="N78" s="1302"/>
      <c r="O78" s="1303" t="str">
        <f ca="1">NUMBERSTRING(INT(O77*10000),2)&amp;"元整"</f>
        <v>壹仟贰佰陆拾贰万元整</v>
      </c>
      <c r="P78" s="1304"/>
      <c r="Q78" s="2028"/>
      <c r="R78" s="2028"/>
      <c r="S78" s="2028"/>
      <c r="T78" s="2028"/>
      <c r="U78" s="2028"/>
      <c r="V78" s="2028"/>
    </row>
    <row r="79" spans="1:22" ht="13.8" thickBot="1">
      <c r="A79" s="3368" t="s">
        <v>426</v>
      </c>
      <c r="B79" s="3368"/>
      <c r="C79" s="3368"/>
      <c r="D79" s="3368"/>
      <c r="E79" s="3368"/>
      <c r="F79" s="42"/>
      <c r="G79" s="42"/>
      <c r="H79" s="1003"/>
      <c r="I79" s="311"/>
      <c r="J79" s="2035"/>
      <c r="K79" s="3394">
        <f>K77+1</f>
        <v>5</v>
      </c>
      <c r="L79" s="3373" t="s">
        <v>2882</v>
      </c>
      <c r="M79" s="3058" t="s">
        <v>420</v>
      </c>
      <c r="N79" s="1302"/>
      <c r="O79" s="1303">
        <f ca="1">N69-O77</f>
        <v>22178</v>
      </c>
      <c r="P79" s="1304"/>
      <c r="Q79" s="2028"/>
      <c r="R79" s="2028"/>
      <c r="S79" s="2028"/>
      <c r="T79" s="2028"/>
      <c r="U79" s="2028"/>
      <c r="V79" s="2028"/>
    </row>
    <row r="80" spans="1:22" ht="26.4">
      <c r="A80" s="3363" t="s">
        <v>427</v>
      </c>
      <c r="B80" s="3364"/>
      <c r="C80" s="994"/>
      <c r="D80" s="994" t="s">
        <v>428</v>
      </c>
      <c r="E80" s="370" t="s">
        <v>429</v>
      </c>
      <c r="F80" s="42"/>
      <c r="G80" s="42"/>
      <c r="H80" s="1003"/>
      <c r="I80" s="311"/>
      <c r="J80" s="2028"/>
      <c r="K80" s="3395"/>
      <c r="L80" s="3373"/>
      <c r="M80" s="3058" t="s">
        <v>424</v>
      </c>
      <c r="N80" s="1302"/>
      <c r="O80" s="1303" t="str">
        <f ca="1">NUMBERSTRING(INT(O79*10000),2)&amp;"元整"</f>
        <v>贰亿贰仟壹佰柒拾捌万元整</v>
      </c>
      <c r="P80" s="1304"/>
      <c r="Q80" s="2028"/>
      <c r="R80" s="2028"/>
      <c r="S80" s="2028"/>
      <c r="T80" s="2028"/>
      <c r="U80" s="2028"/>
      <c r="V80" s="2028"/>
    </row>
    <row r="81" spans="1:26" ht="13.8" thickBot="1">
      <c r="A81" s="381" t="s">
        <v>1822</v>
      </c>
      <c r="B81" s="371" t="s">
        <v>430</v>
      </c>
      <c r="C81" s="372">
        <f ca="1">ROUND((C82+C83)/(1+'数据-取费表'!C42),0)</f>
        <v>22324</v>
      </c>
      <c r="D81" s="373"/>
      <c r="E81" s="374"/>
      <c r="F81" s="42"/>
      <c r="G81" s="42"/>
      <c r="H81" s="1003"/>
      <c r="I81" s="311"/>
      <c r="J81" s="2028"/>
      <c r="K81" s="3052">
        <f>K79+1</f>
        <v>6</v>
      </c>
      <c r="L81" s="3371" t="s">
        <v>2883</v>
      </c>
      <c r="M81" s="3372"/>
      <c r="N81" s="1306"/>
      <c r="O81" s="1307">
        <f ca="1">ROUND(O79*10000/'数据-汇总表'!E3,0)</f>
        <v>3580</v>
      </c>
      <c r="P81" s="1308"/>
      <c r="Q81" s="2028"/>
      <c r="R81" s="2028"/>
      <c r="S81" s="2028"/>
      <c r="T81" s="2028"/>
      <c r="U81" s="2028"/>
      <c r="V81" s="2028"/>
    </row>
    <row r="82" spans="1:26" ht="13.8" thickTop="1">
      <c r="A82" s="375" t="s">
        <v>1823</v>
      </c>
      <c r="B82" s="376" t="s">
        <v>431</v>
      </c>
      <c r="C82" s="377">
        <f ca="1">D63</f>
        <v>23440</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383" t="s">
        <v>2871</v>
      </c>
      <c r="L83" s="3064" t="s">
        <v>2872</v>
      </c>
      <c r="M83" s="3054">
        <f ca="1">IF(N69&gt;10000,N69*0.5%,IF(AND(N69&gt;1000,N69&lt;=10000),N69*1%,IF(AND(N69&gt;100,N69&lt;=1000),N69*3%,IF(AND(N69&gt;10,N69&lt;=100),N69*5%,N69*8%))))</f>
        <v>117.2</v>
      </c>
      <c r="N83" s="53">
        <f ca="1">ROUND(M83,1)</f>
        <v>117.2</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383"/>
      <c r="L84" s="3064" t="s">
        <v>2873</v>
      </c>
      <c r="M84" s="3054">
        <f ca="1">IF(N69&gt;2000,N69*0.5%,IF(AND(N69&gt;1000,N69&lt;=2000),N69*0.6%,IF(AND(N69&gt;500,N69&lt;=1000),N69*0.7%,IF(AND(N69&gt;200,N69&lt;=500),N69*0.8%,IF(AND(N69&gt;100,N69&lt;=200),N69*0.9%,IF(AND(N69&gt;50,N69&lt;=100),N69*1%,IF(AND(N69&gt;20,N69&lt;=50),N69*1.5%,IF(AND(N69&gt;10,N69&lt;=20),N69*2%,IF(AND(N69&gt;1,N69&lt;=10),N69*2.5%)))))))))</f>
        <v>117.2</v>
      </c>
      <c r="N84" s="53">
        <f t="shared" ref="N84:N85" ca="1" si="2">ROUND(M84,1)</f>
        <v>117.2</v>
      </c>
      <c r="O84" s="2028" t="s">
        <v>2874</v>
      </c>
      <c r="P84" s="2028"/>
      <c r="Q84" s="2028"/>
      <c r="R84" s="2028"/>
      <c r="S84" s="2028"/>
      <c r="T84" s="2028"/>
      <c r="U84" s="2028"/>
      <c r="V84" s="2028"/>
    </row>
    <row r="85" spans="1:26" ht="13.2">
      <c r="A85" s="381" t="s">
        <v>1826</v>
      </c>
      <c r="B85" s="382" t="s">
        <v>434</v>
      </c>
      <c r="C85" s="385">
        <f ca="1">C81-C84</f>
        <v>20324</v>
      </c>
      <c r="D85" s="378" t="s">
        <v>19</v>
      </c>
      <c r="E85" s="379"/>
      <c r="F85" s="42"/>
      <c r="G85" s="42"/>
      <c r="H85" s="1003"/>
      <c r="I85" s="311"/>
      <c r="J85" s="2028"/>
      <c r="K85" s="3383"/>
      <c r="L85" s="3064" t="s">
        <v>2875</v>
      </c>
      <c r="M85" s="3054">
        <f ca="1">IF(N69&gt;1000,N69*0.1%,IF(AND(N69&gt;500,N69&lt;=1000),N69*0.5%,IF(AND(N69&gt;50,N69&lt;=500),N69*1%,IF(AND(N69&gt;1,N69&lt;=50),N69*1.5%))))</f>
        <v>23.44</v>
      </c>
      <c r="N85" s="53">
        <f t="shared" ca="1" si="2"/>
        <v>23.4</v>
      </c>
      <c r="O85" s="2028" t="s">
        <v>2874</v>
      </c>
      <c r="P85" s="2028"/>
      <c r="Q85" s="2028"/>
      <c r="R85" s="2028"/>
      <c r="S85" s="2028"/>
      <c r="T85" s="2028"/>
      <c r="U85" s="2028"/>
      <c r="V85" s="2028"/>
    </row>
    <row r="86" spans="1:26" ht="13.8" thickBot="1">
      <c r="A86" s="386" t="s">
        <v>1827</v>
      </c>
      <c r="B86" s="387" t="s">
        <v>435</v>
      </c>
      <c r="C86" s="388">
        <f ca="1">IF(C85&lt;=0,0,ROUND(C85*D86,0))</f>
        <v>1138</v>
      </c>
      <c r="D86" s="389">
        <f>'数据-取费表'!B41</f>
        <v>5.6000000000000001E-2</v>
      </c>
      <c r="E86" s="390"/>
      <c r="F86" s="42"/>
      <c r="G86" s="42"/>
      <c r="H86" s="1003"/>
      <c r="I86" s="311"/>
      <c r="J86" s="2028"/>
      <c r="K86" s="3383"/>
      <c r="L86" s="3064" t="s">
        <v>2876</v>
      </c>
      <c r="M86" s="3054">
        <f ca="1">N69*0.5%</f>
        <v>117.2</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83"/>
      <c r="L87" s="3064" t="s">
        <v>2878</v>
      </c>
      <c r="M87" s="3054">
        <f ca="1">IF(N69&gt;=10000,(8.25+(N69-10000)*0.01%),IF(AND(N69&gt;=8000,N69&lt;10000),(7.85+(N69-8000)*0.02%),IF(AND(N69&gt;=5000,N69&lt;8000),(6.65+(N69-5000)*0.04%),IF(AND(N69&gt;=2000,N69&lt;5000),(4.25+(PN69-2000)*0.08%),IF(AND(N69&gt;=1000,N69&lt;2000),(2.75+(N69-1000)*0.15%),IF(AND(N69&gt;=100,N69&lt;1000),(0.5+(N69-100)*0.25%),IF(AND(N69&gt;0,N69&lt;100),N69*0.5%)))))))</f>
        <v>9.5939999999999994</v>
      </c>
      <c r="N87" s="53">
        <f ca="1">ROUND(M87*0.9,1)</f>
        <v>8.6</v>
      </c>
      <c r="O87" s="3057"/>
      <c r="P87" s="311"/>
      <c r="Q87" s="2028"/>
      <c r="R87" s="2028"/>
      <c r="S87" s="2028"/>
      <c r="T87" s="2028"/>
      <c r="U87" s="2028"/>
      <c r="V87" s="2028"/>
      <c r="W87" s="292"/>
      <c r="X87" s="292"/>
      <c r="Y87" s="292"/>
      <c r="Z87" s="292"/>
    </row>
    <row r="88" spans="1:26" s="1314" customFormat="1" ht="14.4" thickBot="1">
      <c r="A88" s="3365" t="s">
        <v>436</v>
      </c>
      <c r="B88" s="3366"/>
      <c r="C88" s="3366"/>
      <c r="D88" s="3366"/>
      <c r="E88" s="3366"/>
      <c r="F88" s="3366"/>
      <c r="G88" s="3366"/>
      <c r="H88" s="3366"/>
      <c r="I88" s="1315"/>
      <c r="J88" s="2036"/>
      <c r="K88" s="3383"/>
      <c r="L88" s="3064" t="s">
        <v>2879</v>
      </c>
      <c r="M88" s="3054">
        <f ca="1">IF(N69&gt;10000,N69*0.5%,IF(AND(N69&gt;5000,N69&lt;=10000),N69*1%,IF(AND(N69&gt;1000,N69&lt;=5000),N69*2%,IF(AND(N69&gt;200,N69&lt;=1000),N69*3%,N69*5%))))</f>
        <v>117.2</v>
      </c>
      <c r="N88" s="53">
        <f ca="1">ROUND(M88,1)</f>
        <v>117.2</v>
      </c>
      <c r="O88" s="3057"/>
      <c r="P88" s="11"/>
      <c r="Q88" s="2033"/>
      <c r="R88" s="2033"/>
      <c r="S88" s="2033"/>
      <c r="T88" s="2033"/>
      <c r="U88" s="2033"/>
      <c r="V88" s="2033"/>
      <c r="W88" s="2037"/>
      <c r="X88" s="2037"/>
      <c r="Y88" s="2037"/>
      <c r="Z88" s="2037"/>
    </row>
    <row r="89" spans="1:26" s="1314" customFormat="1" ht="13.8">
      <c r="A89" s="3363" t="s">
        <v>427</v>
      </c>
      <c r="B89" s="3364"/>
      <c r="C89" s="994"/>
      <c r="D89" s="994" t="s">
        <v>428</v>
      </c>
      <c r="E89" s="391" t="s">
        <v>437</v>
      </c>
      <c r="F89" s="392"/>
      <c r="G89" s="392"/>
      <c r="H89" s="393"/>
      <c r="I89" s="1316"/>
      <c r="J89" s="2038"/>
      <c r="K89" s="3383"/>
      <c r="L89" s="3064" t="s">
        <v>27</v>
      </c>
      <c r="M89" s="3055"/>
      <c r="N89" s="53">
        <f ca="1">ROUND(SUM(N83:N88),0)</f>
        <v>384</v>
      </c>
      <c r="O89" s="3065">
        <f ca="1">N89/N69</f>
        <v>1.6382252559726963E-2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22324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2695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26" t="s">
        <v>446</v>
      </c>
      <c r="F94" s="3325"/>
      <c r="G94" s="3325"/>
      <c r="H94" s="336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134</v>
      </c>
      <c r="D96" s="406">
        <f>'数据-取费表'!B43</f>
        <v>6.000000000000001E-3</v>
      </c>
      <c r="E96" s="3354" t="s">
        <v>2428</v>
      </c>
      <c r="F96" s="3355"/>
      <c r="G96" s="3355"/>
      <c r="H96" s="335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19629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7.2834879406307982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10834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365" t="s">
        <v>453</v>
      </c>
      <c r="B101" s="3366"/>
      <c r="C101" s="3366"/>
      <c r="D101" s="3366"/>
      <c r="E101" s="3366"/>
      <c r="F101" s="3366"/>
      <c r="G101" s="3366"/>
      <c r="H101" s="336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63" t="s">
        <v>427</v>
      </c>
      <c r="B102" s="3364"/>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22324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45484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357" t="s">
        <v>461</v>
      </c>
      <c r="F109" s="3355"/>
      <c r="G109" s="3355"/>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357" t="s">
        <v>463</v>
      </c>
      <c r="F110" s="3355"/>
      <c r="G110" s="3355"/>
      <c r="H110" s="335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134</v>
      </c>
      <c r="D111" s="406">
        <f>'数据-取费表'!B43</f>
        <v>6.000000000000001E-3</v>
      </c>
      <c r="E111" s="3354" t="s">
        <v>2428</v>
      </c>
      <c r="F111" s="3355"/>
      <c r="G111" s="3355"/>
      <c r="H111" s="335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357" t="s">
        <v>2452</v>
      </c>
      <c r="F112" s="3355"/>
      <c r="G112" s="3355"/>
      <c r="H112" s="335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-23160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1" zoomScale="55" zoomScaleNormal="95" zoomScaleSheetLayoutView="55" workbookViewId="0">
      <selection activeCell="G27" sqref="G27"/>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20573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3321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4981</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332</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08" t="s">
        <v>521</v>
      </c>
      <c r="D6" s="3409"/>
      <c r="E6" s="3408" t="s">
        <v>522</v>
      </c>
      <c r="F6" s="3409"/>
      <c r="G6" s="3408" t="s">
        <v>523</v>
      </c>
      <c r="H6" s="3409"/>
      <c r="I6" s="3408" t="s">
        <v>524</v>
      </c>
      <c r="J6" s="3409"/>
      <c r="K6" s="514" t="s">
        <v>525</v>
      </c>
      <c r="L6" s="2133"/>
      <c r="M6" s="2132"/>
      <c r="N6" s="2132"/>
      <c r="O6" s="2134"/>
      <c r="P6" s="3410" t="s">
        <v>526</v>
      </c>
      <c r="Q6" s="3411"/>
      <c r="R6" s="3416" t="s">
        <v>522</v>
      </c>
      <c r="S6" s="3417"/>
      <c r="T6" s="3416" t="s">
        <v>523</v>
      </c>
      <c r="U6" s="3417"/>
      <c r="V6" s="3403" t="s">
        <v>524</v>
      </c>
      <c r="W6" s="3403"/>
      <c r="X6" s="1566"/>
      <c r="Y6" s="3416" t="s">
        <v>526</v>
      </c>
      <c r="Z6" s="3417"/>
      <c r="AA6" s="3405" t="s">
        <v>522</v>
      </c>
      <c r="AB6" s="3406" t="s">
        <v>523</v>
      </c>
      <c r="AC6" s="3405" t="s">
        <v>524</v>
      </c>
    </row>
    <row r="7" spans="1:30" ht="67.2" customHeight="1">
      <c r="A7" s="515"/>
      <c r="B7" s="516"/>
      <c r="C7" s="3426" t="s">
        <v>3154</v>
      </c>
      <c r="D7" s="3425"/>
      <c r="E7" s="3424" t="str">
        <f>土地案例!A19</f>
        <v>两江新区龙兴组团H分区H13-1/01、H16-1/01、H17-1/01、H17-2/01、H19-1/01、H26-1/01号宗地</v>
      </c>
      <c r="F7" s="3425"/>
      <c r="G7" s="3424" t="str">
        <f>土地案例!A20</f>
        <v>两江新区龙兴组团H分区H23-1/01、H18-2/01、H20-1/01、H21-1/01、H26-2/01、H26-3/01、H26-4/01、H28-3/01、H29-1/01号宗地</v>
      </c>
      <c r="H7" s="3425"/>
      <c r="I7" s="3424" t="str">
        <f>土地案例!A25</f>
        <v>两江新区龙兴组团K、H分区K27-1/01、K29-1/01、*K30-3/01、K31-1/01、K31-8/01、K33-2/01、H25-2/01号宗地</v>
      </c>
      <c r="J7" s="3425"/>
      <c r="K7" s="514"/>
      <c r="L7" s="2133"/>
      <c r="M7" s="2132"/>
      <c r="N7" s="2132"/>
      <c r="O7" s="2134"/>
      <c r="P7" s="3412"/>
      <c r="Q7" s="3413"/>
      <c r="R7" s="3418"/>
      <c r="S7" s="3419"/>
      <c r="T7" s="3418"/>
      <c r="U7" s="3419"/>
      <c r="V7" s="3403"/>
      <c r="W7" s="3403"/>
      <c r="X7" s="1566"/>
      <c r="Y7" s="3418"/>
      <c r="Z7" s="3419"/>
      <c r="AA7" s="3406"/>
      <c r="AB7" s="3406"/>
      <c r="AC7" s="3406"/>
    </row>
    <row r="8" spans="1:30" ht="21.6" thickBot="1">
      <c r="A8" s="515"/>
      <c r="B8" s="516"/>
      <c r="C8" s="3427" t="s">
        <v>3155</v>
      </c>
      <c r="D8" s="3428"/>
      <c r="E8" s="3429" t="str">
        <f>C8</f>
        <v>重庆两江新区</v>
      </c>
      <c r="F8" s="3428"/>
      <c r="G8" s="3422" t="str">
        <f>E8</f>
        <v>重庆两江新区</v>
      </c>
      <c r="H8" s="3423"/>
      <c r="I8" s="3422" t="str">
        <f>E8</f>
        <v>重庆两江新区</v>
      </c>
      <c r="J8" s="3423"/>
      <c r="K8" s="514" t="s">
        <v>527</v>
      </c>
      <c r="L8" s="2133"/>
      <c r="M8" s="2132"/>
      <c r="N8" s="2132"/>
      <c r="O8" s="2134"/>
      <c r="P8" s="3414"/>
      <c r="Q8" s="3415"/>
      <c r="R8" s="3418"/>
      <c r="S8" s="3419"/>
      <c r="T8" s="3420"/>
      <c r="U8" s="3421"/>
      <c r="V8" s="3403"/>
      <c r="W8" s="3403"/>
      <c r="X8" s="1566"/>
      <c r="Y8" s="3420"/>
      <c r="Z8" s="3421"/>
      <c r="AA8" s="3407"/>
      <c r="AB8" s="3407"/>
      <c r="AC8" s="3407"/>
    </row>
    <row r="9" spans="1:30" s="1220" customFormat="1" ht="21.6"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35" t="s">
        <v>529</v>
      </c>
      <c r="Q9" s="3437"/>
      <c r="R9" s="1567" t="s">
        <v>8</v>
      </c>
      <c r="S9" s="1568">
        <f t="shared" ref="S9:S17" si="0">F9</f>
        <v>95</v>
      </c>
      <c r="T9" s="1567" t="s">
        <v>8</v>
      </c>
      <c r="U9" s="1568">
        <f t="shared" ref="U9:U17" si="1">H9</f>
        <v>95</v>
      </c>
      <c r="V9" s="1567" t="s">
        <v>8</v>
      </c>
      <c r="W9" s="1568">
        <f t="shared" ref="W9:W17" si="2">J9</f>
        <v>95</v>
      </c>
      <c r="X9" s="1569"/>
      <c r="Y9" s="3435" t="s">
        <v>529</v>
      </c>
      <c r="Z9" s="3436"/>
      <c r="AA9" s="1570">
        <f>D9/F9</f>
        <v>1.0526315789473684</v>
      </c>
      <c r="AB9" s="1570">
        <f>D9/H9</f>
        <v>1.0526315789473684</v>
      </c>
      <c r="AC9" s="1570">
        <f>D9/J9</f>
        <v>1.0526315789473684</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35" t="s">
        <v>532</v>
      </c>
      <c r="Q10" s="3436"/>
      <c r="R10" s="1567" t="s">
        <v>8</v>
      </c>
      <c r="S10" s="1568">
        <f t="shared" si="0"/>
        <v>100</v>
      </c>
      <c r="T10" s="1567" t="s">
        <v>8</v>
      </c>
      <c r="U10" s="1568">
        <f t="shared" si="1"/>
        <v>100</v>
      </c>
      <c r="V10" s="1567" t="s">
        <v>8</v>
      </c>
      <c r="W10" s="1568">
        <f t="shared" si="2"/>
        <v>100</v>
      </c>
      <c r="X10" s="1569"/>
      <c r="Y10" s="3435" t="s">
        <v>532</v>
      </c>
      <c r="Z10" s="3436"/>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02" t="s">
        <v>534</v>
      </c>
      <c r="Q11" s="1151" t="str">
        <f t="shared" ref="Q11:Q17" si="6">B11</f>
        <v>用途</v>
      </c>
      <c r="R11" s="1567" t="s">
        <v>8</v>
      </c>
      <c r="S11" s="1568">
        <f t="shared" si="0"/>
        <v>100</v>
      </c>
      <c r="T11" s="1567" t="s">
        <v>8</v>
      </c>
      <c r="U11" s="1568">
        <f t="shared" si="1"/>
        <v>100</v>
      </c>
      <c r="V11" s="1567" t="s">
        <v>8</v>
      </c>
      <c r="W11" s="1568">
        <f t="shared" si="2"/>
        <v>100</v>
      </c>
      <c r="X11" s="1569"/>
      <c r="Y11" s="3348"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402"/>
      <c r="Q12" s="1151" t="str">
        <f t="shared" si="6"/>
        <v>土地使用年限（年）</v>
      </c>
      <c r="R12" s="1567" t="s">
        <v>8</v>
      </c>
      <c r="S12" s="1568">
        <f t="shared" si="0"/>
        <v>103</v>
      </c>
      <c r="T12" s="1567" t="s">
        <v>8</v>
      </c>
      <c r="U12" s="1568">
        <f t="shared" si="1"/>
        <v>103</v>
      </c>
      <c r="V12" s="1567" t="s">
        <v>8</v>
      </c>
      <c r="W12" s="1568">
        <f t="shared" si="2"/>
        <v>103</v>
      </c>
      <c r="X12" s="1569"/>
      <c r="Y12" s="3348"/>
      <c r="Z12" s="1150" t="str">
        <f t="shared" si="7"/>
        <v>土地使用年限（年）</v>
      </c>
      <c r="AA12" s="1570">
        <f t="shared" si="3"/>
        <v>0.970873786407767</v>
      </c>
      <c r="AB12" s="1570">
        <f t="shared" si="4"/>
        <v>0.970873786407767</v>
      </c>
      <c r="AC12" s="1570">
        <f t="shared" si="5"/>
        <v>0.970873786407767</v>
      </c>
    </row>
    <row r="13" spans="1:30" ht="21">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02"/>
      <c r="Q13" s="1151" t="str">
        <f t="shared" si="6"/>
        <v>容积率</v>
      </c>
      <c r="R13" s="1567" t="s">
        <v>8</v>
      </c>
      <c r="S13" s="1568">
        <f t="shared" si="0"/>
        <v>100</v>
      </c>
      <c r="T13" s="1567" t="s">
        <v>8</v>
      </c>
      <c r="U13" s="1568">
        <f t="shared" si="1"/>
        <v>101</v>
      </c>
      <c r="V13" s="1567" t="s">
        <v>8</v>
      </c>
      <c r="W13" s="1568">
        <f t="shared" si="2"/>
        <v>100</v>
      </c>
      <c r="X13" s="1569"/>
      <c r="Y13" s="3348"/>
      <c r="Z13" s="1150" t="str">
        <f t="shared" si="7"/>
        <v>容积率</v>
      </c>
      <c r="AA13" s="1570">
        <f t="shared" si="3"/>
        <v>1</v>
      </c>
      <c r="AB13" s="1570">
        <f t="shared" si="4"/>
        <v>0.99009900990099009</v>
      </c>
      <c r="AC13" s="1570">
        <f t="shared" si="5"/>
        <v>1</v>
      </c>
    </row>
    <row r="14" spans="1:30" s="1220" customFormat="1" ht="2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02"/>
      <c r="Q14" s="1151" t="str">
        <f t="shared" si="6"/>
        <v>配建</v>
      </c>
      <c r="R14" s="1567" t="s">
        <v>8</v>
      </c>
      <c r="S14" s="1568">
        <f t="shared" si="0"/>
        <v>100</v>
      </c>
      <c r="T14" s="1567" t="s">
        <v>8</v>
      </c>
      <c r="U14" s="1568">
        <f t="shared" si="1"/>
        <v>100</v>
      </c>
      <c r="V14" s="1567" t="s">
        <v>8</v>
      </c>
      <c r="W14" s="1568">
        <f t="shared" si="2"/>
        <v>100</v>
      </c>
      <c r="X14" s="1569"/>
      <c r="Y14" s="3348"/>
      <c r="Z14" s="1150" t="str">
        <f t="shared" si="7"/>
        <v>配建</v>
      </c>
      <c r="AA14" s="1570">
        <f>D14/F14</f>
        <v>1</v>
      </c>
      <c r="AB14" s="1570">
        <f>D14/H14</f>
        <v>1</v>
      </c>
      <c r="AC14" s="1570">
        <f>D14/J14</f>
        <v>1</v>
      </c>
    </row>
    <row r="15" spans="1:30" ht="21">
      <c r="A15" s="2917"/>
      <c r="B15" s="3535" t="s">
        <v>3416</v>
      </c>
      <c r="C15" s="912">
        <v>50</v>
      </c>
      <c r="D15" s="540">
        <v>100</v>
      </c>
      <c r="E15" s="541">
        <v>40</v>
      </c>
      <c r="F15" s="255">
        <f>SUMIF(86:86,E15,87:87)-SUMIF(86:86,C15,87:87)+100</f>
        <v>99</v>
      </c>
      <c r="G15" s="542">
        <v>40</v>
      </c>
      <c r="H15" s="540">
        <f>SUMIF(86:86,G15,87:87)-SUMIF(86:86,C15,87:87)+100</f>
        <v>99</v>
      </c>
      <c r="I15" s="541">
        <v>40</v>
      </c>
      <c r="J15" s="540">
        <f>SUMIF(86:86,I15,87:87)-SUMIF(86:86,C15,87:87)+100</f>
        <v>99</v>
      </c>
      <c r="K15" s="531"/>
      <c r="L15" s="2142"/>
      <c r="M15" s="2132"/>
      <c r="N15" s="2132"/>
      <c r="O15" s="2141"/>
      <c r="P15" s="3402"/>
      <c r="Q15" s="1151" t="str">
        <f t="shared" si="6"/>
        <v>法定年限</v>
      </c>
      <c r="R15" s="1567" t="s">
        <v>8</v>
      </c>
      <c r="S15" s="1568">
        <f t="shared" si="0"/>
        <v>99</v>
      </c>
      <c r="T15" s="1567" t="s">
        <v>8</v>
      </c>
      <c r="U15" s="1568">
        <f t="shared" si="1"/>
        <v>99</v>
      </c>
      <c r="V15" s="1567" t="s">
        <v>8</v>
      </c>
      <c r="W15" s="1568">
        <f t="shared" si="2"/>
        <v>99</v>
      </c>
      <c r="X15" s="1569"/>
      <c r="Y15" s="3348"/>
      <c r="Z15" s="1150" t="str">
        <f t="shared" si="7"/>
        <v>法定年限</v>
      </c>
      <c r="AA15" s="1570">
        <f>D15/F15</f>
        <v>1.0101010101010102</v>
      </c>
      <c r="AB15" s="1570">
        <f>D15/H15</f>
        <v>1.0101010101010102</v>
      </c>
      <c r="AC15" s="1570">
        <f>D15/J15</f>
        <v>1.0101010101010102</v>
      </c>
    </row>
    <row r="16" spans="1:30" ht="21.6" thickBot="1">
      <c r="A16" s="2918"/>
      <c r="B16" s="3536" t="s">
        <v>3417</v>
      </c>
      <c r="C16" s="3537" t="s">
        <v>3418</v>
      </c>
      <c r="D16" s="546">
        <v>100</v>
      </c>
      <c r="E16" s="3537" t="s">
        <v>3419</v>
      </c>
      <c r="F16" s="546">
        <f>SUMIF(88:88,E16,89:89)-SUMIF(88:88,C16,89:89)+100</f>
        <v>100</v>
      </c>
      <c r="G16" s="3538" t="s">
        <v>3420</v>
      </c>
      <c r="H16" s="546">
        <f>SUMIF(88:88,G16,89:89)-SUMIF(88:88,C16,89:89)+100</f>
        <v>95</v>
      </c>
      <c r="I16" s="3537" t="s">
        <v>3419</v>
      </c>
      <c r="J16" s="546">
        <f>SUMIF(88:88,I16,89:89)-SUMIF(88:88,C16,89:89)+100</f>
        <v>100</v>
      </c>
      <c r="K16" s="531"/>
      <c r="L16" s="2142"/>
      <c r="M16" s="2132"/>
      <c r="N16" s="2132"/>
      <c r="O16" s="2141"/>
      <c r="P16" s="3402"/>
      <c r="Q16" s="1151" t="str">
        <f t="shared" si="6"/>
        <v>是否有自持</v>
      </c>
      <c r="R16" s="1567" t="s">
        <v>8</v>
      </c>
      <c r="S16" s="1568">
        <f t="shared" si="0"/>
        <v>100</v>
      </c>
      <c r="T16" s="1567" t="s">
        <v>8</v>
      </c>
      <c r="U16" s="1568">
        <f t="shared" si="1"/>
        <v>95</v>
      </c>
      <c r="V16" s="1567" t="s">
        <v>8</v>
      </c>
      <c r="W16" s="1568">
        <f t="shared" si="2"/>
        <v>100</v>
      </c>
      <c r="X16" s="1569"/>
      <c r="Y16" s="3348"/>
      <c r="Z16" s="1150" t="str">
        <f t="shared" si="7"/>
        <v>是否有自持</v>
      </c>
      <c r="AA16" s="1570">
        <f>D16/F16</f>
        <v>1</v>
      </c>
      <c r="AB16" s="1570">
        <f>D16/H16</f>
        <v>1.0526315789473684</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38" t="s">
        <v>539</v>
      </c>
      <c r="Q17" s="1571" t="str">
        <f t="shared" si="6"/>
        <v>居住社区成熟度</v>
      </c>
      <c r="R17" s="1572" t="s">
        <v>8</v>
      </c>
      <c r="S17" s="1573">
        <f t="shared" si="0"/>
        <v>100</v>
      </c>
      <c r="T17" s="1572" t="s">
        <v>8</v>
      </c>
      <c r="U17" s="1573">
        <f t="shared" si="1"/>
        <v>100</v>
      </c>
      <c r="V17" s="1572" t="s">
        <v>8</v>
      </c>
      <c r="W17" s="1573">
        <f t="shared" si="2"/>
        <v>98</v>
      </c>
      <c r="X17" s="1566"/>
      <c r="Y17" s="3438" t="s">
        <v>539</v>
      </c>
      <c r="Z17" s="1574" t="str">
        <f t="shared" si="7"/>
        <v>居住社区成熟度</v>
      </c>
      <c r="AA17" s="1575">
        <f t="shared" si="3"/>
        <v>1</v>
      </c>
      <c r="AB17" s="1575">
        <f t="shared" si="4"/>
        <v>1</v>
      </c>
      <c r="AC17" s="1575">
        <f t="shared" si="5"/>
        <v>1.0204081632653061</v>
      </c>
    </row>
    <row r="18" spans="1:29" ht="21">
      <c r="A18" s="532"/>
      <c r="B18" s="553"/>
      <c r="C18" s="554" t="s">
        <v>3033</v>
      </c>
      <c r="D18" s="557"/>
      <c r="E18" s="554" t="s">
        <v>3033</v>
      </c>
      <c r="F18" s="555"/>
      <c r="G18" s="554" t="s">
        <v>3033</v>
      </c>
      <c r="H18" s="559"/>
      <c r="I18" s="554" t="s">
        <v>3061</v>
      </c>
      <c r="J18" s="555"/>
      <c r="K18" s="531"/>
      <c r="L18" s="2142"/>
      <c r="M18" s="2132"/>
      <c r="N18" s="2132"/>
      <c r="O18" s="2141"/>
      <c r="P18" s="3439"/>
      <c r="Q18" s="1571"/>
      <c r="R18" s="1572"/>
      <c r="S18" s="1573"/>
      <c r="T18" s="1572"/>
      <c r="U18" s="1573"/>
      <c r="V18" s="1572"/>
      <c r="W18" s="1573"/>
      <c r="X18" s="1566"/>
      <c r="Y18" s="3439"/>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102</v>
      </c>
      <c r="G19" s="562"/>
      <c r="H19" s="565">
        <f>SUMIF(92:92,G20,93:93)-SUMIF(92:92,C20,93:93)+100</f>
        <v>102</v>
      </c>
      <c r="I19" s="564"/>
      <c r="J19" s="565">
        <f>SUMIF(92:92,I20,93:93)-SUMIF(92:92,C20,93:93)+100</f>
        <v>100</v>
      </c>
      <c r="K19" s="535">
        <v>2</v>
      </c>
      <c r="L19" s="2142"/>
      <c r="M19" s="2132"/>
      <c r="N19" s="2132"/>
      <c r="O19" s="2141"/>
      <c r="P19" s="3439"/>
      <c r="Q19" s="1571" t="str">
        <f>B19</f>
        <v>商业繁华度</v>
      </c>
      <c r="R19" s="1572" t="s">
        <v>8</v>
      </c>
      <c r="S19" s="1573">
        <f>F19</f>
        <v>102</v>
      </c>
      <c r="T19" s="1572" t="s">
        <v>8</v>
      </c>
      <c r="U19" s="1573">
        <f>H19</f>
        <v>102</v>
      </c>
      <c r="V19" s="1572" t="s">
        <v>8</v>
      </c>
      <c r="W19" s="1573">
        <f>J19</f>
        <v>100</v>
      </c>
      <c r="X19" s="1566"/>
      <c r="Y19" s="3439"/>
      <c r="Z19" s="1574" t="str">
        <f>Q19</f>
        <v>商业繁华度</v>
      </c>
      <c r="AA19" s="1575">
        <f t="shared" si="3"/>
        <v>0.98039215686274506</v>
      </c>
      <c r="AB19" s="1575">
        <f t="shared" si="4"/>
        <v>0.98039215686274506</v>
      </c>
      <c r="AC19" s="1575">
        <f t="shared" si="5"/>
        <v>1</v>
      </c>
    </row>
    <row r="20" spans="1:29" ht="21">
      <c r="A20" s="532"/>
      <c r="B20" s="566"/>
      <c r="C20" s="554" t="s">
        <v>3415</v>
      </c>
      <c r="D20" s="563"/>
      <c r="E20" s="554" t="s">
        <v>3061</v>
      </c>
      <c r="F20" s="559"/>
      <c r="G20" s="554" t="s">
        <v>3061</v>
      </c>
      <c r="H20" s="555"/>
      <c r="I20" s="558" t="s">
        <v>3415</v>
      </c>
      <c r="J20" s="555"/>
      <c r="K20" s="531"/>
      <c r="L20" s="2142"/>
      <c r="M20" s="2132"/>
      <c r="N20" s="2132"/>
      <c r="O20" s="2141"/>
      <c r="P20" s="3439"/>
      <c r="Q20" s="1571"/>
      <c r="R20" s="1572"/>
      <c r="S20" s="1573"/>
      <c r="T20" s="1572"/>
      <c r="U20" s="1573"/>
      <c r="V20" s="1572"/>
      <c r="W20" s="1573"/>
      <c r="X20" s="1566"/>
      <c r="Y20" s="3439"/>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39"/>
      <c r="Q21" s="1571" t="str">
        <f>B21</f>
        <v>办公集聚程度</v>
      </c>
      <c r="R21" s="1572" t="s">
        <v>8</v>
      </c>
      <c r="S21" s="1573">
        <f>F21</f>
        <v>100</v>
      </c>
      <c r="T21" s="1572" t="s">
        <v>8</v>
      </c>
      <c r="U21" s="1573">
        <f>H21</f>
        <v>100</v>
      </c>
      <c r="V21" s="1572" t="s">
        <v>8</v>
      </c>
      <c r="W21" s="1573">
        <f>J21</f>
        <v>100</v>
      </c>
      <c r="X21" s="1566"/>
      <c r="Y21" s="3439"/>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39"/>
      <c r="Q22" s="1571"/>
      <c r="R22" s="1572"/>
      <c r="S22" s="1573"/>
      <c r="T22" s="1572"/>
      <c r="U22" s="1573"/>
      <c r="V22" s="1572"/>
      <c r="W22" s="1573"/>
      <c r="X22" s="1566"/>
      <c r="Y22" s="3439"/>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39"/>
      <c r="Q23" s="1571" t="str">
        <f>B23</f>
        <v>交通便捷度</v>
      </c>
      <c r="R23" s="1572" t="s">
        <v>8</v>
      </c>
      <c r="S23" s="1573">
        <f>F23</f>
        <v>102</v>
      </c>
      <c r="T23" s="1572" t="s">
        <v>8</v>
      </c>
      <c r="U23" s="1573">
        <f>H23</f>
        <v>102</v>
      </c>
      <c r="V23" s="1572" t="s">
        <v>8</v>
      </c>
      <c r="W23" s="1573">
        <f>J23</f>
        <v>100</v>
      </c>
      <c r="X23" s="1566"/>
      <c r="Y23" s="3439"/>
      <c r="Z23" s="1574" t="str">
        <f>Q23</f>
        <v>交通便捷度</v>
      </c>
      <c r="AA23" s="1575">
        <f t="shared" si="3"/>
        <v>0.98039215686274506</v>
      </c>
      <c r="AB23" s="1575">
        <f t="shared" si="4"/>
        <v>0.98039215686274506</v>
      </c>
      <c r="AC23" s="1575">
        <f t="shared" si="5"/>
        <v>1</v>
      </c>
    </row>
    <row r="24" spans="1:29" ht="21">
      <c r="A24" s="532"/>
      <c r="B24" s="578"/>
      <c r="C24" s="554" t="s">
        <v>3061</v>
      </c>
      <c r="D24" s="557"/>
      <c r="E24" s="554" t="s">
        <v>3033</v>
      </c>
      <c r="F24" s="555"/>
      <c r="G24" s="554" t="s">
        <v>3033</v>
      </c>
      <c r="H24" s="555"/>
      <c r="I24" s="554" t="s">
        <v>3061</v>
      </c>
      <c r="J24" s="555"/>
      <c r="K24" s="531"/>
      <c r="L24" s="2142"/>
      <c r="M24" s="2132"/>
      <c r="N24" s="2132"/>
      <c r="O24" s="2141"/>
      <c r="P24" s="3439"/>
      <c r="Q24" s="1571"/>
      <c r="R24" s="1572"/>
      <c r="S24" s="1573"/>
      <c r="T24" s="1572"/>
      <c r="U24" s="1573"/>
      <c r="V24" s="1572"/>
      <c r="W24" s="1573"/>
      <c r="X24" s="1566"/>
      <c r="Y24" s="3439"/>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39"/>
      <c r="Q25" s="1571" t="str">
        <f t="shared" ref="Q25:Q39" si="8">B25</f>
        <v>区域土地利用方向</v>
      </c>
      <c r="R25" s="1572" t="s">
        <v>8</v>
      </c>
      <c r="S25" s="1573">
        <f>F25</f>
        <v>100</v>
      </c>
      <c r="T25" s="1572" t="s">
        <v>8</v>
      </c>
      <c r="U25" s="1573">
        <f>H25</f>
        <v>100</v>
      </c>
      <c r="V25" s="1572" t="s">
        <v>8</v>
      </c>
      <c r="W25" s="1573">
        <f>J25</f>
        <v>100</v>
      </c>
      <c r="X25" s="1566"/>
      <c r="Y25" s="3439"/>
      <c r="Z25" s="1574" t="str">
        <f>Q25</f>
        <v>区域土地利用方向</v>
      </c>
      <c r="AA25" s="1575">
        <f t="shared" si="3"/>
        <v>1</v>
      </c>
      <c r="AB25" s="1575">
        <f t="shared" si="4"/>
        <v>1</v>
      </c>
      <c r="AC25" s="1575">
        <f t="shared" si="5"/>
        <v>1</v>
      </c>
    </row>
    <row r="26" spans="1:29" ht="21">
      <c r="A26" s="515"/>
      <c r="B26" s="1007"/>
      <c r="C26" s="554" t="s">
        <v>3033</v>
      </c>
      <c r="D26" s="557"/>
      <c r="E26" s="554" t="s">
        <v>3033</v>
      </c>
      <c r="F26" s="555"/>
      <c r="G26" s="554" t="s">
        <v>3033</v>
      </c>
      <c r="H26" s="555"/>
      <c r="I26" s="554" t="s">
        <v>3033</v>
      </c>
      <c r="J26" s="555"/>
      <c r="K26" s="531"/>
      <c r="L26" s="2142"/>
      <c r="M26" s="2132"/>
      <c r="N26" s="2132"/>
      <c r="O26" s="2141"/>
      <c r="P26" s="3439"/>
      <c r="Q26" s="1571"/>
      <c r="R26" s="1572"/>
      <c r="S26" s="1573"/>
      <c r="T26" s="1572"/>
      <c r="U26" s="1573"/>
      <c r="V26" s="1572"/>
      <c r="W26" s="1573"/>
      <c r="X26" s="1566"/>
      <c r="Y26" s="3439"/>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39"/>
      <c r="Q27" s="1571" t="str">
        <f t="shared" si="8"/>
        <v>自然及人文环境状况</v>
      </c>
      <c r="R27" s="1572" t="s">
        <v>8</v>
      </c>
      <c r="S27" s="1573">
        <f>F27</f>
        <v>102</v>
      </c>
      <c r="T27" s="1572" t="s">
        <v>8</v>
      </c>
      <c r="U27" s="1573">
        <f>H27</f>
        <v>102</v>
      </c>
      <c r="V27" s="1572" t="s">
        <v>8</v>
      </c>
      <c r="W27" s="1573">
        <f>J27</f>
        <v>102</v>
      </c>
      <c r="X27" s="1566"/>
      <c r="Y27" s="3439"/>
      <c r="Z27" s="1574" t="str">
        <f>Q27</f>
        <v>自然及人文环境状况</v>
      </c>
      <c r="AA27" s="1575">
        <f t="shared" si="3"/>
        <v>0.98039215686274506</v>
      </c>
      <c r="AB27" s="1575">
        <f t="shared" si="4"/>
        <v>0.98039215686274506</v>
      </c>
      <c r="AC27" s="1575">
        <f t="shared" si="5"/>
        <v>0.98039215686274506</v>
      </c>
    </row>
    <row r="28" spans="1:29" ht="21">
      <c r="A28" s="515"/>
      <c r="B28" s="566"/>
      <c r="C28" s="558" t="s">
        <v>3061</v>
      </c>
      <c r="D28" s="557"/>
      <c r="E28" s="558" t="s">
        <v>3033</v>
      </c>
      <c r="F28" s="555"/>
      <c r="G28" s="558" t="s">
        <v>3033</v>
      </c>
      <c r="H28" s="555"/>
      <c r="I28" s="558" t="s">
        <v>3033</v>
      </c>
      <c r="J28" s="555"/>
      <c r="K28" s="531"/>
      <c r="L28" s="2142"/>
      <c r="M28" s="2132"/>
      <c r="N28" s="2132"/>
      <c r="O28" s="2141"/>
      <c r="P28" s="3439"/>
      <c r="Q28" s="1571"/>
      <c r="R28" s="1572"/>
      <c r="S28" s="1573"/>
      <c r="T28" s="1572"/>
      <c r="U28" s="1573"/>
      <c r="V28" s="1572"/>
      <c r="W28" s="1573"/>
      <c r="X28" s="1566"/>
      <c r="Y28" s="3439"/>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39"/>
      <c r="Q29" s="1151" t="str">
        <f t="shared" si="8"/>
        <v>公共配套设施</v>
      </c>
      <c r="R29" s="1567" t="s">
        <v>8</v>
      </c>
      <c r="S29" s="1568">
        <f>F29</f>
        <v>102</v>
      </c>
      <c r="T29" s="1567" t="s">
        <v>8</v>
      </c>
      <c r="U29" s="1568">
        <f>H29</f>
        <v>102</v>
      </c>
      <c r="V29" s="1567" t="s">
        <v>8</v>
      </c>
      <c r="W29" s="1568">
        <f>J29</f>
        <v>98</v>
      </c>
      <c r="X29" s="1569"/>
      <c r="Y29" s="3439"/>
      <c r="Z29" s="1150" t="str">
        <f>Q29</f>
        <v>公共配套设施</v>
      </c>
      <c r="AA29" s="1575">
        <f>D29/F29</f>
        <v>0.98039215686274506</v>
      </c>
      <c r="AB29" s="1575">
        <f>D29/H29</f>
        <v>0.98039215686274506</v>
      </c>
      <c r="AC29" s="1575">
        <f>D29/J29</f>
        <v>1.0204081632653061</v>
      </c>
    </row>
    <row r="30" spans="1:29" s="1220" customFormat="1" ht="21">
      <c r="A30" s="577"/>
      <c r="B30" s="566"/>
      <c r="C30" s="554" t="s">
        <v>3061</v>
      </c>
      <c r="D30" s="557"/>
      <c r="E30" s="554" t="s">
        <v>3033</v>
      </c>
      <c r="F30" s="555"/>
      <c r="G30" s="554" t="s">
        <v>3033</v>
      </c>
      <c r="H30" s="555"/>
      <c r="I30" s="554" t="s">
        <v>3415</v>
      </c>
      <c r="J30" s="555"/>
      <c r="K30" s="531"/>
      <c r="L30" s="2135"/>
      <c r="M30" s="2132"/>
      <c r="N30" s="2132"/>
      <c r="O30" s="2137"/>
      <c r="P30" s="3439"/>
      <c r="Q30" s="1151"/>
      <c r="R30" s="1567"/>
      <c r="S30" s="1568"/>
      <c r="T30" s="1567"/>
      <c r="U30" s="1568"/>
      <c r="V30" s="1567"/>
      <c r="W30" s="1568"/>
      <c r="X30" s="1569"/>
      <c r="Y30" s="3439"/>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39"/>
      <c r="Q31" s="2578" t="str">
        <f t="shared" ref="Q31" si="9">B31</f>
        <v>基础设施水平</v>
      </c>
      <c r="R31" s="1567" t="s">
        <v>8</v>
      </c>
      <c r="S31" s="1568">
        <f>F31</f>
        <v>100</v>
      </c>
      <c r="T31" s="1567" t="s">
        <v>8</v>
      </c>
      <c r="U31" s="1568">
        <f>H31</f>
        <v>100</v>
      </c>
      <c r="V31" s="1567" t="s">
        <v>8</v>
      </c>
      <c r="W31" s="1568">
        <f>J31</f>
        <v>100</v>
      </c>
      <c r="X31" s="1569"/>
      <c r="Y31" s="3439"/>
      <c r="Z31" s="2575" t="str">
        <f>Q31</f>
        <v>基础设施水平</v>
      </c>
      <c r="AA31" s="1575">
        <f>D31/F31</f>
        <v>1</v>
      </c>
      <c r="AB31" s="1575">
        <f>D31/H31</f>
        <v>1</v>
      </c>
      <c r="AC31" s="1575">
        <f>D31/J31</f>
        <v>1</v>
      </c>
    </row>
    <row r="32" spans="1:29" s="1220" customFormat="1" ht="21">
      <c r="A32" s="577"/>
      <c r="B32" s="566"/>
      <c r="C32" s="579" t="s">
        <v>3057</v>
      </c>
      <c r="D32" s="557"/>
      <c r="E32" s="2592" t="s">
        <v>3057</v>
      </c>
      <c r="F32" s="555"/>
      <c r="G32" s="579" t="s">
        <v>3057</v>
      </c>
      <c r="H32" s="555"/>
      <c r="I32" s="579" t="s">
        <v>3057</v>
      </c>
      <c r="J32" s="555"/>
      <c r="K32" s="531"/>
      <c r="L32" s="2135"/>
      <c r="M32" s="2132"/>
      <c r="N32" s="2132"/>
      <c r="O32" s="2137"/>
      <c r="P32" s="3439"/>
      <c r="Q32" s="2578"/>
      <c r="R32" s="1567"/>
      <c r="S32" s="1568"/>
      <c r="T32" s="1567"/>
      <c r="U32" s="1568"/>
      <c r="V32" s="1567"/>
      <c r="W32" s="1568"/>
      <c r="X32" s="1569"/>
      <c r="Y32" s="3439"/>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3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9"/>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39"/>
      <c r="Q34" s="1571" t="str">
        <f t="shared" si="8"/>
        <v>毗邻道路的类型与等级</v>
      </c>
      <c r="R34" s="1572" t="s">
        <v>8</v>
      </c>
      <c r="S34" s="1573">
        <f t="shared" si="10"/>
        <v>100</v>
      </c>
      <c r="T34" s="1572" t="s">
        <v>8</v>
      </c>
      <c r="U34" s="1573">
        <f t="shared" si="11"/>
        <v>100</v>
      </c>
      <c r="V34" s="1572" t="s">
        <v>8</v>
      </c>
      <c r="W34" s="1573">
        <f t="shared" si="12"/>
        <v>100</v>
      </c>
      <c r="X34" s="1566"/>
      <c r="Y34" s="3439"/>
      <c r="Z34" s="1574" t="str">
        <f t="shared" si="13"/>
        <v>毗邻道路的类型与等级</v>
      </c>
      <c r="AA34" s="1575">
        <f t="shared" si="3"/>
        <v>1</v>
      </c>
      <c r="AB34" s="1575">
        <f t="shared" si="4"/>
        <v>1</v>
      </c>
      <c r="AC34" s="1575">
        <f t="shared" si="5"/>
        <v>1</v>
      </c>
    </row>
    <row r="35" spans="1:29" ht="21">
      <c r="A35" s="532"/>
      <c r="B35" s="566"/>
      <c r="C35" s="576" t="s">
        <v>3060</v>
      </c>
      <c r="D35" s="557"/>
      <c r="E35" s="576" t="s">
        <v>3060</v>
      </c>
      <c r="F35" s="555"/>
      <c r="G35" s="576" t="s">
        <v>3060</v>
      </c>
      <c r="H35" s="555"/>
      <c r="I35" s="576" t="s">
        <v>3060</v>
      </c>
      <c r="J35" s="555"/>
      <c r="K35" s="581"/>
      <c r="L35" s="2142"/>
      <c r="M35" s="2132"/>
      <c r="N35" s="2132"/>
      <c r="O35" s="2141"/>
      <c r="P35" s="3439"/>
      <c r="Q35" s="1571"/>
      <c r="R35" s="1572"/>
      <c r="S35" s="1573"/>
      <c r="T35" s="1572"/>
      <c r="U35" s="1573"/>
      <c r="V35" s="1572"/>
      <c r="W35" s="1573"/>
      <c r="X35" s="1566"/>
      <c r="Y35" s="3439"/>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39"/>
      <c r="Q36" s="1571" t="str">
        <f t="shared" si="8"/>
        <v>土地级别</v>
      </c>
      <c r="R36" s="1572" t="s">
        <v>8</v>
      </c>
      <c r="S36" s="1573">
        <f t="shared" si="10"/>
        <v>100</v>
      </c>
      <c r="T36" s="1572" t="s">
        <v>8</v>
      </c>
      <c r="U36" s="1573">
        <f t="shared" si="11"/>
        <v>100</v>
      </c>
      <c r="V36" s="1572" t="s">
        <v>8</v>
      </c>
      <c r="W36" s="1573">
        <f t="shared" si="12"/>
        <v>100</v>
      </c>
      <c r="X36" s="1566"/>
      <c r="Y36" s="3439"/>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39"/>
      <c r="Q37" s="1571">
        <f t="shared" si="8"/>
        <v>111</v>
      </c>
      <c r="R37" s="1572" t="s">
        <v>8</v>
      </c>
      <c r="S37" s="1573">
        <f t="shared" si="10"/>
        <v>100</v>
      </c>
      <c r="T37" s="1572" t="s">
        <v>8</v>
      </c>
      <c r="U37" s="1573">
        <f t="shared" si="11"/>
        <v>100</v>
      </c>
      <c r="V37" s="1572" t="s">
        <v>8</v>
      </c>
      <c r="W37" s="1573">
        <f t="shared" si="12"/>
        <v>100</v>
      </c>
      <c r="X37" s="1566"/>
      <c r="Y37" s="3439"/>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40" t="s">
        <v>549</v>
      </c>
      <c r="Q38" s="1571">
        <f t="shared" si="8"/>
        <v>111</v>
      </c>
      <c r="R38" s="1572" t="s">
        <v>8</v>
      </c>
      <c r="S38" s="1573">
        <f t="shared" si="10"/>
        <v>100</v>
      </c>
      <c r="T38" s="1572" t="s">
        <v>8</v>
      </c>
      <c r="U38" s="1573">
        <f t="shared" si="11"/>
        <v>100</v>
      </c>
      <c r="V38" s="1572" t="s">
        <v>8</v>
      </c>
      <c r="W38" s="1573">
        <f t="shared" si="12"/>
        <v>100</v>
      </c>
      <c r="X38" s="1566"/>
      <c r="Y38" s="3441"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41"/>
      <c r="Q39" s="1571">
        <f t="shared" si="8"/>
        <v>111</v>
      </c>
      <c r="R39" s="1576" t="s">
        <v>8</v>
      </c>
      <c r="S39" s="1577">
        <f t="shared" si="10"/>
        <v>100</v>
      </c>
      <c r="T39" s="1576" t="s">
        <v>8</v>
      </c>
      <c r="U39" s="1577">
        <f t="shared" si="11"/>
        <v>100</v>
      </c>
      <c r="V39" s="1576" t="s">
        <v>8</v>
      </c>
      <c r="W39" s="1577">
        <f t="shared" si="12"/>
        <v>100</v>
      </c>
      <c r="X39" s="1578"/>
      <c r="Y39" s="3441"/>
      <c r="Z39" s="1579">
        <f t="shared" si="13"/>
        <v>111</v>
      </c>
      <c r="AA39" s="1575">
        <f t="shared" si="3"/>
        <v>1</v>
      </c>
      <c r="AB39" s="1575">
        <f t="shared" si="4"/>
        <v>1</v>
      </c>
      <c r="AC39" s="1575">
        <f t="shared" si="5"/>
        <v>1</v>
      </c>
    </row>
    <row r="40" spans="1:29" ht="21">
      <c r="A40" s="2907" t="s">
        <v>2752</v>
      </c>
      <c r="B40" s="595" t="s">
        <v>551</v>
      </c>
      <c r="C40" s="596">
        <f>'数据-基础表'!A3</f>
        <v>41299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41"/>
      <c r="Q40" s="1571" t="str">
        <f>B40</f>
        <v>宗地面积</v>
      </c>
      <c r="R40" s="1572" t="s">
        <v>8</v>
      </c>
      <c r="S40" s="1573">
        <f t="shared" si="10"/>
        <v>102</v>
      </c>
      <c r="T40" s="1572" t="s">
        <v>8</v>
      </c>
      <c r="U40" s="1573">
        <f t="shared" si="11"/>
        <v>102</v>
      </c>
      <c r="V40" s="1572" t="s">
        <v>8</v>
      </c>
      <c r="W40" s="1573">
        <f t="shared" si="12"/>
        <v>102</v>
      </c>
      <c r="X40" s="1566"/>
      <c r="Y40" s="3441"/>
      <c r="Z40" s="1574" t="str">
        <f t="shared" si="13"/>
        <v>宗地面积</v>
      </c>
      <c r="AA40" s="1575">
        <f t="shared" si="3"/>
        <v>0.98039215686274506</v>
      </c>
      <c r="AB40" s="1575">
        <f t="shared" si="4"/>
        <v>0.98039215686274506</v>
      </c>
      <c r="AC40" s="1575">
        <f t="shared" si="5"/>
        <v>0.98039215686274506</v>
      </c>
    </row>
    <row r="41" spans="1:29" ht="21">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41"/>
      <c r="Q41" s="1571" t="str">
        <f t="shared" ref="Q41:Q47" si="14">B41</f>
        <v>宗地形状</v>
      </c>
      <c r="R41" s="1572" t="s">
        <v>8</v>
      </c>
      <c r="S41" s="1573">
        <f t="shared" si="10"/>
        <v>100</v>
      </c>
      <c r="T41" s="1572" t="s">
        <v>8</v>
      </c>
      <c r="U41" s="1573">
        <f t="shared" si="11"/>
        <v>100</v>
      </c>
      <c r="V41" s="1572" t="s">
        <v>8</v>
      </c>
      <c r="W41" s="1573">
        <f t="shared" si="12"/>
        <v>100</v>
      </c>
      <c r="X41" s="1566"/>
      <c r="Y41" s="3441"/>
      <c r="Z41" s="1574" t="str">
        <f t="shared" si="13"/>
        <v>宗地形状</v>
      </c>
      <c r="AA41" s="1575">
        <f t="shared" si="3"/>
        <v>1</v>
      </c>
      <c r="AB41" s="1575">
        <f t="shared" si="4"/>
        <v>1</v>
      </c>
      <c r="AC41" s="1575">
        <f t="shared" si="5"/>
        <v>1</v>
      </c>
    </row>
    <row r="42" spans="1:29" ht="21">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41"/>
      <c r="Q42" s="1571" t="str">
        <f t="shared" si="14"/>
        <v>临街宽度及深度</v>
      </c>
      <c r="R42" s="1572" t="s">
        <v>8</v>
      </c>
      <c r="S42" s="1573">
        <f t="shared" si="10"/>
        <v>100</v>
      </c>
      <c r="T42" s="1572" t="s">
        <v>8</v>
      </c>
      <c r="U42" s="1573">
        <f t="shared" si="11"/>
        <v>100</v>
      </c>
      <c r="V42" s="1572" t="s">
        <v>8</v>
      </c>
      <c r="W42" s="1573">
        <f t="shared" si="12"/>
        <v>100</v>
      </c>
      <c r="X42" s="1566"/>
      <c r="Y42" s="3441"/>
      <c r="Z42" s="1574" t="str">
        <f t="shared" si="13"/>
        <v>临街宽度及深度</v>
      </c>
      <c r="AA42" s="1575">
        <f t="shared" si="3"/>
        <v>1</v>
      </c>
      <c r="AB42" s="1575">
        <f t="shared" si="4"/>
        <v>1</v>
      </c>
      <c r="AC42" s="1575">
        <f t="shared" si="5"/>
        <v>1</v>
      </c>
    </row>
    <row r="43" spans="1:29" s="1220" customFormat="1" ht="21">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41"/>
      <c r="Q43" s="1571" t="str">
        <f t="shared" si="14"/>
        <v>宗地开发程度</v>
      </c>
      <c r="R43" s="1567" t="s">
        <v>8</v>
      </c>
      <c r="S43" s="1568">
        <f t="shared" si="10"/>
        <v>100</v>
      </c>
      <c r="T43" s="1567" t="s">
        <v>8</v>
      </c>
      <c r="U43" s="1568">
        <f t="shared" si="11"/>
        <v>100</v>
      </c>
      <c r="V43" s="1567" t="s">
        <v>8</v>
      </c>
      <c r="W43" s="1568">
        <f t="shared" si="12"/>
        <v>100</v>
      </c>
      <c r="X43" s="1569"/>
      <c r="Y43" s="3441"/>
      <c r="Z43" s="1150" t="str">
        <f t="shared" si="13"/>
        <v>宗地开发程度</v>
      </c>
      <c r="AA43" s="1570">
        <f t="shared" si="3"/>
        <v>1</v>
      </c>
      <c r="AB43" s="1570">
        <f t="shared" si="4"/>
        <v>1</v>
      </c>
      <c r="AC43" s="1570">
        <f t="shared" si="5"/>
        <v>1</v>
      </c>
    </row>
    <row r="44" spans="1:29" ht="21">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41" t="s">
        <v>549</v>
      </c>
      <c r="Q44" s="1571" t="str">
        <f t="shared" si="14"/>
        <v>工程地质条件</v>
      </c>
      <c r="R44" s="1572" t="s">
        <v>8</v>
      </c>
      <c r="S44" s="1573">
        <f t="shared" si="10"/>
        <v>100</v>
      </c>
      <c r="T44" s="1572" t="s">
        <v>8</v>
      </c>
      <c r="U44" s="1573">
        <f t="shared" si="11"/>
        <v>100</v>
      </c>
      <c r="V44" s="1572" t="s">
        <v>8</v>
      </c>
      <c r="W44" s="1573">
        <f t="shared" si="12"/>
        <v>100</v>
      </c>
      <c r="X44" s="1566"/>
      <c r="Y44" s="3441"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41"/>
      <c r="Q45" s="1571">
        <f t="shared" si="14"/>
        <v>111</v>
      </c>
      <c r="R45" s="1572" t="s">
        <v>8</v>
      </c>
      <c r="S45" s="1573">
        <f t="shared" si="10"/>
        <v>100</v>
      </c>
      <c r="T45" s="1572" t="s">
        <v>8</v>
      </c>
      <c r="U45" s="1573">
        <f t="shared" si="11"/>
        <v>100</v>
      </c>
      <c r="V45" s="1572" t="s">
        <v>8</v>
      </c>
      <c r="W45" s="1573">
        <f t="shared" si="12"/>
        <v>100</v>
      </c>
      <c r="X45" s="1566"/>
      <c r="Y45" s="3441"/>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41"/>
      <c r="Q46" s="1571">
        <f t="shared" si="14"/>
        <v>111</v>
      </c>
      <c r="R46" s="1572" t="s">
        <v>8</v>
      </c>
      <c r="S46" s="1573">
        <f t="shared" si="10"/>
        <v>100</v>
      </c>
      <c r="T46" s="1572" t="s">
        <v>8</v>
      </c>
      <c r="U46" s="1573">
        <f t="shared" si="11"/>
        <v>100</v>
      </c>
      <c r="V46" s="1572" t="s">
        <v>8</v>
      </c>
      <c r="W46" s="1573">
        <f t="shared" si="12"/>
        <v>100</v>
      </c>
      <c r="X46" s="1566"/>
      <c r="Y46" s="3441"/>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41"/>
      <c r="Q47" s="1571">
        <f t="shared" si="14"/>
        <v>111</v>
      </c>
      <c r="R47" s="1576" t="s">
        <v>8</v>
      </c>
      <c r="S47" s="1577">
        <f t="shared" si="10"/>
        <v>100</v>
      </c>
      <c r="T47" s="1576" t="s">
        <v>8</v>
      </c>
      <c r="U47" s="1577">
        <f t="shared" si="11"/>
        <v>100</v>
      </c>
      <c r="V47" s="1576" t="s">
        <v>8</v>
      </c>
      <c r="W47" s="1577">
        <f t="shared" si="12"/>
        <v>100</v>
      </c>
      <c r="X47" s="1578"/>
      <c r="Y47" s="3441"/>
      <c r="Z47" s="1579">
        <f t="shared" si="13"/>
        <v>111</v>
      </c>
      <c r="AA47" s="1575">
        <f t="shared" si="3"/>
        <v>1</v>
      </c>
      <c r="AB47" s="1575">
        <f t="shared" si="4"/>
        <v>1</v>
      </c>
      <c r="AC47" s="1575">
        <f t="shared" si="5"/>
        <v>1</v>
      </c>
    </row>
    <row r="48" spans="1:29" ht="21">
      <c r="A48" s="607" t="s">
        <v>555</v>
      </c>
      <c r="B48" s="608" t="s">
        <v>3034</v>
      </c>
      <c r="C48" s="609" t="s">
        <v>1</v>
      </c>
      <c r="D48" s="610"/>
      <c r="E48" s="611">
        <f>ROUND(土地案例!$AK$19,0)</f>
        <v>3461</v>
      </c>
      <c r="F48" s="612"/>
      <c r="G48" s="613">
        <f>ROUND(土地案例!$AK$20,0)</f>
        <v>3653</v>
      </c>
      <c r="H48" s="614"/>
      <c r="I48" s="611">
        <f>ROUND(土地案例!$AK$25,0)</f>
        <v>3066</v>
      </c>
      <c r="J48" s="614"/>
      <c r="K48" s="1340"/>
      <c r="L48" s="2144"/>
      <c r="M48" s="2132"/>
      <c r="N48" s="2132"/>
      <c r="O48" s="2145"/>
      <c r="P48" s="3402" t="str">
        <f>A48</f>
        <v>成交单价</v>
      </c>
      <c r="Q48" s="3402"/>
      <c r="R48" s="3403">
        <f>E48</f>
        <v>3461</v>
      </c>
      <c r="S48" s="3403"/>
      <c r="T48" s="3403">
        <f>G48</f>
        <v>3653</v>
      </c>
      <c r="U48" s="3403"/>
      <c r="V48" s="3403">
        <f>I48</f>
        <v>3066</v>
      </c>
      <c r="W48" s="3403"/>
      <c r="X48" s="1558"/>
      <c r="Y48" s="1580"/>
      <c r="Z48" s="1558"/>
      <c r="AA48" s="1558"/>
      <c r="AB48" s="1558"/>
      <c r="AC48" s="1558"/>
    </row>
    <row r="49" spans="1:29" ht="21.6" thickBot="1">
      <c r="A49" s="615" t="s">
        <v>2690</v>
      </c>
      <c r="B49" s="616"/>
      <c r="C49" s="617">
        <f>R50</f>
        <v>3321</v>
      </c>
      <c r="D49" s="618"/>
      <c r="E49" s="617">
        <f>R49</f>
        <v>3236</v>
      </c>
      <c r="F49" s="619"/>
      <c r="G49" s="620">
        <f>T49</f>
        <v>3560</v>
      </c>
      <c r="H49" s="618"/>
      <c r="I49" s="617">
        <f>V49</f>
        <v>3168</v>
      </c>
      <c r="J49" s="618"/>
      <c r="K49" s="1341"/>
      <c r="L49" s="2144"/>
      <c r="M49" s="2132"/>
      <c r="N49" s="2132"/>
      <c r="O49" s="2145"/>
      <c r="P49" s="3402" t="str">
        <f>A49</f>
        <v>比较价格（元/平方米）</v>
      </c>
      <c r="Q49" s="3402"/>
      <c r="R49" s="3404">
        <f>ROUND(PRODUCT(R48,AA9:AA47),0)</f>
        <v>3236</v>
      </c>
      <c r="S49" s="3404"/>
      <c r="T49" s="3404">
        <f>ROUND(PRODUCT(T48,AB9:AB47),0)</f>
        <v>3560</v>
      </c>
      <c r="U49" s="3404"/>
      <c r="V49" s="3404">
        <f>ROUND(PRODUCT(V48,AC9:AC47),0)</f>
        <v>3168</v>
      </c>
      <c r="W49" s="3404"/>
      <c r="X49" s="1558"/>
      <c r="Y49" s="1558"/>
      <c r="Z49" s="1558"/>
      <c r="AA49" s="1558"/>
      <c r="AB49" s="1558"/>
      <c r="AC49" s="1558"/>
    </row>
    <row r="50" spans="1:29" ht="21.6" thickBot="1">
      <c r="A50" s="621" t="s">
        <v>2930</v>
      </c>
      <c r="B50" s="622"/>
      <c r="C50" s="623">
        <f>R50</f>
        <v>3321</v>
      </c>
      <c r="D50" s="623"/>
      <c r="E50" s="623"/>
      <c r="F50" s="623"/>
      <c r="G50" s="623"/>
      <c r="H50" s="623"/>
      <c r="I50" s="623"/>
      <c r="J50" s="623"/>
      <c r="K50" s="1342"/>
      <c r="L50" s="2144"/>
      <c r="M50" s="2132"/>
      <c r="N50" s="2132"/>
      <c r="O50" s="2145"/>
      <c r="P50" s="3399" t="str">
        <f>A50</f>
        <v>估价对象XX用房的比较价格（楼面单价，元/平方米）</v>
      </c>
      <c r="Q50" s="3400"/>
      <c r="R50" s="3401">
        <f>ROUND(AVERAGE(R49:V49),0)</f>
        <v>3321</v>
      </c>
      <c r="S50" s="3401"/>
      <c r="T50" s="3401"/>
      <c r="U50" s="3401"/>
      <c r="V50" s="3401"/>
      <c r="W50" s="3401"/>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6.9530284301607015E-2</v>
      </c>
      <c r="F53" s="627" t="str">
        <f>IF(OR(E53&gt;=0.3,E53&lt;=-0.3),"超过30%","")</f>
        <v/>
      </c>
      <c r="G53" s="626">
        <f>IF(G48&lt;G49,G49/G48-1,G48/G49-1)</f>
        <v>2.6123595505618047E-2</v>
      </c>
      <c r="H53" s="627" t="str">
        <f>IF(OR(G53&gt;=0.3,G53&lt;=-0.3),"超过30%","")</f>
        <v/>
      </c>
      <c r="I53" s="626">
        <f>IF(I48&lt;I49,I49/I48-1,I48/I49-1)</f>
        <v>3.3268101761252389E-2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0.10012360939431386</v>
      </c>
      <c r="F54" s="627" t="str">
        <f>IF(OR(E54&gt;=0.2,E54&lt;=-0.2),"超过20%","")</f>
        <v/>
      </c>
      <c r="G54" s="626">
        <f>IF(G49&lt;I49,I49/G49-1,G49/I49-1)</f>
        <v>0.1237373737373737</v>
      </c>
      <c r="H54" s="627" t="str">
        <f>IF(OR(G54&gt;=0.2,G54&lt;=-0.2),"超过20%","")</f>
        <v/>
      </c>
      <c r="I54" s="626">
        <f>IF(I49&lt;E49,E49/I49-1,I49/E49-1)</f>
        <v>2.1464646464646409E-2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5.5475296157180054E-2</v>
      </c>
      <c r="F55" s="627" t="str">
        <f>IF(OR(E55&gt;=0.3,E55&lt;=-0.3),"超过30%","")</f>
        <v/>
      </c>
      <c r="G55" s="626">
        <f>IF(G48&lt;I48,I48/G48-1,G48/I48-1)</f>
        <v>0.19145466405740375</v>
      </c>
      <c r="H55" s="627" t="str">
        <f>IF(OR(G55&gt;=0.3,G55&lt;=-0.3),"超过30%","")</f>
        <v/>
      </c>
      <c r="I55" s="626">
        <f>IF(I48&lt;E48,E48/I48-1,I48/E48-1)</f>
        <v>0.12883235485975209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30" t="s">
        <v>2281</v>
      </c>
      <c r="H57" s="3431"/>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3321</v>
      </c>
      <c r="C58" s="635">
        <v>1</v>
      </c>
      <c r="D58" s="2228">
        <v>1</v>
      </c>
      <c r="E58" s="635">
        <f>'数据-汇总表'!E8+'数据-汇总表'!E9</f>
        <v>61948.5</v>
      </c>
      <c r="F58" s="636">
        <f t="shared" ref="F58:F67" si="15">ROUND(B58*E58/10000,0)</f>
        <v>20573</v>
      </c>
      <c r="G58" s="3432"/>
      <c r="H58" s="343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434"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43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43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43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61948.5</v>
      </c>
      <c r="F68" s="644">
        <f>IF(B48="楼面地价",SUM(F58:F67),ROUND(C50*E68/10000,0))</f>
        <v>20573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3421</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t="str">
        <f>B15</f>
        <v>法定年限</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 thickTop="1">
      <c r="A88" s="687"/>
      <c r="B88" s="681" t="str">
        <f>B16</f>
        <v>是否有自持</v>
      </c>
      <c r="C88" s="3539" t="s">
        <v>3420</v>
      </c>
      <c r="D88" s="3539" t="s">
        <v>3419</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B5" sqref="B5"/>
    </sheetView>
  </sheetViews>
  <sheetFormatPr defaultRowHeight="14.4"/>
  <cols>
    <col min="2" max="2" width="18.33203125" bestFit="1" customWidth="1"/>
    <col min="3" max="3" width="23.21875" bestFit="1" customWidth="1"/>
    <col min="5" max="5" width="13.5546875" bestFit="1" customWidth="1"/>
    <col min="6" max="6" width="40.21875" bestFit="1" customWidth="1"/>
    <col min="7" max="7" width="22.44140625" bestFit="1" customWidth="1"/>
    <col min="8" max="8" width="10.5546875" customWidth="1"/>
    <col min="9" max="9" width="9.44140625" customWidth="1"/>
    <col min="11" max="11" width="11.8867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3380</v>
      </c>
      <c r="J2" s="3220" t="s">
        <v>3354</v>
      </c>
      <c r="K2" s="3220" t="s">
        <v>3382</v>
      </c>
      <c r="L2" s="3220" t="s">
        <v>3381</v>
      </c>
      <c r="N2" s="3223"/>
      <c r="O2" s="3220" t="s">
        <v>3369</v>
      </c>
      <c r="P2" s="3220" t="s">
        <v>3380</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186201</v>
      </c>
      <c r="L3">
        <f ca="1">ROUND(K3/$K$15*$L$15,0)</f>
        <v>6918</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113421</v>
      </c>
      <c r="L4" s="3230">
        <f t="shared" ref="L4:L14" ca="1" si="1">ROUND(K4/$K$15*$L$15,0)</f>
        <v>4214</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68856</v>
      </c>
      <c r="L5" s="3230">
        <f t="shared" ca="1" si="1"/>
        <v>2558</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33762</v>
      </c>
      <c r="L6">
        <f t="shared" ca="1" si="1"/>
        <v>1254</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97184</v>
      </c>
      <c r="L7">
        <f t="shared" ca="1" si="1"/>
        <v>3611</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10830</v>
      </c>
      <c r="L8">
        <f t="shared" ca="1" si="1"/>
        <v>402</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4559</v>
      </c>
      <c r="L9">
        <f t="shared" ca="1" si="1"/>
        <v>169</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6396</v>
      </c>
      <c r="L10">
        <f t="shared" ca="1" si="1"/>
        <v>238</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11858</v>
      </c>
      <c r="L11">
        <f t="shared" ca="1" si="1"/>
        <v>441</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6709</v>
      </c>
      <c r="L12">
        <f t="shared" ca="1" si="1"/>
        <v>249</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53039</v>
      </c>
      <c r="L13" s="3230">
        <f t="shared" ca="1" si="1"/>
        <v>1970</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38118</v>
      </c>
      <c r="L14">
        <f t="shared" ca="1" si="1"/>
        <v>1416</v>
      </c>
    </row>
    <row r="15" spans="1:21">
      <c r="A15" s="3442" t="s">
        <v>3354</v>
      </c>
      <c r="B15" s="3442"/>
      <c r="C15" s="3442"/>
      <c r="D15" s="3223">
        <f>SUM(D3:D14)</f>
        <v>375252</v>
      </c>
      <c r="E15" s="3223"/>
      <c r="F15" s="3223"/>
      <c r="H15" s="3223">
        <f>SUM(H3:H14)</f>
        <v>394579.20000000001</v>
      </c>
      <c r="I15" s="3223">
        <f>SUM(I3:I14)</f>
        <v>168298.8</v>
      </c>
      <c r="J15" s="3223">
        <f>SUM(J3:J14)</f>
        <v>562878</v>
      </c>
      <c r="K15" s="3223">
        <f ca="1">SUM(K3:K14)</f>
        <v>630933</v>
      </c>
      <c r="L15" s="3223">
        <f ca="1">结果表!G19</f>
        <v>23440</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34" t="str">
        <f>项目基本情况!B1</f>
        <v>重庆两江新区航悦项目E01-04-02出让国有建设用地使用权抵押价格预评估</v>
      </c>
      <c r="C37" s="3234"/>
      <c r="D37" s="3234"/>
      <c r="E37" s="3234"/>
      <c r="F37" s="3234"/>
      <c r="G37" s="3234"/>
      <c r="H37" s="3234"/>
      <c r="I37" s="3234"/>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4.4"/>
  <cols>
    <col min="2" max="2" width="14.21875" customWidth="1"/>
    <col min="8" max="8" width="9.88671875" customWidth="1"/>
    <col min="9" max="9" width="13.5546875" customWidth="1"/>
    <col min="10" max="10" width="29.77734375" customWidth="1"/>
  </cols>
  <sheetData>
    <row r="1" spans="1:10">
      <c r="A1" s="3443" t="s">
        <v>2375</v>
      </c>
      <c r="B1" s="3443" t="s">
        <v>3383</v>
      </c>
      <c r="C1" s="3443" t="s">
        <v>3384</v>
      </c>
      <c r="D1" s="3443" t="s">
        <v>3385</v>
      </c>
      <c r="E1" s="3443" t="s">
        <v>2945</v>
      </c>
      <c r="F1" s="3443"/>
      <c r="G1" s="3443"/>
      <c r="H1" s="3232"/>
      <c r="I1" s="3444" t="s">
        <v>3410</v>
      </c>
    </row>
    <row r="2" spans="1:10">
      <c r="A2" s="3443"/>
      <c r="B2" s="3443"/>
      <c r="C2" s="3443"/>
      <c r="D2" s="3443"/>
      <c r="E2" s="3232" t="s">
        <v>922</v>
      </c>
      <c r="F2" s="3232" t="s">
        <v>3024</v>
      </c>
      <c r="G2" s="3232" t="s">
        <v>24</v>
      </c>
      <c r="H2" s="3231" t="s">
        <v>3412</v>
      </c>
      <c r="I2" s="3444"/>
    </row>
    <row r="3" spans="1:10">
      <c r="A3" s="3232">
        <v>1</v>
      </c>
      <c r="B3" s="3232" t="s">
        <v>3386</v>
      </c>
      <c r="C3" s="3232" t="s">
        <v>3387</v>
      </c>
      <c r="D3" s="3232">
        <v>110187</v>
      </c>
      <c r="E3" s="3232">
        <v>105997.75999999999</v>
      </c>
      <c r="F3" s="3232">
        <v>59282.74</v>
      </c>
      <c r="G3" s="3232">
        <v>165280.5</v>
      </c>
      <c r="H3" s="3232">
        <f>ROUND(I3/G3*10000,0)</f>
        <v>3509</v>
      </c>
      <c r="I3" s="3232">
        <v>57997</v>
      </c>
    </row>
    <row r="4" spans="1:10">
      <c r="A4" s="3232">
        <v>2</v>
      </c>
      <c r="B4" s="3232" t="s">
        <v>3388</v>
      </c>
      <c r="C4" s="3232" t="s">
        <v>3389</v>
      </c>
      <c r="D4" s="3232">
        <v>68029</v>
      </c>
      <c r="E4" s="3232">
        <v>81634.8</v>
      </c>
      <c r="F4" s="3232">
        <v>20408.7</v>
      </c>
      <c r="G4" s="3232">
        <v>102043.5</v>
      </c>
      <c r="H4" s="3232">
        <f t="shared" ref="H4:H15" si="0">ROUND(I4/G4*10000,0)</f>
        <v>3762</v>
      </c>
      <c r="I4" s="3232">
        <v>38390</v>
      </c>
    </row>
    <row r="5" spans="1:10">
      <c r="A5" s="3232">
        <v>3</v>
      </c>
      <c r="B5" s="3232" t="s">
        <v>3390</v>
      </c>
      <c r="C5" s="3232" t="s">
        <v>3391</v>
      </c>
      <c r="D5" s="3232">
        <v>41299</v>
      </c>
      <c r="E5" s="3232">
        <v>49558.8</v>
      </c>
      <c r="F5" s="3232">
        <v>12389.7</v>
      </c>
      <c r="G5" s="3232">
        <v>61948.5</v>
      </c>
      <c r="H5" s="3232">
        <f t="shared" si="0"/>
        <v>3762</v>
      </c>
      <c r="I5" s="3232">
        <v>23306</v>
      </c>
    </row>
    <row r="6" spans="1:10">
      <c r="A6" s="3232">
        <v>4</v>
      </c>
      <c r="B6" s="3232" t="s">
        <v>3392</v>
      </c>
      <c r="C6" s="3232" t="s">
        <v>3393</v>
      </c>
      <c r="D6" s="3232">
        <v>19979</v>
      </c>
      <c r="E6" s="3232">
        <v>19219.41</v>
      </c>
      <c r="F6" s="3232">
        <v>10749.09</v>
      </c>
      <c r="G6" s="3232">
        <v>29968.5</v>
      </c>
      <c r="H6" s="3232">
        <f t="shared" si="0"/>
        <v>3509</v>
      </c>
      <c r="I6" s="3232">
        <v>10516</v>
      </c>
      <c r="J6" s="3220" t="s">
        <v>3411</v>
      </c>
    </row>
    <row r="7" spans="1:10">
      <c r="A7" s="3232">
        <v>5</v>
      </c>
      <c r="B7" s="3232" t="s">
        <v>3394</v>
      </c>
      <c r="C7" s="3232" t="s">
        <v>3395</v>
      </c>
      <c r="D7" s="3232">
        <v>57510</v>
      </c>
      <c r="E7" s="3232">
        <v>55323.5</v>
      </c>
      <c r="F7" s="3232">
        <v>30941.5</v>
      </c>
      <c r="G7" s="3232">
        <v>86265</v>
      </c>
      <c r="H7" s="3232">
        <f t="shared" si="0"/>
        <v>3509</v>
      </c>
      <c r="I7" s="3232">
        <v>30270</v>
      </c>
    </row>
    <row r="8" spans="1:10">
      <c r="A8" s="3232">
        <v>6</v>
      </c>
      <c r="B8" s="3232" t="s">
        <v>3396</v>
      </c>
      <c r="C8" s="3232" t="s">
        <v>3397</v>
      </c>
      <c r="D8" s="3232">
        <v>6409</v>
      </c>
      <c r="E8" s="3232">
        <v>6165.33</v>
      </c>
      <c r="F8" s="3232">
        <v>3448.17</v>
      </c>
      <c r="G8" s="3232">
        <v>9613.5</v>
      </c>
      <c r="H8" s="3232">
        <f t="shared" si="0"/>
        <v>3509</v>
      </c>
      <c r="I8" s="3232">
        <v>3373</v>
      </c>
    </row>
    <row r="9" spans="1:10">
      <c r="A9" s="3232">
        <v>7</v>
      </c>
      <c r="B9" s="3232" t="s">
        <v>3398</v>
      </c>
      <c r="C9" s="3232" t="s">
        <v>3399</v>
      </c>
      <c r="D9" s="3232">
        <v>2698</v>
      </c>
      <c r="E9" s="3232">
        <v>2595.42</v>
      </c>
      <c r="F9" s="3232">
        <v>1451.58</v>
      </c>
      <c r="G9" s="3232">
        <v>4047</v>
      </c>
      <c r="H9" s="3232">
        <f t="shared" si="0"/>
        <v>3509</v>
      </c>
      <c r="I9" s="3232">
        <v>1420</v>
      </c>
    </row>
    <row r="10" spans="1:10">
      <c r="A10" s="3232">
        <v>8</v>
      </c>
      <c r="B10" s="3232" t="s">
        <v>3400</v>
      </c>
      <c r="C10" s="3232" t="s">
        <v>3401</v>
      </c>
      <c r="D10" s="3232">
        <v>3785</v>
      </c>
      <c r="E10" s="3232">
        <v>3641.1</v>
      </c>
      <c r="F10" s="3232">
        <v>2036.4</v>
      </c>
      <c r="G10" s="3232">
        <v>5677.5</v>
      </c>
      <c r="H10" s="3232">
        <f t="shared" si="0"/>
        <v>3509</v>
      </c>
      <c r="I10" s="3232">
        <v>1992</v>
      </c>
    </row>
    <row r="11" spans="1:10">
      <c r="A11" s="3232">
        <v>9</v>
      </c>
      <c r="B11" s="3232" t="s">
        <v>3402</v>
      </c>
      <c r="C11" s="3232" t="s">
        <v>3403</v>
      </c>
      <c r="D11" s="3232">
        <v>7017</v>
      </c>
      <c r="E11" s="3232">
        <v>6750.22</v>
      </c>
      <c r="F11" s="3232">
        <v>3775.28</v>
      </c>
      <c r="G11" s="3232">
        <v>10525.5</v>
      </c>
      <c r="H11" s="3232">
        <f t="shared" si="0"/>
        <v>3510</v>
      </c>
      <c r="I11" s="3232">
        <v>3694</v>
      </c>
    </row>
    <row r="12" spans="1:10">
      <c r="A12" s="3232">
        <v>10</v>
      </c>
      <c r="B12" s="3232" t="s">
        <v>3404</v>
      </c>
      <c r="C12" s="3232" t="s">
        <v>3405</v>
      </c>
      <c r="D12" s="3232">
        <v>3970</v>
      </c>
      <c r="E12" s="3232">
        <v>3819.06</v>
      </c>
      <c r="F12" s="3232">
        <v>2135.94</v>
      </c>
      <c r="G12" s="3232">
        <v>5955</v>
      </c>
      <c r="H12" s="3232">
        <f t="shared" si="0"/>
        <v>3510</v>
      </c>
      <c r="I12" s="3232">
        <v>2090</v>
      </c>
    </row>
    <row r="13" spans="1:10">
      <c r="A13" s="3232">
        <v>11</v>
      </c>
      <c r="B13" s="3232" t="s">
        <v>3406</v>
      </c>
      <c r="C13" s="3232" t="s">
        <v>3407</v>
      </c>
      <c r="D13" s="3232">
        <v>31812</v>
      </c>
      <c r="E13" s="3232">
        <v>38174.400000000001</v>
      </c>
      <c r="F13" s="3232">
        <v>9543.6</v>
      </c>
      <c r="G13" s="3232">
        <v>47718</v>
      </c>
      <c r="H13" s="3232">
        <f t="shared" si="0"/>
        <v>3762</v>
      </c>
      <c r="I13" s="3232">
        <v>17952</v>
      </c>
    </row>
    <row r="14" spans="1:10">
      <c r="A14" s="3232">
        <v>12</v>
      </c>
      <c r="B14" s="3232" t="s">
        <v>3408</v>
      </c>
      <c r="C14" s="3232" t="s">
        <v>3409</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zoomScale="55" zoomScaleNormal="55" workbookViewId="0">
      <selection activeCell="AS48" sqref="AS48"/>
    </sheetView>
  </sheetViews>
  <sheetFormatPr defaultRowHeight="12"/>
  <cols>
    <col min="1" max="1" width="30.77734375" style="3214" customWidth="1"/>
    <col min="2" max="2" width="7.109375" style="3214" customWidth="1"/>
    <col min="3" max="3" width="9" style="3214" customWidth="1"/>
    <col min="4" max="4" width="7.109375" style="3214" customWidth="1"/>
    <col min="5" max="5" width="5.21875" style="3214" customWidth="1"/>
    <col min="6" max="6" width="30.77734375" style="3214" customWidth="1"/>
    <col min="7" max="7" width="9" style="3214" customWidth="1"/>
    <col min="8" max="8" width="10" style="3214" customWidth="1"/>
    <col min="9" max="9" width="20.33203125" style="3214" customWidth="1"/>
    <col min="10" max="11" width="15.88671875" style="3214" customWidth="1"/>
    <col min="12" max="12" width="19" style="3214" customWidth="1"/>
    <col min="13" max="15" width="9" style="3214" customWidth="1"/>
    <col min="16" max="16" width="11" style="3214" hidden="1" customWidth="1"/>
    <col min="17" max="18" width="17.77734375" style="3214" hidden="1" customWidth="1"/>
    <col min="19" max="19" width="14.77734375" style="3214" hidden="1" customWidth="1"/>
    <col min="20" max="21" width="12.88671875" style="3214" hidden="1" customWidth="1"/>
    <col min="22" max="22" width="20.33203125" style="3214" hidden="1" customWidth="1"/>
    <col min="23" max="23" width="9" style="3214" customWidth="1"/>
    <col min="24" max="26" width="10.21875" style="3214" hidden="1" customWidth="1"/>
    <col min="27" max="27" width="10.21875" style="3214" customWidth="1"/>
    <col min="28" max="28" width="22.88671875" style="3214" customWidth="1"/>
    <col min="29" max="29" width="9" style="3214" customWidth="1"/>
    <col min="30" max="30" width="37.33203125" style="3214" customWidth="1"/>
    <col min="31" max="33" width="12.109375" style="3214" customWidth="1"/>
    <col min="34" max="35" width="18.21875" style="3214" customWidth="1"/>
    <col min="36" max="36" width="16.33203125" style="3214" customWidth="1"/>
    <col min="37" max="37" width="16.33203125" style="3217" customWidth="1"/>
    <col min="38" max="39" width="25" style="3214" hidden="1" customWidth="1"/>
    <col min="40" max="40" width="7.109375" style="3214" customWidth="1"/>
    <col min="41" max="41" width="9" style="3214" customWidth="1"/>
    <col min="42" max="42" width="19.21875" style="3214" hidden="1" customWidth="1"/>
    <col min="43" max="44" width="23" style="3214" hidden="1" customWidth="1"/>
    <col min="45" max="45" width="9" style="3214" customWidth="1"/>
    <col min="46" max="256" width="8.88671875" style="3214"/>
    <col min="257" max="257" width="30.77734375" style="3214" customWidth="1"/>
    <col min="258" max="258" width="7.109375" style="3214" customWidth="1"/>
    <col min="259" max="259" width="9" style="3214" customWidth="1"/>
    <col min="260" max="260" width="7.109375" style="3214" customWidth="1"/>
    <col min="261" max="261" width="5.21875" style="3214" customWidth="1"/>
    <col min="262" max="262" width="30.77734375" style="3214" customWidth="1"/>
    <col min="263" max="263" width="9" style="3214" customWidth="1"/>
    <col min="264" max="264" width="48.6640625" style="3214" customWidth="1"/>
    <col min="265" max="265" width="20.33203125" style="3214" customWidth="1"/>
    <col min="266" max="267" width="15.88671875" style="3214" customWidth="1"/>
    <col min="268" max="268" width="22.77734375" style="3214" customWidth="1"/>
    <col min="269" max="271" width="9" style="3214" customWidth="1"/>
    <col min="272" max="272" width="11" style="3214" customWidth="1"/>
    <col min="273" max="274" width="17.77734375" style="3214" customWidth="1"/>
    <col min="275" max="275" width="14.77734375" style="3214" customWidth="1"/>
    <col min="276" max="277" width="12.88671875" style="3214" customWidth="1"/>
    <col min="278" max="278" width="20.33203125" style="3214" customWidth="1"/>
    <col min="279" max="279" width="9" style="3214" customWidth="1"/>
    <col min="280" max="283" width="10.21875" style="3214" customWidth="1"/>
    <col min="284" max="284" width="22.88671875" style="3214" customWidth="1"/>
    <col min="285" max="285" width="9" style="3214" customWidth="1"/>
    <col min="286" max="286" width="37.33203125" style="3214" customWidth="1"/>
    <col min="287" max="289" width="12.109375" style="3214" customWidth="1"/>
    <col min="290" max="291" width="18.21875" style="3214" customWidth="1"/>
    <col min="292" max="293" width="16.33203125" style="3214" customWidth="1"/>
    <col min="294" max="295" width="25" style="3214" customWidth="1"/>
    <col min="296" max="296" width="7.109375" style="3214" customWidth="1"/>
    <col min="297" max="297" width="9" style="3214" customWidth="1"/>
    <col min="298" max="298" width="19.21875" style="3214" customWidth="1"/>
    <col min="299" max="300" width="23" style="3214" customWidth="1"/>
    <col min="301" max="301" width="9" style="3214" customWidth="1"/>
    <col min="302" max="512" width="8.88671875" style="3214"/>
    <col min="513" max="513" width="30.77734375" style="3214" customWidth="1"/>
    <col min="514" max="514" width="7.109375" style="3214" customWidth="1"/>
    <col min="515" max="515" width="9" style="3214" customWidth="1"/>
    <col min="516" max="516" width="7.109375" style="3214" customWidth="1"/>
    <col min="517" max="517" width="5.21875" style="3214" customWidth="1"/>
    <col min="518" max="518" width="30.77734375" style="3214" customWidth="1"/>
    <col min="519" max="519" width="9" style="3214" customWidth="1"/>
    <col min="520" max="520" width="48.6640625" style="3214" customWidth="1"/>
    <col min="521" max="521" width="20.33203125" style="3214" customWidth="1"/>
    <col min="522" max="523" width="15.88671875" style="3214" customWidth="1"/>
    <col min="524" max="524" width="22.77734375" style="3214" customWidth="1"/>
    <col min="525" max="527" width="9" style="3214" customWidth="1"/>
    <col min="528" max="528" width="11" style="3214" customWidth="1"/>
    <col min="529" max="530" width="17.77734375" style="3214" customWidth="1"/>
    <col min="531" max="531" width="14.77734375" style="3214" customWidth="1"/>
    <col min="532" max="533" width="12.88671875" style="3214" customWidth="1"/>
    <col min="534" max="534" width="20.33203125" style="3214" customWidth="1"/>
    <col min="535" max="535" width="9" style="3214" customWidth="1"/>
    <col min="536" max="539" width="10.21875" style="3214" customWidth="1"/>
    <col min="540" max="540" width="22.88671875" style="3214" customWidth="1"/>
    <col min="541" max="541" width="9" style="3214" customWidth="1"/>
    <col min="542" max="542" width="37.33203125" style="3214" customWidth="1"/>
    <col min="543" max="545" width="12.109375" style="3214" customWidth="1"/>
    <col min="546" max="547" width="18.21875" style="3214" customWidth="1"/>
    <col min="548" max="549" width="16.33203125" style="3214" customWidth="1"/>
    <col min="550" max="551" width="25" style="3214" customWidth="1"/>
    <col min="552" max="552" width="7.109375" style="3214" customWidth="1"/>
    <col min="553" max="553" width="9" style="3214" customWidth="1"/>
    <col min="554" max="554" width="19.21875" style="3214" customWidth="1"/>
    <col min="555" max="556" width="23" style="3214" customWidth="1"/>
    <col min="557" max="557" width="9" style="3214" customWidth="1"/>
    <col min="558" max="768" width="8.88671875" style="3214"/>
    <col min="769" max="769" width="30.77734375" style="3214" customWidth="1"/>
    <col min="770" max="770" width="7.109375" style="3214" customWidth="1"/>
    <col min="771" max="771" width="9" style="3214" customWidth="1"/>
    <col min="772" max="772" width="7.109375" style="3214" customWidth="1"/>
    <col min="773" max="773" width="5.21875" style="3214" customWidth="1"/>
    <col min="774" max="774" width="30.77734375" style="3214" customWidth="1"/>
    <col min="775" max="775" width="9" style="3214" customWidth="1"/>
    <col min="776" max="776" width="48.6640625" style="3214" customWidth="1"/>
    <col min="777" max="777" width="20.33203125" style="3214" customWidth="1"/>
    <col min="778" max="779" width="15.88671875" style="3214" customWidth="1"/>
    <col min="780" max="780" width="22.77734375" style="3214" customWidth="1"/>
    <col min="781" max="783" width="9" style="3214" customWidth="1"/>
    <col min="784" max="784" width="11" style="3214" customWidth="1"/>
    <col min="785" max="786" width="17.77734375" style="3214" customWidth="1"/>
    <col min="787" max="787" width="14.77734375" style="3214" customWidth="1"/>
    <col min="788" max="789" width="12.88671875" style="3214" customWidth="1"/>
    <col min="790" max="790" width="20.33203125" style="3214" customWidth="1"/>
    <col min="791" max="791" width="9" style="3214" customWidth="1"/>
    <col min="792" max="795" width="10.21875" style="3214" customWidth="1"/>
    <col min="796" max="796" width="22.88671875" style="3214" customWidth="1"/>
    <col min="797" max="797" width="9" style="3214" customWidth="1"/>
    <col min="798" max="798" width="37.33203125" style="3214" customWidth="1"/>
    <col min="799" max="801" width="12.109375" style="3214" customWidth="1"/>
    <col min="802" max="803" width="18.21875" style="3214" customWidth="1"/>
    <col min="804" max="805" width="16.33203125" style="3214" customWidth="1"/>
    <col min="806" max="807" width="25" style="3214" customWidth="1"/>
    <col min="808" max="808" width="7.109375" style="3214" customWidth="1"/>
    <col min="809" max="809" width="9" style="3214" customWidth="1"/>
    <col min="810" max="810" width="19.21875" style="3214" customWidth="1"/>
    <col min="811" max="812" width="23" style="3214" customWidth="1"/>
    <col min="813" max="813" width="9" style="3214" customWidth="1"/>
    <col min="814" max="1024" width="8.88671875" style="3214"/>
    <col min="1025" max="1025" width="30.77734375" style="3214" customWidth="1"/>
    <col min="1026" max="1026" width="7.109375" style="3214" customWidth="1"/>
    <col min="1027" max="1027" width="9" style="3214" customWidth="1"/>
    <col min="1028" max="1028" width="7.109375" style="3214" customWidth="1"/>
    <col min="1029" max="1029" width="5.21875" style="3214" customWidth="1"/>
    <col min="1030" max="1030" width="30.77734375" style="3214" customWidth="1"/>
    <col min="1031" max="1031" width="9" style="3214" customWidth="1"/>
    <col min="1032" max="1032" width="48.6640625" style="3214" customWidth="1"/>
    <col min="1033" max="1033" width="20.33203125" style="3214" customWidth="1"/>
    <col min="1034" max="1035" width="15.88671875" style="3214" customWidth="1"/>
    <col min="1036" max="1036" width="22.77734375" style="3214" customWidth="1"/>
    <col min="1037" max="1039" width="9" style="3214" customWidth="1"/>
    <col min="1040" max="1040" width="11" style="3214" customWidth="1"/>
    <col min="1041" max="1042" width="17.77734375" style="3214" customWidth="1"/>
    <col min="1043" max="1043" width="14.77734375" style="3214" customWidth="1"/>
    <col min="1044" max="1045" width="12.88671875" style="3214" customWidth="1"/>
    <col min="1046" max="1046" width="20.33203125" style="3214" customWidth="1"/>
    <col min="1047" max="1047" width="9" style="3214" customWidth="1"/>
    <col min="1048" max="1051" width="10.21875" style="3214" customWidth="1"/>
    <col min="1052" max="1052" width="22.88671875" style="3214" customWidth="1"/>
    <col min="1053" max="1053" width="9" style="3214" customWidth="1"/>
    <col min="1054" max="1054" width="37.33203125" style="3214" customWidth="1"/>
    <col min="1055" max="1057" width="12.109375" style="3214" customWidth="1"/>
    <col min="1058" max="1059" width="18.21875" style="3214" customWidth="1"/>
    <col min="1060" max="1061" width="16.33203125" style="3214" customWidth="1"/>
    <col min="1062" max="1063" width="25" style="3214" customWidth="1"/>
    <col min="1064" max="1064" width="7.109375" style="3214" customWidth="1"/>
    <col min="1065" max="1065" width="9" style="3214" customWidth="1"/>
    <col min="1066" max="1066" width="19.21875" style="3214" customWidth="1"/>
    <col min="1067" max="1068" width="23" style="3214" customWidth="1"/>
    <col min="1069" max="1069" width="9" style="3214" customWidth="1"/>
    <col min="1070" max="1280" width="8.88671875" style="3214"/>
    <col min="1281" max="1281" width="30.77734375" style="3214" customWidth="1"/>
    <col min="1282" max="1282" width="7.109375" style="3214" customWidth="1"/>
    <col min="1283" max="1283" width="9" style="3214" customWidth="1"/>
    <col min="1284" max="1284" width="7.109375" style="3214" customWidth="1"/>
    <col min="1285" max="1285" width="5.21875" style="3214" customWidth="1"/>
    <col min="1286" max="1286" width="30.77734375" style="3214" customWidth="1"/>
    <col min="1287" max="1287" width="9" style="3214" customWidth="1"/>
    <col min="1288" max="1288" width="48.6640625" style="3214" customWidth="1"/>
    <col min="1289" max="1289" width="20.33203125" style="3214" customWidth="1"/>
    <col min="1290" max="1291" width="15.88671875" style="3214" customWidth="1"/>
    <col min="1292" max="1292" width="22.77734375" style="3214" customWidth="1"/>
    <col min="1293" max="1295" width="9" style="3214" customWidth="1"/>
    <col min="1296" max="1296" width="11" style="3214" customWidth="1"/>
    <col min="1297" max="1298" width="17.77734375" style="3214" customWidth="1"/>
    <col min="1299" max="1299" width="14.77734375" style="3214" customWidth="1"/>
    <col min="1300" max="1301" width="12.88671875" style="3214" customWidth="1"/>
    <col min="1302" max="1302" width="20.33203125" style="3214" customWidth="1"/>
    <col min="1303" max="1303" width="9" style="3214" customWidth="1"/>
    <col min="1304" max="1307" width="10.21875" style="3214" customWidth="1"/>
    <col min="1308" max="1308" width="22.88671875" style="3214" customWidth="1"/>
    <col min="1309" max="1309" width="9" style="3214" customWidth="1"/>
    <col min="1310" max="1310" width="37.33203125" style="3214" customWidth="1"/>
    <col min="1311" max="1313" width="12.109375" style="3214" customWidth="1"/>
    <col min="1314" max="1315" width="18.21875" style="3214" customWidth="1"/>
    <col min="1316" max="1317" width="16.33203125" style="3214" customWidth="1"/>
    <col min="1318" max="1319" width="25" style="3214" customWidth="1"/>
    <col min="1320" max="1320" width="7.109375" style="3214" customWidth="1"/>
    <col min="1321" max="1321" width="9" style="3214" customWidth="1"/>
    <col min="1322" max="1322" width="19.21875" style="3214" customWidth="1"/>
    <col min="1323" max="1324" width="23" style="3214" customWidth="1"/>
    <col min="1325" max="1325" width="9" style="3214" customWidth="1"/>
    <col min="1326" max="1536" width="8.88671875" style="3214"/>
    <col min="1537" max="1537" width="30.77734375" style="3214" customWidth="1"/>
    <col min="1538" max="1538" width="7.109375" style="3214" customWidth="1"/>
    <col min="1539" max="1539" width="9" style="3214" customWidth="1"/>
    <col min="1540" max="1540" width="7.109375" style="3214" customWidth="1"/>
    <col min="1541" max="1541" width="5.21875" style="3214" customWidth="1"/>
    <col min="1542" max="1542" width="30.77734375" style="3214" customWidth="1"/>
    <col min="1543" max="1543" width="9" style="3214" customWidth="1"/>
    <col min="1544" max="1544" width="48.6640625" style="3214" customWidth="1"/>
    <col min="1545" max="1545" width="20.33203125" style="3214" customWidth="1"/>
    <col min="1546" max="1547" width="15.88671875" style="3214" customWidth="1"/>
    <col min="1548" max="1548" width="22.77734375" style="3214" customWidth="1"/>
    <col min="1549" max="1551" width="9" style="3214" customWidth="1"/>
    <col min="1552" max="1552" width="11" style="3214" customWidth="1"/>
    <col min="1553" max="1554" width="17.77734375" style="3214" customWidth="1"/>
    <col min="1555" max="1555" width="14.77734375" style="3214" customWidth="1"/>
    <col min="1556" max="1557" width="12.88671875" style="3214" customWidth="1"/>
    <col min="1558" max="1558" width="20.33203125" style="3214" customWidth="1"/>
    <col min="1559" max="1559" width="9" style="3214" customWidth="1"/>
    <col min="1560" max="1563" width="10.21875" style="3214" customWidth="1"/>
    <col min="1564" max="1564" width="22.88671875" style="3214" customWidth="1"/>
    <col min="1565" max="1565" width="9" style="3214" customWidth="1"/>
    <col min="1566" max="1566" width="37.33203125" style="3214" customWidth="1"/>
    <col min="1567" max="1569" width="12.109375" style="3214" customWidth="1"/>
    <col min="1570" max="1571" width="18.21875" style="3214" customWidth="1"/>
    <col min="1572" max="1573" width="16.33203125" style="3214" customWidth="1"/>
    <col min="1574" max="1575" width="25" style="3214" customWidth="1"/>
    <col min="1576" max="1576" width="7.109375" style="3214" customWidth="1"/>
    <col min="1577" max="1577" width="9" style="3214" customWidth="1"/>
    <col min="1578" max="1578" width="19.21875" style="3214" customWidth="1"/>
    <col min="1579" max="1580" width="23" style="3214" customWidth="1"/>
    <col min="1581" max="1581" width="9" style="3214" customWidth="1"/>
    <col min="1582" max="1792" width="8.88671875" style="3214"/>
    <col min="1793" max="1793" width="30.77734375" style="3214" customWidth="1"/>
    <col min="1794" max="1794" width="7.109375" style="3214" customWidth="1"/>
    <col min="1795" max="1795" width="9" style="3214" customWidth="1"/>
    <col min="1796" max="1796" width="7.109375" style="3214" customWidth="1"/>
    <col min="1797" max="1797" width="5.21875" style="3214" customWidth="1"/>
    <col min="1798" max="1798" width="30.77734375" style="3214" customWidth="1"/>
    <col min="1799" max="1799" width="9" style="3214" customWidth="1"/>
    <col min="1800" max="1800" width="48.6640625" style="3214" customWidth="1"/>
    <col min="1801" max="1801" width="20.33203125" style="3214" customWidth="1"/>
    <col min="1802" max="1803" width="15.88671875" style="3214" customWidth="1"/>
    <col min="1804" max="1804" width="22.77734375" style="3214" customWidth="1"/>
    <col min="1805" max="1807" width="9" style="3214" customWidth="1"/>
    <col min="1808" max="1808" width="11" style="3214" customWidth="1"/>
    <col min="1809" max="1810" width="17.77734375" style="3214" customWidth="1"/>
    <col min="1811" max="1811" width="14.77734375" style="3214" customWidth="1"/>
    <col min="1812" max="1813" width="12.88671875" style="3214" customWidth="1"/>
    <col min="1814" max="1814" width="20.33203125" style="3214" customWidth="1"/>
    <col min="1815" max="1815" width="9" style="3214" customWidth="1"/>
    <col min="1816" max="1819" width="10.21875" style="3214" customWidth="1"/>
    <col min="1820" max="1820" width="22.88671875" style="3214" customWidth="1"/>
    <col min="1821" max="1821" width="9" style="3214" customWidth="1"/>
    <col min="1822" max="1822" width="37.33203125" style="3214" customWidth="1"/>
    <col min="1823" max="1825" width="12.109375" style="3214" customWidth="1"/>
    <col min="1826" max="1827" width="18.21875" style="3214" customWidth="1"/>
    <col min="1828" max="1829" width="16.33203125" style="3214" customWidth="1"/>
    <col min="1830" max="1831" width="25" style="3214" customWidth="1"/>
    <col min="1832" max="1832" width="7.109375" style="3214" customWidth="1"/>
    <col min="1833" max="1833" width="9" style="3214" customWidth="1"/>
    <col min="1834" max="1834" width="19.21875" style="3214" customWidth="1"/>
    <col min="1835" max="1836" width="23" style="3214" customWidth="1"/>
    <col min="1837" max="1837" width="9" style="3214" customWidth="1"/>
    <col min="1838" max="2048" width="8.88671875" style="3214"/>
    <col min="2049" max="2049" width="30.77734375" style="3214" customWidth="1"/>
    <col min="2050" max="2050" width="7.109375" style="3214" customWidth="1"/>
    <col min="2051" max="2051" width="9" style="3214" customWidth="1"/>
    <col min="2052" max="2052" width="7.109375" style="3214" customWidth="1"/>
    <col min="2053" max="2053" width="5.21875" style="3214" customWidth="1"/>
    <col min="2054" max="2054" width="30.77734375" style="3214" customWidth="1"/>
    <col min="2055" max="2055" width="9" style="3214" customWidth="1"/>
    <col min="2056" max="2056" width="48.6640625" style="3214" customWidth="1"/>
    <col min="2057" max="2057" width="20.33203125" style="3214" customWidth="1"/>
    <col min="2058" max="2059" width="15.88671875" style="3214" customWidth="1"/>
    <col min="2060" max="2060" width="22.77734375" style="3214" customWidth="1"/>
    <col min="2061" max="2063" width="9" style="3214" customWidth="1"/>
    <col min="2064" max="2064" width="11" style="3214" customWidth="1"/>
    <col min="2065" max="2066" width="17.77734375" style="3214" customWidth="1"/>
    <col min="2067" max="2067" width="14.77734375" style="3214" customWidth="1"/>
    <col min="2068" max="2069" width="12.88671875" style="3214" customWidth="1"/>
    <col min="2070" max="2070" width="20.33203125" style="3214" customWidth="1"/>
    <col min="2071" max="2071" width="9" style="3214" customWidth="1"/>
    <col min="2072" max="2075" width="10.21875" style="3214" customWidth="1"/>
    <col min="2076" max="2076" width="22.88671875" style="3214" customWidth="1"/>
    <col min="2077" max="2077" width="9" style="3214" customWidth="1"/>
    <col min="2078" max="2078" width="37.33203125" style="3214" customWidth="1"/>
    <col min="2079" max="2081" width="12.109375" style="3214" customWidth="1"/>
    <col min="2082" max="2083" width="18.21875" style="3214" customWidth="1"/>
    <col min="2084" max="2085" width="16.33203125" style="3214" customWidth="1"/>
    <col min="2086" max="2087" width="25" style="3214" customWidth="1"/>
    <col min="2088" max="2088" width="7.109375" style="3214" customWidth="1"/>
    <col min="2089" max="2089" width="9" style="3214" customWidth="1"/>
    <col min="2090" max="2090" width="19.21875" style="3214" customWidth="1"/>
    <col min="2091" max="2092" width="23" style="3214" customWidth="1"/>
    <col min="2093" max="2093" width="9" style="3214" customWidth="1"/>
    <col min="2094" max="2304" width="8.88671875" style="3214"/>
    <col min="2305" max="2305" width="30.77734375" style="3214" customWidth="1"/>
    <col min="2306" max="2306" width="7.109375" style="3214" customWidth="1"/>
    <col min="2307" max="2307" width="9" style="3214" customWidth="1"/>
    <col min="2308" max="2308" width="7.109375" style="3214" customWidth="1"/>
    <col min="2309" max="2309" width="5.21875" style="3214" customWidth="1"/>
    <col min="2310" max="2310" width="30.77734375" style="3214" customWidth="1"/>
    <col min="2311" max="2311" width="9" style="3214" customWidth="1"/>
    <col min="2312" max="2312" width="48.6640625" style="3214" customWidth="1"/>
    <col min="2313" max="2313" width="20.33203125" style="3214" customWidth="1"/>
    <col min="2314" max="2315" width="15.88671875" style="3214" customWidth="1"/>
    <col min="2316" max="2316" width="22.77734375" style="3214" customWidth="1"/>
    <col min="2317" max="2319" width="9" style="3214" customWidth="1"/>
    <col min="2320" max="2320" width="11" style="3214" customWidth="1"/>
    <col min="2321" max="2322" width="17.77734375" style="3214" customWidth="1"/>
    <col min="2323" max="2323" width="14.77734375" style="3214" customWidth="1"/>
    <col min="2324" max="2325" width="12.88671875" style="3214" customWidth="1"/>
    <col min="2326" max="2326" width="20.33203125" style="3214" customWidth="1"/>
    <col min="2327" max="2327" width="9" style="3214" customWidth="1"/>
    <col min="2328" max="2331" width="10.21875" style="3214" customWidth="1"/>
    <col min="2332" max="2332" width="22.88671875" style="3214" customWidth="1"/>
    <col min="2333" max="2333" width="9" style="3214" customWidth="1"/>
    <col min="2334" max="2334" width="37.33203125" style="3214" customWidth="1"/>
    <col min="2335" max="2337" width="12.109375" style="3214" customWidth="1"/>
    <col min="2338" max="2339" width="18.21875" style="3214" customWidth="1"/>
    <col min="2340" max="2341" width="16.33203125" style="3214" customWidth="1"/>
    <col min="2342" max="2343" width="25" style="3214" customWidth="1"/>
    <col min="2344" max="2344" width="7.109375" style="3214" customWidth="1"/>
    <col min="2345" max="2345" width="9" style="3214" customWidth="1"/>
    <col min="2346" max="2346" width="19.21875" style="3214" customWidth="1"/>
    <col min="2347" max="2348" width="23" style="3214" customWidth="1"/>
    <col min="2349" max="2349" width="9" style="3214" customWidth="1"/>
    <col min="2350" max="2560" width="8.88671875" style="3214"/>
    <col min="2561" max="2561" width="30.77734375" style="3214" customWidth="1"/>
    <col min="2562" max="2562" width="7.109375" style="3214" customWidth="1"/>
    <col min="2563" max="2563" width="9" style="3214" customWidth="1"/>
    <col min="2564" max="2564" width="7.109375" style="3214" customWidth="1"/>
    <col min="2565" max="2565" width="5.21875" style="3214" customWidth="1"/>
    <col min="2566" max="2566" width="30.77734375" style="3214" customWidth="1"/>
    <col min="2567" max="2567" width="9" style="3214" customWidth="1"/>
    <col min="2568" max="2568" width="48.6640625" style="3214" customWidth="1"/>
    <col min="2569" max="2569" width="20.33203125" style="3214" customWidth="1"/>
    <col min="2570" max="2571" width="15.88671875" style="3214" customWidth="1"/>
    <col min="2572" max="2572" width="22.77734375" style="3214" customWidth="1"/>
    <col min="2573" max="2575" width="9" style="3214" customWidth="1"/>
    <col min="2576" max="2576" width="11" style="3214" customWidth="1"/>
    <col min="2577" max="2578" width="17.77734375" style="3214" customWidth="1"/>
    <col min="2579" max="2579" width="14.77734375" style="3214" customWidth="1"/>
    <col min="2580" max="2581" width="12.88671875" style="3214" customWidth="1"/>
    <col min="2582" max="2582" width="20.33203125" style="3214" customWidth="1"/>
    <col min="2583" max="2583" width="9" style="3214" customWidth="1"/>
    <col min="2584" max="2587" width="10.21875" style="3214" customWidth="1"/>
    <col min="2588" max="2588" width="22.88671875" style="3214" customWidth="1"/>
    <col min="2589" max="2589" width="9" style="3214" customWidth="1"/>
    <col min="2590" max="2590" width="37.33203125" style="3214" customWidth="1"/>
    <col min="2591" max="2593" width="12.109375" style="3214" customWidth="1"/>
    <col min="2594" max="2595" width="18.21875" style="3214" customWidth="1"/>
    <col min="2596" max="2597" width="16.33203125" style="3214" customWidth="1"/>
    <col min="2598" max="2599" width="25" style="3214" customWidth="1"/>
    <col min="2600" max="2600" width="7.109375" style="3214" customWidth="1"/>
    <col min="2601" max="2601" width="9" style="3214" customWidth="1"/>
    <col min="2602" max="2602" width="19.21875" style="3214" customWidth="1"/>
    <col min="2603" max="2604" width="23" style="3214" customWidth="1"/>
    <col min="2605" max="2605" width="9" style="3214" customWidth="1"/>
    <col min="2606" max="2816" width="8.88671875" style="3214"/>
    <col min="2817" max="2817" width="30.77734375" style="3214" customWidth="1"/>
    <col min="2818" max="2818" width="7.109375" style="3214" customWidth="1"/>
    <col min="2819" max="2819" width="9" style="3214" customWidth="1"/>
    <col min="2820" max="2820" width="7.109375" style="3214" customWidth="1"/>
    <col min="2821" max="2821" width="5.21875" style="3214" customWidth="1"/>
    <col min="2822" max="2822" width="30.77734375" style="3214" customWidth="1"/>
    <col min="2823" max="2823" width="9" style="3214" customWidth="1"/>
    <col min="2824" max="2824" width="48.6640625" style="3214" customWidth="1"/>
    <col min="2825" max="2825" width="20.33203125" style="3214" customWidth="1"/>
    <col min="2826" max="2827" width="15.88671875" style="3214" customWidth="1"/>
    <col min="2828" max="2828" width="22.77734375" style="3214" customWidth="1"/>
    <col min="2829" max="2831" width="9" style="3214" customWidth="1"/>
    <col min="2832" max="2832" width="11" style="3214" customWidth="1"/>
    <col min="2833" max="2834" width="17.77734375" style="3214" customWidth="1"/>
    <col min="2835" max="2835" width="14.77734375" style="3214" customWidth="1"/>
    <col min="2836" max="2837" width="12.88671875" style="3214" customWidth="1"/>
    <col min="2838" max="2838" width="20.33203125" style="3214" customWidth="1"/>
    <col min="2839" max="2839" width="9" style="3214" customWidth="1"/>
    <col min="2840" max="2843" width="10.21875" style="3214" customWidth="1"/>
    <col min="2844" max="2844" width="22.88671875" style="3214" customWidth="1"/>
    <col min="2845" max="2845" width="9" style="3214" customWidth="1"/>
    <col min="2846" max="2846" width="37.33203125" style="3214" customWidth="1"/>
    <col min="2847" max="2849" width="12.109375" style="3214" customWidth="1"/>
    <col min="2850" max="2851" width="18.21875" style="3214" customWidth="1"/>
    <col min="2852" max="2853" width="16.33203125" style="3214" customWidth="1"/>
    <col min="2854" max="2855" width="25" style="3214" customWidth="1"/>
    <col min="2856" max="2856" width="7.109375" style="3214" customWidth="1"/>
    <col min="2857" max="2857" width="9" style="3214" customWidth="1"/>
    <col min="2858" max="2858" width="19.21875" style="3214" customWidth="1"/>
    <col min="2859" max="2860" width="23" style="3214" customWidth="1"/>
    <col min="2861" max="2861" width="9" style="3214" customWidth="1"/>
    <col min="2862" max="3072" width="8.88671875" style="3214"/>
    <col min="3073" max="3073" width="30.77734375" style="3214" customWidth="1"/>
    <col min="3074" max="3074" width="7.109375" style="3214" customWidth="1"/>
    <col min="3075" max="3075" width="9" style="3214" customWidth="1"/>
    <col min="3076" max="3076" width="7.109375" style="3214" customWidth="1"/>
    <col min="3077" max="3077" width="5.21875" style="3214" customWidth="1"/>
    <col min="3078" max="3078" width="30.77734375" style="3214" customWidth="1"/>
    <col min="3079" max="3079" width="9" style="3214" customWidth="1"/>
    <col min="3080" max="3080" width="48.6640625" style="3214" customWidth="1"/>
    <col min="3081" max="3081" width="20.33203125" style="3214" customWidth="1"/>
    <col min="3082" max="3083" width="15.88671875" style="3214" customWidth="1"/>
    <col min="3084" max="3084" width="22.77734375" style="3214" customWidth="1"/>
    <col min="3085" max="3087" width="9" style="3214" customWidth="1"/>
    <col min="3088" max="3088" width="11" style="3214" customWidth="1"/>
    <col min="3089" max="3090" width="17.77734375" style="3214" customWidth="1"/>
    <col min="3091" max="3091" width="14.77734375" style="3214" customWidth="1"/>
    <col min="3092" max="3093" width="12.88671875" style="3214" customWidth="1"/>
    <col min="3094" max="3094" width="20.33203125" style="3214" customWidth="1"/>
    <col min="3095" max="3095" width="9" style="3214" customWidth="1"/>
    <col min="3096" max="3099" width="10.21875" style="3214" customWidth="1"/>
    <col min="3100" max="3100" width="22.88671875" style="3214" customWidth="1"/>
    <col min="3101" max="3101" width="9" style="3214" customWidth="1"/>
    <col min="3102" max="3102" width="37.33203125" style="3214" customWidth="1"/>
    <col min="3103" max="3105" width="12.109375" style="3214" customWidth="1"/>
    <col min="3106" max="3107" width="18.21875" style="3214" customWidth="1"/>
    <col min="3108" max="3109" width="16.33203125" style="3214" customWidth="1"/>
    <col min="3110" max="3111" width="25" style="3214" customWidth="1"/>
    <col min="3112" max="3112" width="7.109375" style="3214" customWidth="1"/>
    <col min="3113" max="3113" width="9" style="3214" customWidth="1"/>
    <col min="3114" max="3114" width="19.21875" style="3214" customWidth="1"/>
    <col min="3115" max="3116" width="23" style="3214" customWidth="1"/>
    <col min="3117" max="3117" width="9" style="3214" customWidth="1"/>
    <col min="3118" max="3328" width="8.88671875" style="3214"/>
    <col min="3329" max="3329" width="30.77734375" style="3214" customWidth="1"/>
    <col min="3330" max="3330" width="7.109375" style="3214" customWidth="1"/>
    <col min="3331" max="3331" width="9" style="3214" customWidth="1"/>
    <col min="3332" max="3332" width="7.109375" style="3214" customWidth="1"/>
    <col min="3333" max="3333" width="5.21875" style="3214" customWidth="1"/>
    <col min="3334" max="3334" width="30.77734375" style="3214" customWidth="1"/>
    <col min="3335" max="3335" width="9" style="3214" customWidth="1"/>
    <col min="3336" max="3336" width="48.6640625" style="3214" customWidth="1"/>
    <col min="3337" max="3337" width="20.33203125" style="3214" customWidth="1"/>
    <col min="3338" max="3339" width="15.88671875" style="3214" customWidth="1"/>
    <col min="3340" max="3340" width="22.77734375" style="3214" customWidth="1"/>
    <col min="3341" max="3343" width="9" style="3214" customWidth="1"/>
    <col min="3344" max="3344" width="11" style="3214" customWidth="1"/>
    <col min="3345" max="3346" width="17.77734375" style="3214" customWidth="1"/>
    <col min="3347" max="3347" width="14.77734375" style="3214" customWidth="1"/>
    <col min="3348" max="3349" width="12.88671875" style="3214" customWidth="1"/>
    <col min="3350" max="3350" width="20.33203125" style="3214" customWidth="1"/>
    <col min="3351" max="3351" width="9" style="3214" customWidth="1"/>
    <col min="3352" max="3355" width="10.21875" style="3214" customWidth="1"/>
    <col min="3356" max="3356" width="22.88671875" style="3214" customWidth="1"/>
    <col min="3357" max="3357" width="9" style="3214" customWidth="1"/>
    <col min="3358" max="3358" width="37.33203125" style="3214" customWidth="1"/>
    <col min="3359" max="3361" width="12.109375" style="3214" customWidth="1"/>
    <col min="3362" max="3363" width="18.21875" style="3214" customWidth="1"/>
    <col min="3364" max="3365" width="16.33203125" style="3214" customWidth="1"/>
    <col min="3366" max="3367" width="25" style="3214" customWidth="1"/>
    <col min="3368" max="3368" width="7.109375" style="3214" customWidth="1"/>
    <col min="3369" max="3369" width="9" style="3214" customWidth="1"/>
    <col min="3370" max="3370" width="19.21875" style="3214" customWidth="1"/>
    <col min="3371" max="3372" width="23" style="3214" customWidth="1"/>
    <col min="3373" max="3373" width="9" style="3214" customWidth="1"/>
    <col min="3374" max="3584" width="8.88671875" style="3214"/>
    <col min="3585" max="3585" width="30.77734375" style="3214" customWidth="1"/>
    <col min="3586" max="3586" width="7.109375" style="3214" customWidth="1"/>
    <col min="3587" max="3587" width="9" style="3214" customWidth="1"/>
    <col min="3588" max="3588" width="7.109375" style="3214" customWidth="1"/>
    <col min="3589" max="3589" width="5.21875" style="3214" customWidth="1"/>
    <col min="3590" max="3590" width="30.77734375" style="3214" customWidth="1"/>
    <col min="3591" max="3591" width="9" style="3214" customWidth="1"/>
    <col min="3592" max="3592" width="48.6640625" style="3214" customWidth="1"/>
    <col min="3593" max="3593" width="20.33203125" style="3214" customWidth="1"/>
    <col min="3594" max="3595" width="15.88671875" style="3214" customWidth="1"/>
    <col min="3596" max="3596" width="22.77734375" style="3214" customWidth="1"/>
    <col min="3597" max="3599" width="9" style="3214" customWidth="1"/>
    <col min="3600" max="3600" width="11" style="3214" customWidth="1"/>
    <col min="3601" max="3602" width="17.77734375" style="3214" customWidth="1"/>
    <col min="3603" max="3603" width="14.77734375" style="3214" customWidth="1"/>
    <col min="3604" max="3605" width="12.88671875" style="3214" customWidth="1"/>
    <col min="3606" max="3606" width="20.33203125" style="3214" customWidth="1"/>
    <col min="3607" max="3607" width="9" style="3214" customWidth="1"/>
    <col min="3608" max="3611" width="10.21875" style="3214" customWidth="1"/>
    <col min="3612" max="3612" width="22.88671875" style="3214" customWidth="1"/>
    <col min="3613" max="3613" width="9" style="3214" customWidth="1"/>
    <col min="3614" max="3614" width="37.33203125" style="3214" customWidth="1"/>
    <col min="3615" max="3617" width="12.109375" style="3214" customWidth="1"/>
    <col min="3618" max="3619" width="18.21875" style="3214" customWidth="1"/>
    <col min="3620" max="3621" width="16.33203125" style="3214" customWidth="1"/>
    <col min="3622" max="3623" width="25" style="3214" customWidth="1"/>
    <col min="3624" max="3624" width="7.109375" style="3214" customWidth="1"/>
    <col min="3625" max="3625" width="9" style="3214" customWidth="1"/>
    <col min="3626" max="3626" width="19.21875" style="3214" customWidth="1"/>
    <col min="3627" max="3628" width="23" style="3214" customWidth="1"/>
    <col min="3629" max="3629" width="9" style="3214" customWidth="1"/>
    <col min="3630" max="3840" width="8.88671875" style="3214"/>
    <col min="3841" max="3841" width="30.77734375" style="3214" customWidth="1"/>
    <col min="3842" max="3842" width="7.109375" style="3214" customWidth="1"/>
    <col min="3843" max="3843" width="9" style="3214" customWidth="1"/>
    <col min="3844" max="3844" width="7.109375" style="3214" customWidth="1"/>
    <col min="3845" max="3845" width="5.21875" style="3214" customWidth="1"/>
    <col min="3846" max="3846" width="30.77734375" style="3214" customWidth="1"/>
    <col min="3847" max="3847" width="9" style="3214" customWidth="1"/>
    <col min="3848" max="3848" width="48.6640625" style="3214" customWidth="1"/>
    <col min="3849" max="3849" width="20.33203125" style="3214" customWidth="1"/>
    <col min="3850" max="3851" width="15.88671875" style="3214" customWidth="1"/>
    <col min="3852" max="3852" width="22.77734375" style="3214" customWidth="1"/>
    <col min="3853" max="3855" width="9" style="3214" customWidth="1"/>
    <col min="3856" max="3856" width="11" style="3214" customWidth="1"/>
    <col min="3857" max="3858" width="17.77734375" style="3214" customWidth="1"/>
    <col min="3859" max="3859" width="14.77734375" style="3214" customWidth="1"/>
    <col min="3860" max="3861" width="12.88671875" style="3214" customWidth="1"/>
    <col min="3862" max="3862" width="20.33203125" style="3214" customWidth="1"/>
    <col min="3863" max="3863" width="9" style="3214" customWidth="1"/>
    <col min="3864" max="3867" width="10.21875" style="3214" customWidth="1"/>
    <col min="3868" max="3868" width="22.88671875" style="3214" customWidth="1"/>
    <col min="3869" max="3869" width="9" style="3214" customWidth="1"/>
    <col min="3870" max="3870" width="37.33203125" style="3214" customWidth="1"/>
    <col min="3871" max="3873" width="12.109375" style="3214" customWidth="1"/>
    <col min="3874" max="3875" width="18.21875" style="3214" customWidth="1"/>
    <col min="3876" max="3877" width="16.33203125" style="3214" customWidth="1"/>
    <col min="3878" max="3879" width="25" style="3214" customWidth="1"/>
    <col min="3880" max="3880" width="7.109375" style="3214" customWidth="1"/>
    <col min="3881" max="3881" width="9" style="3214" customWidth="1"/>
    <col min="3882" max="3882" width="19.21875" style="3214" customWidth="1"/>
    <col min="3883" max="3884" width="23" style="3214" customWidth="1"/>
    <col min="3885" max="3885" width="9" style="3214" customWidth="1"/>
    <col min="3886" max="4096" width="8.88671875" style="3214"/>
    <col min="4097" max="4097" width="30.77734375" style="3214" customWidth="1"/>
    <col min="4098" max="4098" width="7.109375" style="3214" customWidth="1"/>
    <col min="4099" max="4099" width="9" style="3214" customWidth="1"/>
    <col min="4100" max="4100" width="7.109375" style="3214" customWidth="1"/>
    <col min="4101" max="4101" width="5.21875" style="3214" customWidth="1"/>
    <col min="4102" max="4102" width="30.77734375" style="3214" customWidth="1"/>
    <col min="4103" max="4103" width="9" style="3214" customWidth="1"/>
    <col min="4104" max="4104" width="48.6640625" style="3214" customWidth="1"/>
    <col min="4105" max="4105" width="20.33203125" style="3214" customWidth="1"/>
    <col min="4106" max="4107" width="15.88671875" style="3214" customWidth="1"/>
    <col min="4108" max="4108" width="22.77734375" style="3214" customWidth="1"/>
    <col min="4109" max="4111" width="9" style="3214" customWidth="1"/>
    <col min="4112" max="4112" width="11" style="3214" customWidth="1"/>
    <col min="4113" max="4114" width="17.77734375" style="3214" customWidth="1"/>
    <col min="4115" max="4115" width="14.77734375" style="3214" customWidth="1"/>
    <col min="4116" max="4117" width="12.88671875" style="3214" customWidth="1"/>
    <col min="4118" max="4118" width="20.33203125" style="3214" customWidth="1"/>
    <col min="4119" max="4119" width="9" style="3214" customWidth="1"/>
    <col min="4120" max="4123" width="10.21875" style="3214" customWidth="1"/>
    <col min="4124" max="4124" width="22.88671875" style="3214" customWidth="1"/>
    <col min="4125" max="4125" width="9" style="3214" customWidth="1"/>
    <col min="4126" max="4126" width="37.33203125" style="3214" customWidth="1"/>
    <col min="4127" max="4129" width="12.109375" style="3214" customWidth="1"/>
    <col min="4130" max="4131" width="18.21875" style="3214" customWidth="1"/>
    <col min="4132" max="4133" width="16.33203125" style="3214" customWidth="1"/>
    <col min="4134" max="4135" width="25" style="3214" customWidth="1"/>
    <col min="4136" max="4136" width="7.109375" style="3214" customWidth="1"/>
    <col min="4137" max="4137" width="9" style="3214" customWidth="1"/>
    <col min="4138" max="4138" width="19.21875" style="3214" customWidth="1"/>
    <col min="4139" max="4140" width="23" style="3214" customWidth="1"/>
    <col min="4141" max="4141" width="9" style="3214" customWidth="1"/>
    <col min="4142" max="4352" width="8.88671875" style="3214"/>
    <col min="4353" max="4353" width="30.77734375" style="3214" customWidth="1"/>
    <col min="4354" max="4354" width="7.109375" style="3214" customWidth="1"/>
    <col min="4355" max="4355" width="9" style="3214" customWidth="1"/>
    <col min="4356" max="4356" width="7.109375" style="3214" customWidth="1"/>
    <col min="4357" max="4357" width="5.21875" style="3214" customWidth="1"/>
    <col min="4358" max="4358" width="30.77734375" style="3214" customWidth="1"/>
    <col min="4359" max="4359" width="9" style="3214" customWidth="1"/>
    <col min="4360" max="4360" width="48.6640625" style="3214" customWidth="1"/>
    <col min="4361" max="4361" width="20.33203125" style="3214" customWidth="1"/>
    <col min="4362" max="4363" width="15.88671875" style="3214" customWidth="1"/>
    <col min="4364" max="4364" width="22.77734375" style="3214" customWidth="1"/>
    <col min="4365" max="4367" width="9" style="3214" customWidth="1"/>
    <col min="4368" max="4368" width="11" style="3214" customWidth="1"/>
    <col min="4369" max="4370" width="17.77734375" style="3214" customWidth="1"/>
    <col min="4371" max="4371" width="14.77734375" style="3214" customWidth="1"/>
    <col min="4372" max="4373" width="12.88671875" style="3214" customWidth="1"/>
    <col min="4374" max="4374" width="20.33203125" style="3214" customWidth="1"/>
    <col min="4375" max="4375" width="9" style="3214" customWidth="1"/>
    <col min="4376" max="4379" width="10.21875" style="3214" customWidth="1"/>
    <col min="4380" max="4380" width="22.88671875" style="3214" customWidth="1"/>
    <col min="4381" max="4381" width="9" style="3214" customWidth="1"/>
    <col min="4382" max="4382" width="37.33203125" style="3214" customWidth="1"/>
    <col min="4383" max="4385" width="12.109375" style="3214" customWidth="1"/>
    <col min="4386" max="4387" width="18.21875" style="3214" customWidth="1"/>
    <col min="4388" max="4389" width="16.33203125" style="3214" customWidth="1"/>
    <col min="4390" max="4391" width="25" style="3214" customWidth="1"/>
    <col min="4392" max="4392" width="7.109375" style="3214" customWidth="1"/>
    <col min="4393" max="4393" width="9" style="3214" customWidth="1"/>
    <col min="4394" max="4394" width="19.21875" style="3214" customWidth="1"/>
    <col min="4395" max="4396" width="23" style="3214" customWidth="1"/>
    <col min="4397" max="4397" width="9" style="3214" customWidth="1"/>
    <col min="4398" max="4608" width="8.88671875" style="3214"/>
    <col min="4609" max="4609" width="30.77734375" style="3214" customWidth="1"/>
    <col min="4610" max="4610" width="7.109375" style="3214" customWidth="1"/>
    <col min="4611" max="4611" width="9" style="3214" customWidth="1"/>
    <col min="4612" max="4612" width="7.109375" style="3214" customWidth="1"/>
    <col min="4613" max="4613" width="5.21875" style="3214" customWidth="1"/>
    <col min="4614" max="4614" width="30.77734375" style="3214" customWidth="1"/>
    <col min="4615" max="4615" width="9" style="3214" customWidth="1"/>
    <col min="4616" max="4616" width="48.6640625" style="3214" customWidth="1"/>
    <col min="4617" max="4617" width="20.33203125" style="3214" customWidth="1"/>
    <col min="4618" max="4619" width="15.88671875" style="3214" customWidth="1"/>
    <col min="4620" max="4620" width="22.77734375" style="3214" customWidth="1"/>
    <col min="4621" max="4623" width="9" style="3214" customWidth="1"/>
    <col min="4624" max="4624" width="11" style="3214" customWidth="1"/>
    <col min="4625" max="4626" width="17.77734375" style="3214" customWidth="1"/>
    <col min="4627" max="4627" width="14.77734375" style="3214" customWidth="1"/>
    <col min="4628" max="4629" width="12.88671875" style="3214" customWidth="1"/>
    <col min="4630" max="4630" width="20.33203125" style="3214" customWidth="1"/>
    <col min="4631" max="4631" width="9" style="3214" customWidth="1"/>
    <col min="4632" max="4635" width="10.21875" style="3214" customWidth="1"/>
    <col min="4636" max="4636" width="22.88671875" style="3214" customWidth="1"/>
    <col min="4637" max="4637" width="9" style="3214" customWidth="1"/>
    <col min="4638" max="4638" width="37.33203125" style="3214" customWidth="1"/>
    <col min="4639" max="4641" width="12.109375" style="3214" customWidth="1"/>
    <col min="4642" max="4643" width="18.21875" style="3214" customWidth="1"/>
    <col min="4644" max="4645" width="16.33203125" style="3214" customWidth="1"/>
    <col min="4646" max="4647" width="25" style="3214" customWidth="1"/>
    <col min="4648" max="4648" width="7.109375" style="3214" customWidth="1"/>
    <col min="4649" max="4649" width="9" style="3214" customWidth="1"/>
    <col min="4650" max="4650" width="19.21875" style="3214" customWidth="1"/>
    <col min="4651" max="4652" width="23" style="3214" customWidth="1"/>
    <col min="4653" max="4653" width="9" style="3214" customWidth="1"/>
    <col min="4654" max="4864" width="8.88671875" style="3214"/>
    <col min="4865" max="4865" width="30.77734375" style="3214" customWidth="1"/>
    <col min="4866" max="4866" width="7.109375" style="3214" customWidth="1"/>
    <col min="4867" max="4867" width="9" style="3214" customWidth="1"/>
    <col min="4868" max="4868" width="7.109375" style="3214" customWidth="1"/>
    <col min="4869" max="4869" width="5.21875" style="3214" customWidth="1"/>
    <col min="4870" max="4870" width="30.77734375" style="3214" customWidth="1"/>
    <col min="4871" max="4871" width="9" style="3214" customWidth="1"/>
    <col min="4872" max="4872" width="48.6640625" style="3214" customWidth="1"/>
    <col min="4873" max="4873" width="20.33203125" style="3214" customWidth="1"/>
    <col min="4874" max="4875" width="15.88671875" style="3214" customWidth="1"/>
    <col min="4876" max="4876" width="22.77734375" style="3214" customWidth="1"/>
    <col min="4877" max="4879" width="9" style="3214" customWidth="1"/>
    <col min="4880" max="4880" width="11" style="3214" customWidth="1"/>
    <col min="4881" max="4882" width="17.77734375" style="3214" customWidth="1"/>
    <col min="4883" max="4883" width="14.77734375" style="3214" customWidth="1"/>
    <col min="4884" max="4885" width="12.88671875" style="3214" customWidth="1"/>
    <col min="4886" max="4886" width="20.33203125" style="3214" customWidth="1"/>
    <col min="4887" max="4887" width="9" style="3214" customWidth="1"/>
    <col min="4888" max="4891" width="10.21875" style="3214" customWidth="1"/>
    <col min="4892" max="4892" width="22.88671875" style="3214" customWidth="1"/>
    <col min="4893" max="4893" width="9" style="3214" customWidth="1"/>
    <col min="4894" max="4894" width="37.33203125" style="3214" customWidth="1"/>
    <col min="4895" max="4897" width="12.109375" style="3214" customWidth="1"/>
    <col min="4898" max="4899" width="18.21875" style="3214" customWidth="1"/>
    <col min="4900" max="4901" width="16.33203125" style="3214" customWidth="1"/>
    <col min="4902" max="4903" width="25" style="3214" customWidth="1"/>
    <col min="4904" max="4904" width="7.109375" style="3214" customWidth="1"/>
    <col min="4905" max="4905" width="9" style="3214" customWidth="1"/>
    <col min="4906" max="4906" width="19.21875" style="3214" customWidth="1"/>
    <col min="4907" max="4908" width="23" style="3214" customWidth="1"/>
    <col min="4909" max="4909" width="9" style="3214" customWidth="1"/>
    <col min="4910" max="5120" width="8.88671875" style="3214"/>
    <col min="5121" max="5121" width="30.77734375" style="3214" customWidth="1"/>
    <col min="5122" max="5122" width="7.109375" style="3214" customWidth="1"/>
    <col min="5123" max="5123" width="9" style="3214" customWidth="1"/>
    <col min="5124" max="5124" width="7.109375" style="3214" customWidth="1"/>
    <col min="5125" max="5125" width="5.21875" style="3214" customWidth="1"/>
    <col min="5126" max="5126" width="30.77734375" style="3214" customWidth="1"/>
    <col min="5127" max="5127" width="9" style="3214" customWidth="1"/>
    <col min="5128" max="5128" width="48.6640625" style="3214" customWidth="1"/>
    <col min="5129" max="5129" width="20.33203125" style="3214" customWidth="1"/>
    <col min="5130" max="5131" width="15.88671875" style="3214" customWidth="1"/>
    <col min="5132" max="5132" width="22.77734375" style="3214" customWidth="1"/>
    <col min="5133" max="5135" width="9" style="3214" customWidth="1"/>
    <col min="5136" max="5136" width="11" style="3214" customWidth="1"/>
    <col min="5137" max="5138" width="17.77734375" style="3214" customWidth="1"/>
    <col min="5139" max="5139" width="14.77734375" style="3214" customWidth="1"/>
    <col min="5140" max="5141" width="12.88671875" style="3214" customWidth="1"/>
    <col min="5142" max="5142" width="20.33203125" style="3214" customWidth="1"/>
    <col min="5143" max="5143" width="9" style="3214" customWidth="1"/>
    <col min="5144" max="5147" width="10.21875" style="3214" customWidth="1"/>
    <col min="5148" max="5148" width="22.88671875" style="3214" customWidth="1"/>
    <col min="5149" max="5149" width="9" style="3214" customWidth="1"/>
    <col min="5150" max="5150" width="37.33203125" style="3214" customWidth="1"/>
    <col min="5151" max="5153" width="12.109375" style="3214" customWidth="1"/>
    <col min="5154" max="5155" width="18.21875" style="3214" customWidth="1"/>
    <col min="5156" max="5157" width="16.33203125" style="3214" customWidth="1"/>
    <col min="5158" max="5159" width="25" style="3214" customWidth="1"/>
    <col min="5160" max="5160" width="7.109375" style="3214" customWidth="1"/>
    <col min="5161" max="5161" width="9" style="3214" customWidth="1"/>
    <col min="5162" max="5162" width="19.21875" style="3214" customWidth="1"/>
    <col min="5163" max="5164" width="23" style="3214" customWidth="1"/>
    <col min="5165" max="5165" width="9" style="3214" customWidth="1"/>
    <col min="5166" max="5376" width="8.88671875" style="3214"/>
    <col min="5377" max="5377" width="30.77734375" style="3214" customWidth="1"/>
    <col min="5378" max="5378" width="7.109375" style="3214" customWidth="1"/>
    <col min="5379" max="5379" width="9" style="3214" customWidth="1"/>
    <col min="5380" max="5380" width="7.109375" style="3214" customWidth="1"/>
    <col min="5381" max="5381" width="5.21875" style="3214" customWidth="1"/>
    <col min="5382" max="5382" width="30.77734375" style="3214" customWidth="1"/>
    <col min="5383" max="5383" width="9" style="3214" customWidth="1"/>
    <col min="5384" max="5384" width="48.6640625" style="3214" customWidth="1"/>
    <col min="5385" max="5385" width="20.33203125" style="3214" customWidth="1"/>
    <col min="5386" max="5387" width="15.88671875" style="3214" customWidth="1"/>
    <col min="5388" max="5388" width="22.77734375" style="3214" customWidth="1"/>
    <col min="5389" max="5391" width="9" style="3214" customWidth="1"/>
    <col min="5392" max="5392" width="11" style="3214" customWidth="1"/>
    <col min="5393" max="5394" width="17.77734375" style="3214" customWidth="1"/>
    <col min="5395" max="5395" width="14.77734375" style="3214" customWidth="1"/>
    <col min="5396" max="5397" width="12.88671875" style="3214" customWidth="1"/>
    <col min="5398" max="5398" width="20.33203125" style="3214" customWidth="1"/>
    <col min="5399" max="5399" width="9" style="3214" customWidth="1"/>
    <col min="5400" max="5403" width="10.21875" style="3214" customWidth="1"/>
    <col min="5404" max="5404" width="22.88671875" style="3214" customWidth="1"/>
    <col min="5405" max="5405" width="9" style="3214" customWidth="1"/>
    <col min="5406" max="5406" width="37.33203125" style="3214" customWidth="1"/>
    <col min="5407" max="5409" width="12.109375" style="3214" customWidth="1"/>
    <col min="5410" max="5411" width="18.21875" style="3214" customWidth="1"/>
    <col min="5412" max="5413" width="16.33203125" style="3214" customWidth="1"/>
    <col min="5414" max="5415" width="25" style="3214" customWidth="1"/>
    <col min="5416" max="5416" width="7.109375" style="3214" customWidth="1"/>
    <col min="5417" max="5417" width="9" style="3214" customWidth="1"/>
    <col min="5418" max="5418" width="19.21875" style="3214" customWidth="1"/>
    <col min="5419" max="5420" width="23" style="3214" customWidth="1"/>
    <col min="5421" max="5421" width="9" style="3214" customWidth="1"/>
    <col min="5422" max="5632" width="8.88671875" style="3214"/>
    <col min="5633" max="5633" width="30.77734375" style="3214" customWidth="1"/>
    <col min="5634" max="5634" width="7.109375" style="3214" customWidth="1"/>
    <col min="5635" max="5635" width="9" style="3214" customWidth="1"/>
    <col min="5636" max="5636" width="7.109375" style="3214" customWidth="1"/>
    <col min="5637" max="5637" width="5.21875" style="3214" customWidth="1"/>
    <col min="5638" max="5638" width="30.77734375" style="3214" customWidth="1"/>
    <col min="5639" max="5639" width="9" style="3214" customWidth="1"/>
    <col min="5640" max="5640" width="48.6640625" style="3214" customWidth="1"/>
    <col min="5641" max="5641" width="20.33203125" style="3214" customWidth="1"/>
    <col min="5642" max="5643" width="15.88671875" style="3214" customWidth="1"/>
    <col min="5644" max="5644" width="22.77734375" style="3214" customWidth="1"/>
    <col min="5645" max="5647" width="9" style="3214" customWidth="1"/>
    <col min="5648" max="5648" width="11" style="3214" customWidth="1"/>
    <col min="5649" max="5650" width="17.77734375" style="3214" customWidth="1"/>
    <col min="5651" max="5651" width="14.77734375" style="3214" customWidth="1"/>
    <col min="5652" max="5653" width="12.88671875" style="3214" customWidth="1"/>
    <col min="5654" max="5654" width="20.33203125" style="3214" customWidth="1"/>
    <col min="5655" max="5655" width="9" style="3214" customWidth="1"/>
    <col min="5656" max="5659" width="10.21875" style="3214" customWidth="1"/>
    <col min="5660" max="5660" width="22.88671875" style="3214" customWidth="1"/>
    <col min="5661" max="5661" width="9" style="3214" customWidth="1"/>
    <col min="5662" max="5662" width="37.33203125" style="3214" customWidth="1"/>
    <col min="5663" max="5665" width="12.109375" style="3214" customWidth="1"/>
    <col min="5666" max="5667" width="18.21875" style="3214" customWidth="1"/>
    <col min="5668" max="5669" width="16.33203125" style="3214" customWidth="1"/>
    <col min="5670" max="5671" width="25" style="3214" customWidth="1"/>
    <col min="5672" max="5672" width="7.109375" style="3214" customWidth="1"/>
    <col min="5673" max="5673" width="9" style="3214" customWidth="1"/>
    <col min="5674" max="5674" width="19.21875" style="3214" customWidth="1"/>
    <col min="5675" max="5676" width="23" style="3214" customWidth="1"/>
    <col min="5677" max="5677" width="9" style="3214" customWidth="1"/>
    <col min="5678" max="5888" width="8.88671875" style="3214"/>
    <col min="5889" max="5889" width="30.77734375" style="3214" customWidth="1"/>
    <col min="5890" max="5890" width="7.109375" style="3214" customWidth="1"/>
    <col min="5891" max="5891" width="9" style="3214" customWidth="1"/>
    <col min="5892" max="5892" width="7.109375" style="3214" customWidth="1"/>
    <col min="5893" max="5893" width="5.21875" style="3214" customWidth="1"/>
    <col min="5894" max="5894" width="30.77734375" style="3214" customWidth="1"/>
    <col min="5895" max="5895" width="9" style="3214" customWidth="1"/>
    <col min="5896" max="5896" width="48.6640625" style="3214" customWidth="1"/>
    <col min="5897" max="5897" width="20.33203125" style="3214" customWidth="1"/>
    <col min="5898" max="5899" width="15.88671875" style="3214" customWidth="1"/>
    <col min="5900" max="5900" width="22.77734375" style="3214" customWidth="1"/>
    <col min="5901" max="5903" width="9" style="3214" customWidth="1"/>
    <col min="5904" max="5904" width="11" style="3214" customWidth="1"/>
    <col min="5905" max="5906" width="17.77734375" style="3214" customWidth="1"/>
    <col min="5907" max="5907" width="14.77734375" style="3214" customWidth="1"/>
    <col min="5908" max="5909" width="12.88671875" style="3214" customWidth="1"/>
    <col min="5910" max="5910" width="20.33203125" style="3214" customWidth="1"/>
    <col min="5911" max="5911" width="9" style="3214" customWidth="1"/>
    <col min="5912" max="5915" width="10.21875" style="3214" customWidth="1"/>
    <col min="5916" max="5916" width="22.88671875" style="3214" customWidth="1"/>
    <col min="5917" max="5917" width="9" style="3214" customWidth="1"/>
    <col min="5918" max="5918" width="37.33203125" style="3214" customWidth="1"/>
    <col min="5919" max="5921" width="12.109375" style="3214" customWidth="1"/>
    <col min="5922" max="5923" width="18.21875" style="3214" customWidth="1"/>
    <col min="5924" max="5925" width="16.33203125" style="3214" customWidth="1"/>
    <col min="5926" max="5927" width="25" style="3214" customWidth="1"/>
    <col min="5928" max="5928" width="7.109375" style="3214" customWidth="1"/>
    <col min="5929" max="5929" width="9" style="3214" customWidth="1"/>
    <col min="5930" max="5930" width="19.21875" style="3214" customWidth="1"/>
    <col min="5931" max="5932" width="23" style="3214" customWidth="1"/>
    <col min="5933" max="5933" width="9" style="3214" customWidth="1"/>
    <col min="5934" max="6144" width="8.88671875" style="3214"/>
    <col min="6145" max="6145" width="30.77734375" style="3214" customWidth="1"/>
    <col min="6146" max="6146" width="7.109375" style="3214" customWidth="1"/>
    <col min="6147" max="6147" width="9" style="3214" customWidth="1"/>
    <col min="6148" max="6148" width="7.109375" style="3214" customWidth="1"/>
    <col min="6149" max="6149" width="5.21875" style="3214" customWidth="1"/>
    <col min="6150" max="6150" width="30.77734375" style="3214" customWidth="1"/>
    <col min="6151" max="6151" width="9" style="3214" customWidth="1"/>
    <col min="6152" max="6152" width="48.6640625" style="3214" customWidth="1"/>
    <col min="6153" max="6153" width="20.33203125" style="3214" customWidth="1"/>
    <col min="6154" max="6155" width="15.88671875" style="3214" customWidth="1"/>
    <col min="6156" max="6156" width="22.77734375" style="3214" customWidth="1"/>
    <col min="6157" max="6159" width="9" style="3214" customWidth="1"/>
    <col min="6160" max="6160" width="11" style="3214" customWidth="1"/>
    <col min="6161" max="6162" width="17.77734375" style="3214" customWidth="1"/>
    <col min="6163" max="6163" width="14.77734375" style="3214" customWidth="1"/>
    <col min="6164" max="6165" width="12.88671875" style="3214" customWidth="1"/>
    <col min="6166" max="6166" width="20.33203125" style="3214" customWidth="1"/>
    <col min="6167" max="6167" width="9" style="3214" customWidth="1"/>
    <col min="6168" max="6171" width="10.21875" style="3214" customWidth="1"/>
    <col min="6172" max="6172" width="22.88671875" style="3214" customWidth="1"/>
    <col min="6173" max="6173" width="9" style="3214" customWidth="1"/>
    <col min="6174" max="6174" width="37.33203125" style="3214" customWidth="1"/>
    <col min="6175" max="6177" width="12.109375" style="3214" customWidth="1"/>
    <col min="6178" max="6179" width="18.21875" style="3214" customWidth="1"/>
    <col min="6180" max="6181" width="16.33203125" style="3214" customWidth="1"/>
    <col min="6182" max="6183" width="25" style="3214" customWidth="1"/>
    <col min="6184" max="6184" width="7.109375" style="3214" customWidth="1"/>
    <col min="6185" max="6185" width="9" style="3214" customWidth="1"/>
    <col min="6186" max="6186" width="19.21875" style="3214" customWidth="1"/>
    <col min="6187" max="6188" width="23" style="3214" customWidth="1"/>
    <col min="6189" max="6189" width="9" style="3214" customWidth="1"/>
    <col min="6190" max="6400" width="8.88671875" style="3214"/>
    <col min="6401" max="6401" width="30.77734375" style="3214" customWidth="1"/>
    <col min="6402" max="6402" width="7.109375" style="3214" customWidth="1"/>
    <col min="6403" max="6403" width="9" style="3214" customWidth="1"/>
    <col min="6404" max="6404" width="7.109375" style="3214" customWidth="1"/>
    <col min="6405" max="6405" width="5.21875" style="3214" customWidth="1"/>
    <col min="6406" max="6406" width="30.77734375" style="3214" customWidth="1"/>
    <col min="6407" max="6407" width="9" style="3214" customWidth="1"/>
    <col min="6408" max="6408" width="48.6640625" style="3214" customWidth="1"/>
    <col min="6409" max="6409" width="20.33203125" style="3214" customWidth="1"/>
    <col min="6410" max="6411" width="15.88671875" style="3214" customWidth="1"/>
    <col min="6412" max="6412" width="22.77734375" style="3214" customWidth="1"/>
    <col min="6413" max="6415" width="9" style="3214" customWidth="1"/>
    <col min="6416" max="6416" width="11" style="3214" customWidth="1"/>
    <col min="6417" max="6418" width="17.77734375" style="3214" customWidth="1"/>
    <col min="6419" max="6419" width="14.77734375" style="3214" customWidth="1"/>
    <col min="6420" max="6421" width="12.88671875" style="3214" customWidth="1"/>
    <col min="6422" max="6422" width="20.33203125" style="3214" customWidth="1"/>
    <col min="6423" max="6423" width="9" style="3214" customWidth="1"/>
    <col min="6424" max="6427" width="10.21875" style="3214" customWidth="1"/>
    <col min="6428" max="6428" width="22.88671875" style="3214" customWidth="1"/>
    <col min="6429" max="6429" width="9" style="3214" customWidth="1"/>
    <col min="6430" max="6430" width="37.33203125" style="3214" customWidth="1"/>
    <col min="6431" max="6433" width="12.109375" style="3214" customWidth="1"/>
    <col min="6434" max="6435" width="18.21875" style="3214" customWidth="1"/>
    <col min="6436" max="6437" width="16.33203125" style="3214" customWidth="1"/>
    <col min="6438" max="6439" width="25" style="3214" customWidth="1"/>
    <col min="6440" max="6440" width="7.109375" style="3214" customWidth="1"/>
    <col min="6441" max="6441" width="9" style="3214" customWidth="1"/>
    <col min="6442" max="6442" width="19.21875" style="3214" customWidth="1"/>
    <col min="6443" max="6444" width="23" style="3214" customWidth="1"/>
    <col min="6445" max="6445" width="9" style="3214" customWidth="1"/>
    <col min="6446" max="6656" width="8.88671875" style="3214"/>
    <col min="6657" max="6657" width="30.77734375" style="3214" customWidth="1"/>
    <col min="6658" max="6658" width="7.109375" style="3214" customWidth="1"/>
    <col min="6659" max="6659" width="9" style="3214" customWidth="1"/>
    <col min="6660" max="6660" width="7.109375" style="3214" customWidth="1"/>
    <col min="6661" max="6661" width="5.21875" style="3214" customWidth="1"/>
    <col min="6662" max="6662" width="30.77734375" style="3214" customWidth="1"/>
    <col min="6663" max="6663" width="9" style="3214" customWidth="1"/>
    <col min="6664" max="6664" width="48.6640625" style="3214" customWidth="1"/>
    <col min="6665" max="6665" width="20.33203125" style="3214" customWidth="1"/>
    <col min="6666" max="6667" width="15.88671875" style="3214" customWidth="1"/>
    <col min="6668" max="6668" width="22.77734375" style="3214" customWidth="1"/>
    <col min="6669" max="6671" width="9" style="3214" customWidth="1"/>
    <col min="6672" max="6672" width="11" style="3214" customWidth="1"/>
    <col min="6673" max="6674" width="17.77734375" style="3214" customWidth="1"/>
    <col min="6675" max="6675" width="14.77734375" style="3214" customWidth="1"/>
    <col min="6676" max="6677" width="12.88671875" style="3214" customWidth="1"/>
    <col min="6678" max="6678" width="20.33203125" style="3214" customWidth="1"/>
    <col min="6679" max="6679" width="9" style="3214" customWidth="1"/>
    <col min="6680" max="6683" width="10.21875" style="3214" customWidth="1"/>
    <col min="6684" max="6684" width="22.88671875" style="3214" customWidth="1"/>
    <col min="6685" max="6685" width="9" style="3214" customWidth="1"/>
    <col min="6686" max="6686" width="37.33203125" style="3214" customWidth="1"/>
    <col min="6687" max="6689" width="12.109375" style="3214" customWidth="1"/>
    <col min="6690" max="6691" width="18.21875" style="3214" customWidth="1"/>
    <col min="6692" max="6693" width="16.33203125" style="3214" customWidth="1"/>
    <col min="6694" max="6695" width="25" style="3214" customWidth="1"/>
    <col min="6696" max="6696" width="7.109375" style="3214" customWidth="1"/>
    <col min="6697" max="6697" width="9" style="3214" customWidth="1"/>
    <col min="6698" max="6698" width="19.21875" style="3214" customWidth="1"/>
    <col min="6699" max="6700" width="23" style="3214" customWidth="1"/>
    <col min="6701" max="6701" width="9" style="3214" customWidth="1"/>
    <col min="6702" max="6912" width="8.88671875" style="3214"/>
    <col min="6913" max="6913" width="30.77734375" style="3214" customWidth="1"/>
    <col min="6914" max="6914" width="7.109375" style="3214" customWidth="1"/>
    <col min="6915" max="6915" width="9" style="3214" customWidth="1"/>
    <col min="6916" max="6916" width="7.109375" style="3214" customWidth="1"/>
    <col min="6917" max="6917" width="5.21875" style="3214" customWidth="1"/>
    <col min="6918" max="6918" width="30.77734375" style="3214" customWidth="1"/>
    <col min="6919" max="6919" width="9" style="3214" customWidth="1"/>
    <col min="6920" max="6920" width="48.6640625" style="3214" customWidth="1"/>
    <col min="6921" max="6921" width="20.33203125" style="3214" customWidth="1"/>
    <col min="6922" max="6923" width="15.88671875" style="3214" customWidth="1"/>
    <col min="6924" max="6924" width="22.77734375" style="3214" customWidth="1"/>
    <col min="6925" max="6927" width="9" style="3214" customWidth="1"/>
    <col min="6928" max="6928" width="11" style="3214" customWidth="1"/>
    <col min="6929" max="6930" width="17.77734375" style="3214" customWidth="1"/>
    <col min="6931" max="6931" width="14.77734375" style="3214" customWidth="1"/>
    <col min="6932" max="6933" width="12.88671875" style="3214" customWidth="1"/>
    <col min="6934" max="6934" width="20.33203125" style="3214" customWidth="1"/>
    <col min="6935" max="6935" width="9" style="3214" customWidth="1"/>
    <col min="6936" max="6939" width="10.21875" style="3214" customWidth="1"/>
    <col min="6940" max="6940" width="22.88671875" style="3214" customWidth="1"/>
    <col min="6941" max="6941" width="9" style="3214" customWidth="1"/>
    <col min="6942" max="6942" width="37.33203125" style="3214" customWidth="1"/>
    <col min="6943" max="6945" width="12.109375" style="3214" customWidth="1"/>
    <col min="6946" max="6947" width="18.21875" style="3214" customWidth="1"/>
    <col min="6948" max="6949" width="16.33203125" style="3214" customWidth="1"/>
    <col min="6950" max="6951" width="25" style="3214" customWidth="1"/>
    <col min="6952" max="6952" width="7.109375" style="3214" customWidth="1"/>
    <col min="6953" max="6953" width="9" style="3214" customWidth="1"/>
    <col min="6954" max="6954" width="19.21875" style="3214" customWidth="1"/>
    <col min="6955" max="6956" width="23" style="3214" customWidth="1"/>
    <col min="6957" max="6957" width="9" style="3214" customWidth="1"/>
    <col min="6958" max="7168" width="8.88671875" style="3214"/>
    <col min="7169" max="7169" width="30.77734375" style="3214" customWidth="1"/>
    <col min="7170" max="7170" width="7.109375" style="3214" customWidth="1"/>
    <col min="7171" max="7171" width="9" style="3214" customWidth="1"/>
    <col min="7172" max="7172" width="7.109375" style="3214" customWidth="1"/>
    <col min="7173" max="7173" width="5.21875" style="3214" customWidth="1"/>
    <col min="7174" max="7174" width="30.77734375" style="3214" customWidth="1"/>
    <col min="7175" max="7175" width="9" style="3214" customWidth="1"/>
    <col min="7176" max="7176" width="48.6640625" style="3214" customWidth="1"/>
    <col min="7177" max="7177" width="20.33203125" style="3214" customWidth="1"/>
    <col min="7178" max="7179" width="15.88671875" style="3214" customWidth="1"/>
    <col min="7180" max="7180" width="22.77734375" style="3214" customWidth="1"/>
    <col min="7181" max="7183" width="9" style="3214" customWidth="1"/>
    <col min="7184" max="7184" width="11" style="3214" customWidth="1"/>
    <col min="7185" max="7186" width="17.77734375" style="3214" customWidth="1"/>
    <col min="7187" max="7187" width="14.77734375" style="3214" customWidth="1"/>
    <col min="7188" max="7189" width="12.88671875" style="3214" customWidth="1"/>
    <col min="7190" max="7190" width="20.33203125" style="3214" customWidth="1"/>
    <col min="7191" max="7191" width="9" style="3214" customWidth="1"/>
    <col min="7192" max="7195" width="10.21875" style="3214" customWidth="1"/>
    <col min="7196" max="7196" width="22.88671875" style="3214" customWidth="1"/>
    <col min="7197" max="7197" width="9" style="3214" customWidth="1"/>
    <col min="7198" max="7198" width="37.33203125" style="3214" customWidth="1"/>
    <col min="7199" max="7201" width="12.109375" style="3214" customWidth="1"/>
    <col min="7202" max="7203" width="18.21875" style="3214" customWidth="1"/>
    <col min="7204" max="7205" width="16.33203125" style="3214" customWidth="1"/>
    <col min="7206" max="7207" width="25" style="3214" customWidth="1"/>
    <col min="7208" max="7208" width="7.109375" style="3214" customWidth="1"/>
    <col min="7209" max="7209" width="9" style="3214" customWidth="1"/>
    <col min="7210" max="7210" width="19.21875" style="3214" customWidth="1"/>
    <col min="7211" max="7212" width="23" style="3214" customWidth="1"/>
    <col min="7213" max="7213" width="9" style="3214" customWidth="1"/>
    <col min="7214" max="7424" width="8.88671875" style="3214"/>
    <col min="7425" max="7425" width="30.77734375" style="3214" customWidth="1"/>
    <col min="7426" max="7426" width="7.109375" style="3214" customWidth="1"/>
    <col min="7427" max="7427" width="9" style="3214" customWidth="1"/>
    <col min="7428" max="7428" width="7.109375" style="3214" customWidth="1"/>
    <col min="7429" max="7429" width="5.21875" style="3214" customWidth="1"/>
    <col min="7430" max="7430" width="30.77734375" style="3214" customWidth="1"/>
    <col min="7431" max="7431" width="9" style="3214" customWidth="1"/>
    <col min="7432" max="7432" width="48.6640625" style="3214" customWidth="1"/>
    <col min="7433" max="7433" width="20.33203125" style="3214" customWidth="1"/>
    <col min="7434" max="7435" width="15.88671875" style="3214" customWidth="1"/>
    <col min="7436" max="7436" width="22.77734375" style="3214" customWidth="1"/>
    <col min="7437" max="7439" width="9" style="3214" customWidth="1"/>
    <col min="7440" max="7440" width="11" style="3214" customWidth="1"/>
    <col min="7441" max="7442" width="17.77734375" style="3214" customWidth="1"/>
    <col min="7443" max="7443" width="14.77734375" style="3214" customWidth="1"/>
    <col min="7444" max="7445" width="12.88671875" style="3214" customWidth="1"/>
    <col min="7446" max="7446" width="20.33203125" style="3214" customWidth="1"/>
    <col min="7447" max="7447" width="9" style="3214" customWidth="1"/>
    <col min="7448" max="7451" width="10.21875" style="3214" customWidth="1"/>
    <col min="7452" max="7452" width="22.88671875" style="3214" customWidth="1"/>
    <col min="7453" max="7453" width="9" style="3214" customWidth="1"/>
    <col min="7454" max="7454" width="37.33203125" style="3214" customWidth="1"/>
    <col min="7455" max="7457" width="12.109375" style="3214" customWidth="1"/>
    <col min="7458" max="7459" width="18.21875" style="3214" customWidth="1"/>
    <col min="7460" max="7461" width="16.33203125" style="3214" customWidth="1"/>
    <col min="7462" max="7463" width="25" style="3214" customWidth="1"/>
    <col min="7464" max="7464" width="7.109375" style="3214" customWidth="1"/>
    <col min="7465" max="7465" width="9" style="3214" customWidth="1"/>
    <col min="7466" max="7466" width="19.21875" style="3214" customWidth="1"/>
    <col min="7467" max="7468" width="23" style="3214" customWidth="1"/>
    <col min="7469" max="7469" width="9" style="3214" customWidth="1"/>
    <col min="7470" max="7680" width="8.88671875" style="3214"/>
    <col min="7681" max="7681" width="30.77734375" style="3214" customWidth="1"/>
    <col min="7682" max="7682" width="7.109375" style="3214" customWidth="1"/>
    <col min="7683" max="7683" width="9" style="3214" customWidth="1"/>
    <col min="7684" max="7684" width="7.109375" style="3214" customWidth="1"/>
    <col min="7685" max="7685" width="5.21875" style="3214" customWidth="1"/>
    <col min="7686" max="7686" width="30.77734375" style="3214" customWidth="1"/>
    <col min="7687" max="7687" width="9" style="3214" customWidth="1"/>
    <col min="7688" max="7688" width="48.6640625" style="3214" customWidth="1"/>
    <col min="7689" max="7689" width="20.33203125" style="3214" customWidth="1"/>
    <col min="7690" max="7691" width="15.88671875" style="3214" customWidth="1"/>
    <col min="7692" max="7692" width="22.77734375" style="3214" customWidth="1"/>
    <col min="7693" max="7695" width="9" style="3214" customWidth="1"/>
    <col min="7696" max="7696" width="11" style="3214" customWidth="1"/>
    <col min="7697" max="7698" width="17.77734375" style="3214" customWidth="1"/>
    <col min="7699" max="7699" width="14.77734375" style="3214" customWidth="1"/>
    <col min="7700" max="7701" width="12.88671875" style="3214" customWidth="1"/>
    <col min="7702" max="7702" width="20.33203125" style="3214" customWidth="1"/>
    <col min="7703" max="7703" width="9" style="3214" customWidth="1"/>
    <col min="7704" max="7707" width="10.21875" style="3214" customWidth="1"/>
    <col min="7708" max="7708" width="22.88671875" style="3214" customWidth="1"/>
    <col min="7709" max="7709" width="9" style="3214" customWidth="1"/>
    <col min="7710" max="7710" width="37.33203125" style="3214" customWidth="1"/>
    <col min="7711" max="7713" width="12.109375" style="3214" customWidth="1"/>
    <col min="7714" max="7715" width="18.21875" style="3214" customWidth="1"/>
    <col min="7716" max="7717" width="16.33203125" style="3214" customWidth="1"/>
    <col min="7718" max="7719" width="25" style="3214" customWidth="1"/>
    <col min="7720" max="7720" width="7.109375" style="3214" customWidth="1"/>
    <col min="7721" max="7721" width="9" style="3214" customWidth="1"/>
    <col min="7722" max="7722" width="19.21875" style="3214" customWidth="1"/>
    <col min="7723" max="7724" width="23" style="3214" customWidth="1"/>
    <col min="7725" max="7725" width="9" style="3214" customWidth="1"/>
    <col min="7726" max="7936" width="8.88671875" style="3214"/>
    <col min="7937" max="7937" width="30.77734375" style="3214" customWidth="1"/>
    <col min="7938" max="7938" width="7.109375" style="3214" customWidth="1"/>
    <col min="7939" max="7939" width="9" style="3214" customWidth="1"/>
    <col min="7940" max="7940" width="7.109375" style="3214" customWidth="1"/>
    <col min="7941" max="7941" width="5.21875" style="3214" customWidth="1"/>
    <col min="7942" max="7942" width="30.77734375" style="3214" customWidth="1"/>
    <col min="7943" max="7943" width="9" style="3214" customWidth="1"/>
    <col min="7944" max="7944" width="48.6640625" style="3214" customWidth="1"/>
    <col min="7945" max="7945" width="20.33203125" style="3214" customWidth="1"/>
    <col min="7946" max="7947" width="15.88671875" style="3214" customWidth="1"/>
    <col min="7948" max="7948" width="22.77734375" style="3214" customWidth="1"/>
    <col min="7949" max="7951" width="9" style="3214" customWidth="1"/>
    <col min="7952" max="7952" width="11" style="3214" customWidth="1"/>
    <col min="7953" max="7954" width="17.77734375" style="3214" customWidth="1"/>
    <col min="7955" max="7955" width="14.77734375" style="3214" customWidth="1"/>
    <col min="7956" max="7957" width="12.88671875" style="3214" customWidth="1"/>
    <col min="7958" max="7958" width="20.33203125" style="3214" customWidth="1"/>
    <col min="7959" max="7959" width="9" style="3214" customWidth="1"/>
    <col min="7960" max="7963" width="10.21875" style="3214" customWidth="1"/>
    <col min="7964" max="7964" width="22.88671875" style="3214" customWidth="1"/>
    <col min="7965" max="7965" width="9" style="3214" customWidth="1"/>
    <col min="7966" max="7966" width="37.33203125" style="3214" customWidth="1"/>
    <col min="7967" max="7969" width="12.109375" style="3214" customWidth="1"/>
    <col min="7970" max="7971" width="18.21875" style="3214" customWidth="1"/>
    <col min="7972" max="7973" width="16.33203125" style="3214" customWidth="1"/>
    <col min="7974" max="7975" width="25" style="3214" customWidth="1"/>
    <col min="7976" max="7976" width="7.109375" style="3214" customWidth="1"/>
    <col min="7977" max="7977" width="9" style="3214" customWidth="1"/>
    <col min="7978" max="7978" width="19.21875" style="3214" customWidth="1"/>
    <col min="7979" max="7980" width="23" style="3214" customWidth="1"/>
    <col min="7981" max="7981" width="9" style="3214" customWidth="1"/>
    <col min="7982" max="8192" width="8.88671875" style="3214"/>
    <col min="8193" max="8193" width="30.77734375" style="3214" customWidth="1"/>
    <col min="8194" max="8194" width="7.109375" style="3214" customWidth="1"/>
    <col min="8195" max="8195" width="9" style="3214" customWidth="1"/>
    <col min="8196" max="8196" width="7.109375" style="3214" customWidth="1"/>
    <col min="8197" max="8197" width="5.21875" style="3214" customWidth="1"/>
    <col min="8198" max="8198" width="30.77734375" style="3214" customWidth="1"/>
    <col min="8199" max="8199" width="9" style="3214" customWidth="1"/>
    <col min="8200" max="8200" width="48.6640625" style="3214" customWidth="1"/>
    <col min="8201" max="8201" width="20.33203125" style="3214" customWidth="1"/>
    <col min="8202" max="8203" width="15.88671875" style="3214" customWidth="1"/>
    <col min="8204" max="8204" width="22.77734375" style="3214" customWidth="1"/>
    <col min="8205" max="8207" width="9" style="3214" customWidth="1"/>
    <col min="8208" max="8208" width="11" style="3214" customWidth="1"/>
    <col min="8209" max="8210" width="17.77734375" style="3214" customWidth="1"/>
    <col min="8211" max="8211" width="14.77734375" style="3214" customWidth="1"/>
    <col min="8212" max="8213" width="12.88671875" style="3214" customWidth="1"/>
    <col min="8214" max="8214" width="20.33203125" style="3214" customWidth="1"/>
    <col min="8215" max="8215" width="9" style="3214" customWidth="1"/>
    <col min="8216" max="8219" width="10.21875" style="3214" customWidth="1"/>
    <col min="8220" max="8220" width="22.88671875" style="3214" customWidth="1"/>
    <col min="8221" max="8221" width="9" style="3214" customWidth="1"/>
    <col min="8222" max="8222" width="37.33203125" style="3214" customWidth="1"/>
    <col min="8223" max="8225" width="12.109375" style="3214" customWidth="1"/>
    <col min="8226" max="8227" width="18.21875" style="3214" customWidth="1"/>
    <col min="8228" max="8229" width="16.33203125" style="3214" customWidth="1"/>
    <col min="8230" max="8231" width="25" style="3214" customWidth="1"/>
    <col min="8232" max="8232" width="7.109375" style="3214" customWidth="1"/>
    <col min="8233" max="8233" width="9" style="3214" customWidth="1"/>
    <col min="8234" max="8234" width="19.21875" style="3214" customWidth="1"/>
    <col min="8235" max="8236" width="23" style="3214" customWidth="1"/>
    <col min="8237" max="8237" width="9" style="3214" customWidth="1"/>
    <col min="8238" max="8448" width="8.88671875" style="3214"/>
    <col min="8449" max="8449" width="30.77734375" style="3214" customWidth="1"/>
    <col min="8450" max="8450" width="7.109375" style="3214" customWidth="1"/>
    <col min="8451" max="8451" width="9" style="3214" customWidth="1"/>
    <col min="8452" max="8452" width="7.109375" style="3214" customWidth="1"/>
    <col min="8453" max="8453" width="5.21875" style="3214" customWidth="1"/>
    <col min="8454" max="8454" width="30.77734375" style="3214" customWidth="1"/>
    <col min="8455" max="8455" width="9" style="3214" customWidth="1"/>
    <col min="8456" max="8456" width="48.6640625" style="3214" customWidth="1"/>
    <col min="8457" max="8457" width="20.33203125" style="3214" customWidth="1"/>
    <col min="8458" max="8459" width="15.88671875" style="3214" customWidth="1"/>
    <col min="8460" max="8460" width="22.77734375" style="3214" customWidth="1"/>
    <col min="8461" max="8463" width="9" style="3214" customWidth="1"/>
    <col min="8464" max="8464" width="11" style="3214" customWidth="1"/>
    <col min="8465" max="8466" width="17.77734375" style="3214" customWidth="1"/>
    <col min="8467" max="8467" width="14.77734375" style="3214" customWidth="1"/>
    <col min="8468" max="8469" width="12.88671875" style="3214" customWidth="1"/>
    <col min="8470" max="8470" width="20.33203125" style="3214" customWidth="1"/>
    <col min="8471" max="8471" width="9" style="3214" customWidth="1"/>
    <col min="8472" max="8475" width="10.21875" style="3214" customWidth="1"/>
    <col min="8476" max="8476" width="22.88671875" style="3214" customWidth="1"/>
    <col min="8477" max="8477" width="9" style="3214" customWidth="1"/>
    <col min="8478" max="8478" width="37.33203125" style="3214" customWidth="1"/>
    <col min="8479" max="8481" width="12.109375" style="3214" customWidth="1"/>
    <col min="8482" max="8483" width="18.21875" style="3214" customWidth="1"/>
    <col min="8484" max="8485" width="16.33203125" style="3214" customWidth="1"/>
    <col min="8486" max="8487" width="25" style="3214" customWidth="1"/>
    <col min="8488" max="8488" width="7.109375" style="3214" customWidth="1"/>
    <col min="8489" max="8489" width="9" style="3214" customWidth="1"/>
    <col min="8490" max="8490" width="19.21875" style="3214" customWidth="1"/>
    <col min="8491" max="8492" width="23" style="3214" customWidth="1"/>
    <col min="8493" max="8493" width="9" style="3214" customWidth="1"/>
    <col min="8494" max="8704" width="8.88671875" style="3214"/>
    <col min="8705" max="8705" width="30.77734375" style="3214" customWidth="1"/>
    <col min="8706" max="8706" width="7.109375" style="3214" customWidth="1"/>
    <col min="8707" max="8707" width="9" style="3214" customWidth="1"/>
    <col min="8708" max="8708" width="7.109375" style="3214" customWidth="1"/>
    <col min="8709" max="8709" width="5.21875" style="3214" customWidth="1"/>
    <col min="8710" max="8710" width="30.77734375" style="3214" customWidth="1"/>
    <col min="8711" max="8711" width="9" style="3214" customWidth="1"/>
    <col min="8712" max="8712" width="48.6640625" style="3214" customWidth="1"/>
    <col min="8713" max="8713" width="20.33203125" style="3214" customWidth="1"/>
    <col min="8714" max="8715" width="15.88671875" style="3214" customWidth="1"/>
    <col min="8716" max="8716" width="22.77734375" style="3214" customWidth="1"/>
    <col min="8717" max="8719" width="9" style="3214" customWidth="1"/>
    <col min="8720" max="8720" width="11" style="3214" customWidth="1"/>
    <col min="8721" max="8722" width="17.77734375" style="3214" customWidth="1"/>
    <col min="8723" max="8723" width="14.77734375" style="3214" customWidth="1"/>
    <col min="8724" max="8725" width="12.88671875" style="3214" customWidth="1"/>
    <col min="8726" max="8726" width="20.33203125" style="3214" customWidth="1"/>
    <col min="8727" max="8727" width="9" style="3214" customWidth="1"/>
    <col min="8728" max="8731" width="10.21875" style="3214" customWidth="1"/>
    <col min="8732" max="8732" width="22.88671875" style="3214" customWidth="1"/>
    <col min="8733" max="8733" width="9" style="3214" customWidth="1"/>
    <col min="8734" max="8734" width="37.33203125" style="3214" customWidth="1"/>
    <col min="8735" max="8737" width="12.109375" style="3214" customWidth="1"/>
    <col min="8738" max="8739" width="18.21875" style="3214" customWidth="1"/>
    <col min="8740" max="8741" width="16.33203125" style="3214" customWidth="1"/>
    <col min="8742" max="8743" width="25" style="3214" customWidth="1"/>
    <col min="8744" max="8744" width="7.109375" style="3214" customWidth="1"/>
    <col min="8745" max="8745" width="9" style="3214" customWidth="1"/>
    <col min="8746" max="8746" width="19.21875" style="3214" customWidth="1"/>
    <col min="8747" max="8748" width="23" style="3214" customWidth="1"/>
    <col min="8749" max="8749" width="9" style="3214" customWidth="1"/>
    <col min="8750" max="8960" width="8.88671875" style="3214"/>
    <col min="8961" max="8961" width="30.77734375" style="3214" customWidth="1"/>
    <col min="8962" max="8962" width="7.109375" style="3214" customWidth="1"/>
    <col min="8963" max="8963" width="9" style="3214" customWidth="1"/>
    <col min="8964" max="8964" width="7.109375" style="3214" customWidth="1"/>
    <col min="8965" max="8965" width="5.21875" style="3214" customWidth="1"/>
    <col min="8966" max="8966" width="30.77734375" style="3214" customWidth="1"/>
    <col min="8967" max="8967" width="9" style="3214" customWidth="1"/>
    <col min="8968" max="8968" width="48.6640625" style="3214" customWidth="1"/>
    <col min="8969" max="8969" width="20.33203125" style="3214" customWidth="1"/>
    <col min="8970" max="8971" width="15.88671875" style="3214" customWidth="1"/>
    <col min="8972" max="8972" width="22.77734375" style="3214" customWidth="1"/>
    <col min="8973" max="8975" width="9" style="3214" customWidth="1"/>
    <col min="8976" max="8976" width="11" style="3214" customWidth="1"/>
    <col min="8977" max="8978" width="17.77734375" style="3214" customWidth="1"/>
    <col min="8979" max="8979" width="14.77734375" style="3214" customWidth="1"/>
    <col min="8980" max="8981" width="12.88671875" style="3214" customWidth="1"/>
    <col min="8982" max="8982" width="20.33203125" style="3214" customWidth="1"/>
    <col min="8983" max="8983" width="9" style="3214" customWidth="1"/>
    <col min="8984" max="8987" width="10.21875" style="3214" customWidth="1"/>
    <col min="8988" max="8988" width="22.88671875" style="3214" customWidth="1"/>
    <col min="8989" max="8989" width="9" style="3214" customWidth="1"/>
    <col min="8990" max="8990" width="37.33203125" style="3214" customWidth="1"/>
    <col min="8991" max="8993" width="12.109375" style="3214" customWidth="1"/>
    <col min="8994" max="8995" width="18.21875" style="3214" customWidth="1"/>
    <col min="8996" max="8997" width="16.33203125" style="3214" customWidth="1"/>
    <col min="8998" max="8999" width="25" style="3214" customWidth="1"/>
    <col min="9000" max="9000" width="7.109375" style="3214" customWidth="1"/>
    <col min="9001" max="9001" width="9" style="3214" customWidth="1"/>
    <col min="9002" max="9002" width="19.21875" style="3214" customWidth="1"/>
    <col min="9003" max="9004" width="23" style="3214" customWidth="1"/>
    <col min="9005" max="9005" width="9" style="3214" customWidth="1"/>
    <col min="9006" max="9216" width="8.88671875" style="3214"/>
    <col min="9217" max="9217" width="30.77734375" style="3214" customWidth="1"/>
    <col min="9218" max="9218" width="7.109375" style="3214" customWidth="1"/>
    <col min="9219" max="9219" width="9" style="3214" customWidth="1"/>
    <col min="9220" max="9220" width="7.109375" style="3214" customWidth="1"/>
    <col min="9221" max="9221" width="5.21875" style="3214" customWidth="1"/>
    <col min="9222" max="9222" width="30.77734375" style="3214" customWidth="1"/>
    <col min="9223" max="9223" width="9" style="3214" customWidth="1"/>
    <col min="9224" max="9224" width="48.6640625" style="3214" customWidth="1"/>
    <col min="9225" max="9225" width="20.33203125" style="3214" customWidth="1"/>
    <col min="9226" max="9227" width="15.88671875" style="3214" customWidth="1"/>
    <col min="9228" max="9228" width="22.77734375" style="3214" customWidth="1"/>
    <col min="9229" max="9231" width="9" style="3214" customWidth="1"/>
    <col min="9232" max="9232" width="11" style="3214" customWidth="1"/>
    <col min="9233" max="9234" width="17.77734375" style="3214" customWidth="1"/>
    <col min="9235" max="9235" width="14.77734375" style="3214" customWidth="1"/>
    <col min="9236" max="9237" width="12.88671875" style="3214" customWidth="1"/>
    <col min="9238" max="9238" width="20.33203125" style="3214" customWidth="1"/>
    <col min="9239" max="9239" width="9" style="3214" customWidth="1"/>
    <col min="9240" max="9243" width="10.21875" style="3214" customWidth="1"/>
    <col min="9244" max="9244" width="22.88671875" style="3214" customWidth="1"/>
    <col min="9245" max="9245" width="9" style="3214" customWidth="1"/>
    <col min="9246" max="9246" width="37.33203125" style="3214" customWidth="1"/>
    <col min="9247" max="9249" width="12.109375" style="3214" customWidth="1"/>
    <col min="9250" max="9251" width="18.21875" style="3214" customWidth="1"/>
    <col min="9252" max="9253" width="16.33203125" style="3214" customWidth="1"/>
    <col min="9254" max="9255" width="25" style="3214" customWidth="1"/>
    <col min="9256" max="9256" width="7.109375" style="3214" customWidth="1"/>
    <col min="9257" max="9257" width="9" style="3214" customWidth="1"/>
    <col min="9258" max="9258" width="19.21875" style="3214" customWidth="1"/>
    <col min="9259" max="9260" width="23" style="3214" customWidth="1"/>
    <col min="9261" max="9261" width="9" style="3214" customWidth="1"/>
    <col min="9262" max="9472" width="8.88671875" style="3214"/>
    <col min="9473" max="9473" width="30.77734375" style="3214" customWidth="1"/>
    <col min="9474" max="9474" width="7.109375" style="3214" customWidth="1"/>
    <col min="9475" max="9475" width="9" style="3214" customWidth="1"/>
    <col min="9476" max="9476" width="7.109375" style="3214" customWidth="1"/>
    <col min="9477" max="9477" width="5.21875" style="3214" customWidth="1"/>
    <col min="9478" max="9478" width="30.77734375" style="3214" customWidth="1"/>
    <col min="9479" max="9479" width="9" style="3214" customWidth="1"/>
    <col min="9480" max="9480" width="48.6640625" style="3214" customWidth="1"/>
    <col min="9481" max="9481" width="20.33203125" style="3214" customWidth="1"/>
    <col min="9482" max="9483" width="15.88671875" style="3214" customWidth="1"/>
    <col min="9484" max="9484" width="22.77734375" style="3214" customWidth="1"/>
    <col min="9485" max="9487" width="9" style="3214" customWidth="1"/>
    <col min="9488" max="9488" width="11" style="3214" customWidth="1"/>
    <col min="9489" max="9490" width="17.77734375" style="3214" customWidth="1"/>
    <col min="9491" max="9491" width="14.77734375" style="3214" customWidth="1"/>
    <col min="9492" max="9493" width="12.88671875" style="3214" customWidth="1"/>
    <col min="9494" max="9494" width="20.33203125" style="3214" customWidth="1"/>
    <col min="9495" max="9495" width="9" style="3214" customWidth="1"/>
    <col min="9496" max="9499" width="10.21875" style="3214" customWidth="1"/>
    <col min="9500" max="9500" width="22.88671875" style="3214" customWidth="1"/>
    <col min="9501" max="9501" width="9" style="3214" customWidth="1"/>
    <col min="9502" max="9502" width="37.33203125" style="3214" customWidth="1"/>
    <col min="9503" max="9505" width="12.109375" style="3214" customWidth="1"/>
    <col min="9506" max="9507" width="18.21875" style="3214" customWidth="1"/>
    <col min="9508" max="9509" width="16.33203125" style="3214" customWidth="1"/>
    <col min="9510" max="9511" width="25" style="3214" customWidth="1"/>
    <col min="9512" max="9512" width="7.109375" style="3214" customWidth="1"/>
    <col min="9513" max="9513" width="9" style="3214" customWidth="1"/>
    <col min="9514" max="9514" width="19.21875" style="3214" customWidth="1"/>
    <col min="9515" max="9516" width="23" style="3214" customWidth="1"/>
    <col min="9517" max="9517" width="9" style="3214" customWidth="1"/>
    <col min="9518" max="9728" width="8.88671875" style="3214"/>
    <col min="9729" max="9729" width="30.77734375" style="3214" customWidth="1"/>
    <col min="9730" max="9730" width="7.109375" style="3214" customWidth="1"/>
    <col min="9731" max="9731" width="9" style="3214" customWidth="1"/>
    <col min="9732" max="9732" width="7.109375" style="3214" customWidth="1"/>
    <col min="9733" max="9733" width="5.21875" style="3214" customWidth="1"/>
    <col min="9734" max="9734" width="30.77734375" style="3214" customWidth="1"/>
    <col min="9735" max="9735" width="9" style="3214" customWidth="1"/>
    <col min="9736" max="9736" width="48.6640625" style="3214" customWidth="1"/>
    <col min="9737" max="9737" width="20.33203125" style="3214" customWidth="1"/>
    <col min="9738" max="9739" width="15.88671875" style="3214" customWidth="1"/>
    <col min="9740" max="9740" width="22.77734375" style="3214" customWidth="1"/>
    <col min="9741" max="9743" width="9" style="3214" customWidth="1"/>
    <col min="9744" max="9744" width="11" style="3214" customWidth="1"/>
    <col min="9745" max="9746" width="17.77734375" style="3214" customWidth="1"/>
    <col min="9747" max="9747" width="14.77734375" style="3214" customWidth="1"/>
    <col min="9748" max="9749" width="12.88671875" style="3214" customWidth="1"/>
    <col min="9750" max="9750" width="20.33203125" style="3214" customWidth="1"/>
    <col min="9751" max="9751" width="9" style="3214" customWidth="1"/>
    <col min="9752" max="9755" width="10.21875" style="3214" customWidth="1"/>
    <col min="9756" max="9756" width="22.88671875" style="3214" customWidth="1"/>
    <col min="9757" max="9757" width="9" style="3214" customWidth="1"/>
    <col min="9758" max="9758" width="37.33203125" style="3214" customWidth="1"/>
    <col min="9759" max="9761" width="12.109375" style="3214" customWidth="1"/>
    <col min="9762" max="9763" width="18.21875" style="3214" customWidth="1"/>
    <col min="9764" max="9765" width="16.33203125" style="3214" customWidth="1"/>
    <col min="9766" max="9767" width="25" style="3214" customWidth="1"/>
    <col min="9768" max="9768" width="7.109375" style="3214" customWidth="1"/>
    <col min="9769" max="9769" width="9" style="3214" customWidth="1"/>
    <col min="9770" max="9770" width="19.21875" style="3214" customWidth="1"/>
    <col min="9771" max="9772" width="23" style="3214" customWidth="1"/>
    <col min="9773" max="9773" width="9" style="3214" customWidth="1"/>
    <col min="9774" max="9984" width="8.88671875" style="3214"/>
    <col min="9985" max="9985" width="30.77734375" style="3214" customWidth="1"/>
    <col min="9986" max="9986" width="7.109375" style="3214" customWidth="1"/>
    <col min="9987" max="9987" width="9" style="3214" customWidth="1"/>
    <col min="9988" max="9988" width="7.109375" style="3214" customWidth="1"/>
    <col min="9989" max="9989" width="5.21875" style="3214" customWidth="1"/>
    <col min="9990" max="9990" width="30.77734375" style="3214" customWidth="1"/>
    <col min="9991" max="9991" width="9" style="3214" customWidth="1"/>
    <col min="9992" max="9992" width="48.6640625" style="3214" customWidth="1"/>
    <col min="9993" max="9993" width="20.33203125" style="3214" customWidth="1"/>
    <col min="9994" max="9995" width="15.88671875" style="3214" customWidth="1"/>
    <col min="9996" max="9996" width="22.77734375" style="3214" customWidth="1"/>
    <col min="9997" max="9999" width="9" style="3214" customWidth="1"/>
    <col min="10000" max="10000" width="11" style="3214" customWidth="1"/>
    <col min="10001" max="10002" width="17.77734375" style="3214" customWidth="1"/>
    <col min="10003" max="10003" width="14.77734375" style="3214" customWidth="1"/>
    <col min="10004" max="10005" width="12.88671875" style="3214" customWidth="1"/>
    <col min="10006" max="10006" width="20.33203125" style="3214" customWidth="1"/>
    <col min="10007" max="10007" width="9" style="3214" customWidth="1"/>
    <col min="10008" max="10011" width="10.21875" style="3214" customWidth="1"/>
    <col min="10012" max="10012" width="22.88671875" style="3214" customWidth="1"/>
    <col min="10013" max="10013" width="9" style="3214" customWidth="1"/>
    <col min="10014" max="10014" width="37.33203125" style="3214" customWidth="1"/>
    <col min="10015" max="10017" width="12.109375" style="3214" customWidth="1"/>
    <col min="10018" max="10019" width="18.21875" style="3214" customWidth="1"/>
    <col min="10020" max="10021" width="16.33203125" style="3214" customWidth="1"/>
    <col min="10022" max="10023" width="25" style="3214" customWidth="1"/>
    <col min="10024" max="10024" width="7.109375" style="3214" customWidth="1"/>
    <col min="10025" max="10025" width="9" style="3214" customWidth="1"/>
    <col min="10026" max="10026" width="19.21875" style="3214" customWidth="1"/>
    <col min="10027" max="10028" width="23" style="3214" customWidth="1"/>
    <col min="10029" max="10029" width="9" style="3214" customWidth="1"/>
    <col min="10030" max="10240" width="8.88671875" style="3214"/>
    <col min="10241" max="10241" width="30.77734375" style="3214" customWidth="1"/>
    <col min="10242" max="10242" width="7.109375" style="3214" customWidth="1"/>
    <col min="10243" max="10243" width="9" style="3214" customWidth="1"/>
    <col min="10244" max="10244" width="7.109375" style="3214" customWidth="1"/>
    <col min="10245" max="10245" width="5.21875" style="3214" customWidth="1"/>
    <col min="10246" max="10246" width="30.77734375" style="3214" customWidth="1"/>
    <col min="10247" max="10247" width="9" style="3214" customWidth="1"/>
    <col min="10248" max="10248" width="48.6640625" style="3214" customWidth="1"/>
    <col min="10249" max="10249" width="20.33203125" style="3214" customWidth="1"/>
    <col min="10250" max="10251" width="15.88671875" style="3214" customWidth="1"/>
    <col min="10252" max="10252" width="22.77734375" style="3214" customWidth="1"/>
    <col min="10253" max="10255" width="9" style="3214" customWidth="1"/>
    <col min="10256" max="10256" width="11" style="3214" customWidth="1"/>
    <col min="10257" max="10258" width="17.77734375" style="3214" customWidth="1"/>
    <col min="10259" max="10259" width="14.77734375" style="3214" customWidth="1"/>
    <col min="10260" max="10261" width="12.88671875" style="3214" customWidth="1"/>
    <col min="10262" max="10262" width="20.33203125" style="3214" customWidth="1"/>
    <col min="10263" max="10263" width="9" style="3214" customWidth="1"/>
    <col min="10264" max="10267" width="10.21875" style="3214" customWidth="1"/>
    <col min="10268" max="10268" width="22.88671875" style="3214" customWidth="1"/>
    <col min="10269" max="10269" width="9" style="3214" customWidth="1"/>
    <col min="10270" max="10270" width="37.33203125" style="3214" customWidth="1"/>
    <col min="10271" max="10273" width="12.109375" style="3214" customWidth="1"/>
    <col min="10274" max="10275" width="18.21875" style="3214" customWidth="1"/>
    <col min="10276" max="10277" width="16.33203125" style="3214" customWidth="1"/>
    <col min="10278" max="10279" width="25" style="3214" customWidth="1"/>
    <col min="10280" max="10280" width="7.109375" style="3214" customWidth="1"/>
    <col min="10281" max="10281" width="9" style="3214" customWidth="1"/>
    <col min="10282" max="10282" width="19.21875" style="3214" customWidth="1"/>
    <col min="10283" max="10284" width="23" style="3214" customWidth="1"/>
    <col min="10285" max="10285" width="9" style="3214" customWidth="1"/>
    <col min="10286" max="10496" width="8.88671875" style="3214"/>
    <col min="10497" max="10497" width="30.77734375" style="3214" customWidth="1"/>
    <col min="10498" max="10498" width="7.109375" style="3214" customWidth="1"/>
    <col min="10499" max="10499" width="9" style="3214" customWidth="1"/>
    <col min="10500" max="10500" width="7.109375" style="3214" customWidth="1"/>
    <col min="10501" max="10501" width="5.21875" style="3214" customWidth="1"/>
    <col min="10502" max="10502" width="30.77734375" style="3214" customWidth="1"/>
    <col min="10503" max="10503" width="9" style="3214" customWidth="1"/>
    <col min="10504" max="10504" width="48.6640625" style="3214" customWidth="1"/>
    <col min="10505" max="10505" width="20.33203125" style="3214" customWidth="1"/>
    <col min="10506" max="10507" width="15.88671875" style="3214" customWidth="1"/>
    <col min="10508" max="10508" width="22.77734375" style="3214" customWidth="1"/>
    <col min="10509" max="10511" width="9" style="3214" customWidth="1"/>
    <col min="10512" max="10512" width="11" style="3214" customWidth="1"/>
    <col min="10513" max="10514" width="17.77734375" style="3214" customWidth="1"/>
    <col min="10515" max="10515" width="14.77734375" style="3214" customWidth="1"/>
    <col min="10516" max="10517" width="12.88671875" style="3214" customWidth="1"/>
    <col min="10518" max="10518" width="20.33203125" style="3214" customWidth="1"/>
    <col min="10519" max="10519" width="9" style="3214" customWidth="1"/>
    <col min="10520" max="10523" width="10.21875" style="3214" customWidth="1"/>
    <col min="10524" max="10524" width="22.88671875" style="3214" customWidth="1"/>
    <col min="10525" max="10525" width="9" style="3214" customWidth="1"/>
    <col min="10526" max="10526" width="37.33203125" style="3214" customWidth="1"/>
    <col min="10527" max="10529" width="12.109375" style="3214" customWidth="1"/>
    <col min="10530" max="10531" width="18.21875" style="3214" customWidth="1"/>
    <col min="10532" max="10533" width="16.33203125" style="3214" customWidth="1"/>
    <col min="10534" max="10535" width="25" style="3214" customWidth="1"/>
    <col min="10536" max="10536" width="7.109375" style="3214" customWidth="1"/>
    <col min="10537" max="10537" width="9" style="3214" customWidth="1"/>
    <col min="10538" max="10538" width="19.21875" style="3214" customWidth="1"/>
    <col min="10539" max="10540" width="23" style="3214" customWidth="1"/>
    <col min="10541" max="10541" width="9" style="3214" customWidth="1"/>
    <col min="10542" max="10752" width="8.88671875" style="3214"/>
    <col min="10753" max="10753" width="30.77734375" style="3214" customWidth="1"/>
    <col min="10754" max="10754" width="7.109375" style="3214" customWidth="1"/>
    <col min="10755" max="10755" width="9" style="3214" customWidth="1"/>
    <col min="10756" max="10756" width="7.109375" style="3214" customWidth="1"/>
    <col min="10757" max="10757" width="5.21875" style="3214" customWidth="1"/>
    <col min="10758" max="10758" width="30.77734375" style="3214" customWidth="1"/>
    <col min="10759" max="10759" width="9" style="3214" customWidth="1"/>
    <col min="10760" max="10760" width="48.6640625" style="3214" customWidth="1"/>
    <col min="10761" max="10761" width="20.33203125" style="3214" customWidth="1"/>
    <col min="10762" max="10763" width="15.88671875" style="3214" customWidth="1"/>
    <col min="10764" max="10764" width="22.77734375" style="3214" customWidth="1"/>
    <col min="10765" max="10767" width="9" style="3214" customWidth="1"/>
    <col min="10768" max="10768" width="11" style="3214" customWidth="1"/>
    <col min="10769" max="10770" width="17.77734375" style="3214" customWidth="1"/>
    <col min="10771" max="10771" width="14.77734375" style="3214" customWidth="1"/>
    <col min="10772" max="10773" width="12.88671875" style="3214" customWidth="1"/>
    <col min="10774" max="10774" width="20.33203125" style="3214" customWidth="1"/>
    <col min="10775" max="10775" width="9" style="3214" customWidth="1"/>
    <col min="10776" max="10779" width="10.21875" style="3214" customWidth="1"/>
    <col min="10780" max="10780" width="22.88671875" style="3214" customWidth="1"/>
    <col min="10781" max="10781" width="9" style="3214" customWidth="1"/>
    <col min="10782" max="10782" width="37.33203125" style="3214" customWidth="1"/>
    <col min="10783" max="10785" width="12.109375" style="3214" customWidth="1"/>
    <col min="10786" max="10787" width="18.21875" style="3214" customWidth="1"/>
    <col min="10788" max="10789" width="16.33203125" style="3214" customWidth="1"/>
    <col min="10790" max="10791" width="25" style="3214" customWidth="1"/>
    <col min="10792" max="10792" width="7.109375" style="3214" customWidth="1"/>
    <col min="10793" max="10793" width="9" style="3214" customWidth="1"/>
    <col min="10794" max="10794" width="19.21875" style="3214" customWidth="1"/>
    <col min="10795" max="10796" width="23" style="3214" customWidth="1"/>
    <col min="10797" max="10797" width="9" style="3214" customWidth="1"/>
    <col min="10798" max="11008" width="8.88671875" style="3214"/>
    <col min="11009" max="11009" width="30.77734375" style="3214" customWidth="1"/>
    <col min="11010" max="11010" width="7.109375" style="3214" customWidth="1"/>
    <col min="11011" max="11011" width="9" style="3214" customWidth="1"/>
    <col min="11012" max="11012" width="7.109375" style="3214" customWidth="1"/>
    <col min="11013" max="11013" width="5.21875" style="3214" customWidth="1"/>
    <col min="11014" max="11014" width="30.77734375" style="3214" customWidth="1"/>
    <col min="11015" max="11015" width="9" style="3214" customWidth="1"/>
    <col min="11016" max="11016" width="48.6640625" style="3214" customWidth="1"/>
    <col min="11017" max="11017" width="20.33203125" style="3214" customWidth="1"/>
    <col min="11018" max="11019" width="15.88671875" style="3214" customWidth="1"/>
    <col min="11020" max="11020" width="22.77734375" style="3214" customWidth="1"/>
    <col min="11021" max="11023" width="9" style="3214" customWidth="1"/>
    <col min="11024" max="11024" width="11" style="3214" customWidth="1"/>
    <col min="11025" max="11026" width="17.77734375" style="3214" customWidth="1"/>
    <col min="11027" max="11027" width="14.77734375" style="3214" customWidth="1"/>
    <col min="11028" max="11029" width="12.88671875" style="3214" customWidth="1"/>
    <col min="11030" max="11030" width="20.33203125" style="3214" customWidth="1"/>
    <col min="11031" max="11031" width="9" style="3214" customWidth="1"/>
    <col min="11032" max="11035" width="10.21875" style="3214" customWidth="1"/>
    <col min="11036" max="11036" width="22.88671875" style="3214" customWidth="1"/>
    <col min="11037" max="11037" width="9" style="3214" customWidth="1"/>
    <col min="11038" max="11038" width="37.33203125" style="3214" customWidth="1"/>
    <col min="11039" max="11041" width="12.109375" style="3214" customWidth="1"/>
    <col min="11042" max="11043" width="18.21875" style="3214" customWidth="1"/>
    <col min="11044" max="11045" width="16.33203125" style="3214" customWidth="1"/>
    <col min="11046" max="11047" width="25" style="3214" customWidth="1"/>
    <col min="11048" max="11048" width="7.109375" style="3214" customWidth="1"/>
    <col min="11049" max="11049" width="9" style="3214" customWidth="1"/>
    <col min="11050" max="11050" width="19.21875" style="3214" customWidth="1"/>
    <col min="11051" max="11052" width="23" style="3214" customWidth="1"/>
    <col min="11053" max="11053" width="9" style="3214" customWidth="1"/>
    <col min="11054" max="11264" width="8.88671875" style="3214"/>
    <col min="11265" max="11265" width="30.77734375" style="3214" customWidth="1"/>
    <col min="11266" max="11266" width="7.109375" style="3214" customWidth="1"/>
    <col min="11267" max="11267" width="9" style="3214" customWidth="1"/>
    <col min="11268" max="11268" width="7.109375" style="3214" customWidth="1"/>
    <col min="11269" max="11269" width="5.21875" style="3214" customWidth="1"/>
    <col min="11270" max="11270" width="30.77734375" style="3214" customWidth="1"/>
    <col min="11271" max="11271" width="9" style="3214" customWidth="1"/>
    <col min="11272" max="11272" width="48.6640625" style="3214" customWidth="1"/>
    <col min="11273" max="11273" width="20.33203125" style="3214" customWidth="1"/>
    <col min="11274" max="11275" width="15.88671875" style="3214" customWidth="1"/>
    <col min="11276" max="11276" width="22.77734375" style="3214" customWidth="1"/>
    <col min="11277" max="11279" width="9" style="3214" customWidth="1"/>
    <col min="11280" max="11280" width="11" style="3214" customWidth="1"/>
    <col min="11281" max="11282" width="17.77734375" style="3214" customWidth="1"/>
    <col min="11283" max="11283" width="14.77734375" style="3214" customWidth="1"/>
    <col min="11284" max="11285" width="12.88671875" style="3214" customWidth="1"/>
    <col min="11286" max="11286" width="20.33203125" style="3214" customWidth="1"/>
    <col min="11287" max="11287" width="9" style="3214" customWidth="1"/>
    <col min="11288" max="11291" width="10.21875" style="3214" customWidth="1"/>
    <col min="11292" max="11292" width="22.88671875" style="3214" customWidth="1"/>
    <col min="11293" max="11293" width="9" style="3214" customWidth="1"/>
    <col min="11294" max="11294" width="37.33203125" style="3214" customWidth="1"/>
    <col min="11295" max="11297" width="12.109375" style="3214" customWidth="1"/>
    <col min="11298" max="11299" width="18.21875" style="3214" customWidth="1"/>
    <col min="11300" max="11301" width="16.33203125" style="3214" customWidth="1"/>
    <col min="11302" max="11303" width="25" style="3214" customWidth="1"/>
    <col min="11304" max="11304" width="7.109375" style="3214" customWidth="1"/>
    <col min="11305" max="11305" width="9" style="3214" customWidth="1"/>
    <col min="11306" max="11306" width="19.21875" style="3214" customWidth="1"/>
    <col min="11307" max="11308" width="23" style="3214" customWidth="1"/>
    <col min="11309" max="11309" width="9" style="3214" customWidth="1"/>
    <col min="11310" max="11520" width="8.88671875" style="3214"/>
    <col min="11521" max="11521" width="30.77734375" style="3214" customWidth="1"/>
    <col min="11522" max="11522" width="7.109375" style="3214" customWidth="1"/>
    <col min="11523" max="11523" width="9" style="3214" customWidth="1"/>
    <col min="11524" max="11524" width="7.109375" style="3214" customWidth="1"/>
    <col min="11525" max="11525" width="5.21875" style="3214" customWidth="1"/>
    <col min="11526" max="11526" width="30.77734375" style="3214" customWidth="1"/>
    <col min="11527" max="11527" width="9" style="3214" customWidth="1"/>
    <col min="11528" max="11528" width="48.6640625" style="3214" customWidth="1"/>
    <col min="11529" max="11529" width="20.33203125" style="3214" customWidth="1"/>
    <col min="11530" max="11531" width="15.88671875" style="3214" customWidth="1"/>
    <col min="11532" max="11532" width="22.77734375" style="3214" customWidth="1"/>
    <col min="11533" max="11535" width="9" style="3214" customWidth="1"/>
    <col min="11536" max="11536" width="11" style="3214" customWidth="1"/>
    <col min="11537" max="11538" width="17.77734375" style="3214" customWidth="1"/>
    <col min="11539" max="11539" width="14.77734375" style="3214" customWidth="1"/>
    <col min="11540" max="11541" width="12.88671875" style="3214" customWidth="1"/>
    <col min="11542" max="11542" width="20.33203125" style="3214" customWidth="1"/>
    <col min="11543" max="11543" width="9" style="3214" customWidth="1"/>
    <col min="11544" max="11547" width="10.21875" style="3214" customWidth="1"/>
    <col min="11548" max="11548" width="22.88671875" style="3214" customWidth="1"/>
    <col min="11549" max="11549" width="9" style="3214" customWidth="1"/>
    <col min="11550" max="11550" width="37.33203125" style="3214" customWidth="1"/>
    <col min="11551" max="11553" width="12.109375" style="3214" customWidth="1"/>
    <col min="11554" max="11555" width="18.21875" style="3214" customWidth="1"/>
    <col min="11556" max="11557" width="16.33203125" style="3214" customWidth="1"/>
    <col min="11558" max="11559" width="25" style="3214" customWidth="1"/>
    <col min="11560" max="11560" width="7.109375" style="3214" customWidth="1"/>
    <col min="11561" max="11561" width="9" style="3214" customWidth="1"/>
    <col min="11562" max="11562" width="19.21875" style="3214" customWidth="1"/>
    <col min="11563" max="11564" width="23" style="3214" customWidth="1"/>
    <col min="11565" max="11565" width="9" style="3214" customWidth="1"/>
    <col min="11566" max="11776" width="8.88671875" style="3214"/>
    <col min="11777" max="11777" width="30.77734375" style="3214" customWidth="1"/>
    <col min="11778" max="11778" width="7.109375" style="3214" customWidth="1"/>
    <col min="11779" max="11779" width="9" style="3214" customWidth="1"/>
    <col min="11780" max="11780" width="7.109375" style="3214" customWidth="1"/>
    <col min="11781" max="11781" width="5.21875" style="3214" customWidth="1"/>
    <col min="11782" max="11782" width="30.77734375" style="3214" customWidth="1"/>
    <col min="11783" max="11783" width="9" style="3214" customWidth="1"/>
    <col min="11784" max="11784" width="48.6640625" style="3214" customWidth="1"/>
    <col min="11785" max="11785" width="20.33203125" style="3214" customWidth="1"/>
    <col min="11786" max="11787" width="15.88671875" style="3214" customWidth="1"/>
    <col min="11788" max="11788" width="22.77734375" style="3214" customWidth="1"/>
    <col min="11789" max="11791" width="9" style="3214" customWidth="1"/>
    <col min="11792" max="11792" width="11" style="3214" customWidth="1"/>
    <col min="11793" max="11794" width="17.77734375" style="3214" customWidth="1"/>
    <col min="11795" max="11795" width="14.77734375" style="3214" customWidth="1"/>
    <col min="11796" max="11797" width="12.88671875" style="3214" customWidth="1"/>
    <col min="11798" max="11798" width="20.33203125" style="3214" customWidth="1"/>
    <col min="11799" max="11799" width="9" style="3214" customWidth="1"/>
    <col min="11800" max="11803" width="10.21875" style="3214" customWidth="1"/>
    <col min="11804" max="11804" width="22.88671875" style="3214" customWidth="1"/>
    <col min="11805" max="11805" width="9" style="3214" customWidth="1"/>
    <col min="11806" max="11806" width="37.33203125" style="3214" customWidth="1"/>
    <col min="11807" max="11809" width="12.109375" style="3214" customWidth="1"/>
    <col min="11810" max="11811" width="18.21875" style="3214" customWidth="1"/>
    <col min="11812" max="11813" width="16.33203125" style="3214" customWidth="1"/>
    <col min="11814" max="11815" width="25" style="3214" customWidth="1"/>
    <col min="11816" max="11816" width="7.109375" style="3214" customWidth="1"/>
    <col min="11817" max="11817" width="9" style="3214" customWidth="1"/>
    <col min="11818" max="11818" width="19.21875" style="3214" customWidth="1"/>
    <col min="11819" max="11820" width="23" style="3214" customWidth="1"/>
    <col min="11821" max="11821" width="9" style="3214" customWidth="1"/>
    <col min="11822" max="12032" width="8.88671875" style="3214"/>
    <col min="12033" max="12033" width="30.77734375" style="3214" customWidth="1"/>
    <col min="12034" max="12034" width="7.109375" style="3214" customWidth="1"/>
    <col min="12035" max="12035" width="9" style="3214" customWidth="1"/>
    <col min="12036" max="12036" width="7.109375" style="3214" customWidth="1"/>
    <col min="12037" max="12037" width="5.21875" style="3214" customWidth="1"/>
    <col min="12038" max="12038" width="30.77734375" style="3214" customWidth="1"/>
    <col min="12039" max="12039" width="9" style="3214" customWidth="1"/>
    <col min="12040" max="12040" width="48.6640625" style="3214" customWidth="1"/>
    <col min="12041" max="12041" width="20.33203125" style="3214" customWidth="1"/>
    <col min="12042" max="12043" width="15.88671875" style="3214" customWidth="1"/>
    <col min="12044" max="12044" width="22.77734375" style="3214" customWidth="1"/>
    <col min="12045" max="12047" width="9" style="3214" customWidth="1"/>
    <col min="12048" max="12048" width="11" style="3214" customWidth="1"/>
    <col min="12049" max="12050" width="17.77734375" style="3214" customWidth="1"/>
    <col min="12051" max="12051" width="14.77734375" style="3214" customWidth="1"/>
    <col min="12052" max="12053" width="12.88671875" style="3214" customWidth="1"/>
    <col min="12054" max="12054" width="20.33203125" style="3214" customWidth="1"/>
    <col min="12055" max="12055" width="9" style="3214" customWidth="1"/>
    <col min="12056" max="12059" width="10.21875" style="3214" customWidth="1"/>
    <col min="12060" max="12060" width="22.88671875" style="3214" customWidth="1"/>
    <col min="12061" max="12061" width="9" style="3214" customWidth="1"/>
    <col min="12062" max="12062" width="37.33203125" style="3214" customWidth="1"/>
    <col min="12063" max="12065" width="12.109375" style="3214" customWidth="1"/>
    <col min="12066" max="12067" width="18.21875" style="3214" customWidth="1"/>
    <col min="12068" max="12069" width="16.33203125" style="3214" customWidth="1"/>
    <col min="12070" max="12071" width="25" style="3214" customWidth="1"/>
    <col min="12072" max="12072" width="7.109375" style="3214" customWidth="1"/>
    <col min="12073" max="12073" width="9" style="3214" customWidth="1"/>
    <col min="12074" max="12074" width="19.21875" style="3214" customWidth="1"/>
    <col min="12075" max="12076" width="23" style="3214" customWidth="1"/>
    <col min="12077" max="12077" width="9" style="3214" customWidth="1"/>
    <col min="12078" max="12288" width="8.88671875" style="3214"/>
    <col min="12289" max="12289" width="30.77734375" style="3214" customWidth="1"/>
    <col min="12290" max="12290" width="7.109375" style="3214" customWidth="1"/>
    <col min="12291" max="12291" width="9" style="3214" customWidth="1"/>
    <col min="12292" max="12292" width="7.109375" style="3214" customWidth="1"/>
    <col min="12293" max="12293" width="5.21875" style="3214" customWidth="1"/>
    <col min="12294" max="12294" width="30.77734375" style="3214" customWidth="1"/>
    <col min="12295" max="12295" width="9" style="3214" customWidth="1"/>
    <col min="12296" max="12296" width="48.6640625" style="3214" customWidth="1"/>
    <col min="12297" max="12297" width="20.33203125" style="3214" customWidth="1"/>
    <col min="12298" max="12299" width="15.88671875" style="3214" customWidth="1"/>
    <col min="12300" max="12300" width="22.77734375" style="3214" customWidth="1"/>
    <col min="12301" max="12303" width="9" style="3214" customWidth="1"/>
    <col min="12304" max="12304" width="11" style="3214" customWidth="1"/>
    <col min="12305" max="12306" width="17.77734375" style="3214" customWidth="1"/>
    <col min="12307" max="12307" width="14.77734375" style="3214" customWidth="1"/>
    <col min="12308" max="12309" width="12.88671875" style="3214" customWidth="1"/>
    <col min="12310" max="12310" width="20.33203125" style="3214" customWidth="1"/>
    <col min="12311" max="12311" width="9" style="3214" customWidth="1"/>
    <col min="12312" max="12315" width="10.21875" style="3214" customWidth="1"/>
    <col min="12316" max="12316" width="22.88671875" style="3214" customWidth="1"/>
    <col min="12317" max="12317" width="9" style="3214" customWidth="1"/>
    <col min="12318" max="12318" width="37.33203125" style="3214" customWidth="1"/>
    <col min="12319" max="12321" width="12.109375" style="3214" customWidth="1"/>
    <col min="12322" max="12323" width="18.21875" style="3214" customWidth="1"/>
    <col min="12324" max="12325" width="16.33203125" style="3214" customWidth="1"/>
    <col min="12326" max="12327" width="25" style="3214" customWidth="1"/>
    <col min="12328" max="12328" width="7.109375" style="3214" customWidth="1"/>
    <col min="12329" max="12329" width="9" style="3214" customWidth="1"/>
    <col min="12330" max="12330" width="19.21875" style="3214" customWidth="1"/>
    <col min="12331" max="12332" width="23" style="3214" customWidth="1"/>
    <col min="12333" max="12333" width="9" style="3214" customWidth="1"/>
    <col min="12334" max="12544" width="8.88671875" style="3214"/>
    <col min="12545" max="12545" width="30.77734375" style="3214" customWidth="1"/>
    <col min="12546" max="12546" width="7.109375" style="3214" customWidth="1"/>
    <col min="12547" max="12547" width="9" style="3214" customWidth="1"/>
    <col min="12548" max="12548" width="7.109375" style="3214" customWidth="1"/>
    <col min="12549" max="12549" width="5.21875" style="3214" customWidth="1"/>
    <col min="12550" max="12550" width="30.77734375" style="3214" customWidth="1"/>
    <col min="12551" max="12551" width="9" style="3214" customWidth="1"/>
    <col min="12552" max="12552" width="48.6640625" style="3214" customWidth="1"/>
    <col min="12553" max="12553" width="20.33203125" style="3214" customWidth="1"/>
    <col min="12554" max="12555" width="15.88671875" style="3214" customWidth="1"/>
    <col min="12556" max="12556" width="22.77734375" style="3214" customWidth="1"/>
    <col min="12557" max="12559" width="9" style="3214" customWidth="1"/>
    <col min="12560" max="12560" width="11" style="3214" customWidth="1"/>
    <col min="12561" max="12562" width="17.77734375" style="3214" customWidth="1"/>
    <col min="12563" max="12563" width="14.77734375" style="3214" customWidth="1"/>
    <col min="12564" max="12565" width="12.88671875" style="3214" customWidth="1"/>
    <col min="12566" max="12566" width="20.33203125" style="3214" customWidth="1"/>
    <col min="12567" max="12567" width="9" style="3214" customWidth="1"/>
    <col min="12568" max="12571" width="10.21875" style="3214" customWidth="1"/>
    <col min="12572" max="12572" width="22.88671875" style="3214" customWidth="1"/>
    <col min="12573" max="12573" width="9" style="3214" customWidth="1"/>
    <col min="12574" max="12574" width="37.33203125" style="3214" customWidth="1"/>
    <col min="12575" max="12577" width="12.109375" style="3214" customWidth="1"/>
    <col min="12578" max="12579" width="18.21875" style="3214" customWidth="1"/>
    <col min="12580" max="12581" width="16.33203125" style="3214" customWidth="1"/>
    <col min="12582" max="12583" width="25" style="3214" customWidth="1"/>
    <col min="12584" max="12584" width="7.109375" style="3214" customWidth="1"/>
    <col min="12585" max="12585" width="9" style="3214" customWidth="1"/>
    <col min="12586" max="12586" width="19.21875" style="3214" customWidth="1"/>
    <col min="12587" max="12588" width="23" style="3214" customWidth="1"/>
    <col min="12589" max="12589" width="9" style="3214" customWidth="1"/>
    <col min="12590" max="12800" width="8.88671875" style="3214"/>
    <col min="12801" max="12801" width="30.77734375" style="3214" customWidth="1"/>
    <col min="12802" max="12802" width="7.109375" style="3214" customWidth="1"/>
    <col min="12803" max="12803" width="9" style="3214" customWidth="1"/>
    <col min="12804" max="12804" width="7.109375" style="3214" customWidth="1"/>
    <col min="12805" max="12805" width="5.21875" style="3214" customWidth="1"/>
    <col min="12806" max="12806" width="30.77734375" style="3214" customWidth="1"/>
    <col min="12807" max="12807" width="9" style="3214" customWidth="1"/>
    <col min="12808" max="12808" width="48.6640625" style="3214" customWidth="1"/>
    <col min="12809" max="12809" width="20.33203125" style="3214" customWidth="1"/>
    <col min="12810" max="12811" width="15.88671875" style="3214" customWidth="1"/>
    <col min="12812" max="12812" width="22.77734375" style="3214" customWidth="1"/>
    <col min="12813" max="12815" width="9" style="3214" customWidth="1"/>
    <col min="12816" max="12816" width="11" style="3214" customWidth="1"/>
    <col min="12817" max="12818" width="17.77734375" style="3214" customWidth="1"/>
    <col min="12819" max="12819" width="14.77734375" style="3214" customWidth="1"/>
    <col min="12820" max="12821" width="12.88671875" style="3214" customWidth="1"/>
    <col min="12822" max="12822" width="20.33203125" style="3214" customWidth="1"/>
    <col min="12823" max="12823" width="9" style="3214" customWidth="1"/>
    <col min="12824" max="12827" width="10.21875" style="3214" customWidth="1"/>
    <col min="12828" max="12828" width="22.88671875" style="3214" customWidth="1"/>
    <col min="12829" max="12829" width="9" style="3214" customWidth="1"/>
    <col min="12830" max="12830" width="37.33203125" style="3214" customWidth="1"/>
    <col min="12831" max="12833" width="12.109375" style="3214" customWidth="1"/>
    <col min="12834" max="12835" width="18.21875" style="3214" customWidth="1"/>
    <col min="12836" max="12837" width="16.33203125" style="3214" customWidth="1"/>
    <col min="12838" max="12839" width="25" style="3214" customWidth="1"/>
    <col min="12840" max="12840" width="7.109375" style="3214" customWidth="1"/>
    <col min="12841" max="12841" width="9" style="3214" customWidth="1"/>
    <col min="12842" max="12842" width="19.21875" style="3214" customWidth="1"/>
    <col min="12843" max="12844" width="23" style="3214" customWidth="1"/>
    <col min="12845" max="12845" width="9" style="3214" customWidth="1"/>
    <col min="12846" max="13056" width="8.88671875" style="3214"/>
    <col min="13057" max="13057" width="30.77734375" style="3214" customWidth="1"/>
    <col min="13058" max="13058" width="7.109375" style="3214" customWidth="1"/>
    <col min="13059" max="13059" width="9" style="3214" customWidth="1"/>
    <col min="13060" max="13060" width="7.109375" style="3214" customWidth="1"/>
    <col min="13061" max="13061" width="5.21875" style="3214" customWidth="1"/>
    <col min="13062" max="13062" width="30.77734375" style="3214" customWidth="1"/>
    <col min="13063" max="13063" width="9" style="3214" customWidth="1"/>
    <col min="13064" max="13064" width="48.6640625" style="3214" customWidth="1"/>
    <col min="13065" max="13065" width="20.33203125" style="3214" customWidth="1"/>
    <col min="13066" max="13067" width="15.88671875" style="3214" customWidth="1"/>
    <col min="13068" max="13068" width="22.77734375" style="3214" customWidth="1"/>
    <col min="13069" max="13071" width="9" style="3214" customWidth="1"/>
    <col min="13072" max="13072" width="11" style="3214" customWidth="1"/>
    <col min="13073" max="13074" width="17.77734375" style="3214" customWidth="1"/>
    <col min="13075" max="13075" width="14.77734375" style="3214" customWidth="1"/>
    <col min="13076" max="13077" width="12.88671875" style="3214" customWidth="1"/>
    <col min="13078" max="13078" width="20.33203125" style="3214" customWidth="1"/>
    <col min="13079" max="13079" width="9" style="3214" customWidth="1"/>
    <col min="13080" max="13083" width="10.21875" style="3214" customWidth="1"/>
    <col min="13084" max="13084" width="22.88671875" style="3214" customWidth="1"/>
    <col min="13085" max="13085" width="9" style="3214" customWidth="1"/>
    <col min="13086" max="13086" width="37.33203125" style="3214" customWidth="1"/>
    <col min="13087" max="13089" width="12.109375" style="3214" customWidth="1"/>
    <col min="13090" max="13091" width="18.21875" style="3214" customWidth="1"/>
    <col min="13092" max="13093" width="16.33203125" style="3214" customWidth="1"/>
    <col min="13094" max="13095" width="25" style="3214" customWidth="1"/>
    <col min="13096" max="13096" width="7.109375" style="3214" customWidth="1"/>
    <col min="13097" max="13097" width="9" style="3214" customWidth="1"/>
    <col min="13098" max="13098" width="19.21875" style="3214" customWidth="1"/>
    <col min="13099" max="13100" width="23" style="3214" customWidth="1"/>
    <col min="13101" max="13101" width="9" style="3214" customWidth="1"/>
    <col min="13102" max="13312" width="8.88671875" style="3214"/>
    <col min="13313" max="13313" width="30.77734375" style="3214" customWidth="1"/>
    <col min="13314" max="13314" width="7.109375" style="3214" customWidth="1"/>
    <col min="13315" max="13315" width="9" style="3214" customWidth="1"/>
    <col min="13316" max="13316" width="7.109375" style="3214" customWidth="1"/>
    <col min="13317" max="13317" width="5.21875" style="3214" customWidth="1"/>
    <col min="13318" max="13318" width="30.77734375" style="3214" customWidth="1"/>
    <col min="13319" max="13319" width="9" style="3214" customWidth="1"/>
    <col min="13320" max="13320" width="48.6640625" style="3214" customWidth="1"/>
    <col min="13321" max="13321" width="20.33203125" style="3214" customWidth="1"/>
    <col min="13322" max="13323" width="15.88671875" style="3214" customWidth="1"/>
    <col min="13324" max="13324" width="22.77734375" style="3214" customWidth="1"/>
    <col min="13325" max="13327" width="9" style="3214" customWidth="1"/>
    <col min="13328" max="13328" width="11" style="3214" customWidth="1"/>
    <col min="13329" max="13330" width="17.77734375" style="3214" customWidth="1"/>
    <col min="13331" max="13331" width="14.77734375" style="3214" customWidth="1"/>
    <col min="13332" max="13333" width="12.88671875" style="3214" customWidth="1"/>
    <col min="13334" max="13334" width="20.33203125" style="3214" customWidth="1"/>
    <col min="13335" max="13335" width="9" style="3214" customWidth="1"/>
    <col min="13336" max="13339" width="10.21875" style="3214" customWidth="1"/>
    <col min="13340" max="13340" width="22.88671875" style="3214" customWidth="1"/>
    <col min="13341" max="13341" width="9" style="3214" customWidth="1"/>
    <col min="13342" max="13342" width="37.33203125" style="3214" customWidth="1"/>
    <col min="13343" max="13345" width="12.109375" style="3214" customWidth="1"/>
    <col min="13346" max="13347" width="18.21875" style="3214" customWidth="1"/>
    <col min="13348" max="13349" width="16.33203125" style="3214" customWidth="1"/>
    <col min="13350" max="13351" width="25" style="3214" customWidth="1"/>
    <col min="13352" max="13352" width="7.109375" style="3214" customWidth="1"/>
    <col min="13353" max="13353" width="9" style="3214" customWidth="1"/>
    <col min="13354" max="13354" width="19.21875" style="3214" customWidth="1"/>
    <col min="13355" max="13356" width="23" style="3214" customWidth="1"/>
    <col min="13357" max="13357" width="9" style="3214" customWidth="1"/>
    <col min="13358" max="13568" width="8.88671875" style="3214"/>
    <col min="13569" max="13569" width="30.77734375" style="3214" customWidth="1"/>
    <col min="13570" max="13570" width="7.109375" style="3214" customWidth="1"/>
    <col min="13571" max="13571" width="9" style="3214" customWidth="1"/>
    <col min="13572" max="13572" width="7.109375" style="3214" customWidth="1"/>
    <col min="13573" max="13573" width="5.21875" style="3214" customWidth="1"/>
    <col min="13574" max="13574" width="30.77734375" style="3214" customWidth="1"/>
    <col min="13575" max="13575" width="9" style="3214" customWidth="1"/>
    <col min="13576" max="13576" width="48.6640625" style="3214" customWidth="1"/>
    <col min="13577" max="13577" width="20.33203125" style="3214" customWidth="1"/>
    <col min="13578" max="13579" width="15.88671875" style="3214" customWidth="1"/>
    <col min="13580" max="13580" width="22.77734375" style="3214" customWidth="1"/>
    <col min="13581" max="13583" width="9" style="3214" customWidth="1"/>
    <col min="13584" max="13584" width="11" style="3214" customWidth="1"/>
    <col min="13585" max="13586" width="17.77734375" style="3214" customWidth="1"/>
    <col min="13587" max="13587" width="14.77734375" style="3214" customWidth="1"/>
    <col min="13588" max="13589" width="12.88671875" style="3214" customWidth="1"/>
    <col min="13590" max="13590" width="20.33203125" style="3214" customWidth="1"/>
    <col min="13591" max="13591" width="9" style="3214" customWidth="1"/>
    <col min="13592" max="13595" width="10.21875" style="3214" customWidth="1"/>
    <col min="13596" max="13596" width="22.88671875" style="3214" customWidth="1"/>
    <col min="13597" max="13597" width="9" style="3214" customWidth="1"/>
    <col min="13598" max="13598" width="37.33203125" style="3214" customWidth="1"/>
    <col min="13599" max="13601" width="12.109375" style="3214" customWidth="1"/>
    <col min="13602" max="13603" width="18.21875" style="3214" customWidth="1"/>
    <col min="13604" max="13605" width="16.33203125" style="3214" customWidth="1"/>
    <col min="13606" max="13607" width="25" style="3214" customWidth="1"/>
    <col min="13608" max="13608" width="7.109375" style="3214" customWidth="1"/>
    <col min="13609" max="13609" width="9" style="3214" customWidth="1"/>
    <col min="13610" max="13610" width="19.21875" style="3214" customWidth="1"/>
    <col min="13611" max="13612" width="23" style="3214" customWidth="1"/>
    <col min="13613" max="13613" width="9" style="3214" customWidth="1"/>
    <col min="13614" max="13824" width="8.88671875" style="3214"/>
    <col min="13825" max="13825" width="30.77734375" style="3214" customWidth="1"/>
    <col min="13826" max="13826" width="7.109375" style="3214" customWidth="1"/>
    <col min="13827" max="13827" width="9" style="3214" customWidth="1"/>
    <col min="13828" max="13828" width="7.109375" style="3214" customWidth="1"/>
    <col min="13829" max="13829" width="5.21875" style="3214" customWidth="1"/>
    <col min="13830" max="13830" width="30.77734375" style="3214" customWidth="1"/>
    <col min="13831" max="13831" width="9" style="3214" customWidth="1"/>
    <col min="13832" max="13832" width="48.6640625" style="3214" customWidth="1"/>
    <col min="13833" max="13833" width="20.33203125" style="3214" customWidth="1"/>
    <col min="13834" max="13835" width="15.88671875" style="3214" customWidth="1"/>
    <col min="13836" max="13836" width="22.77734375" style="3214" customWidth="1"/>
    <col min="13837" max="13839" width="9" style="3214" customWidth="1"/>
    <col min="13840" max="13840" width="11" style="3214" customWidth="1"/>
    <col min="13841" max="13842" width="17.77734375" style="3214" customWidth="1"/>
    <col min="13843" max="13843" width="14.77734375" style="3214" customWidth="1"/>
    <col min="13844" max="13845" width="12.88671875" style="3214" customWidth="1"/>
    <col min="13846" max="13846" width="20.33203125" style="3214" customWidth="1"/>
    <col min="13847" max="13847" width="9" style="3214" customWidth="1"/>
    <col min="13848" max="13851" width="10.21875" style="3214" customWidth="1"/>
    <col min="13852" max="13852" width="22.88671875" style="3214" customWidth="1"/>
    <col min="13853" max="13853" width="9" style="3214" customWidth="1"/>
    <col min="13854" max="13854" width="37.33203125" style="3214" customWidth="1"/>
    <col min="13855" max="13857" width="12.109375" style="3214" customWidth="1"/>
    <col min="13858" max="13859" width="18.21875" style="3214" customWidth="1"/>
    <col min="13860" max="13861" width="16.33203125" style="3214" customWidth="1"/>
    <col min="13862" max="13863" width="25" style="3214" customWidth="1"/>
    <col min="13864" max="13864" width="7.109375" style="3214" customWidth="1"/>
    <col min="13865" max="13865" width="9" style="3214" customWidth="1"/>
    <col min="13866" max="13866" width="19.21875" style="3214" customWidth="1"/>
    <col min="13867" max="13868" width="23" style="3214" customWidth="1"/>
    <col min="13869" max="13869" width="9" style="3214" customWidth="1"/>
    <col min="13870" max="14080" width="8.88671875" style="3214"/>
    <col min="14081" max="14081" width="30.77734375" style="3214" customWidth="1"/>
    <col min="14082" max="14082" width="7.109375" style="3214" customWidth="1"/>
    <col min="14083" max="14083" width="9" style="3214" customWidth="1"/>
    <col min="14084" max="14084" width="7.109375" style="3214" customWidth="1"/>
    <col min="14085" max="14085" width="5.21875" style="3214" customWidth="1"/>
    <col min="14086" max="14086" width="30.77734375" style="3214" customWidth="1"/>
    <col min="14087" max="14087" width="9" style="3214" customWidth="1"/>
    <col min="14088" max="14088" width="48.6640625" style="3214" customWidth="1"/>
    <col min="14089" max="14089" width="20.33203125" style="3214" customWidth="1"/>
    <col min="14090" max="14091" width="15.88671875" style="3214" customWidth="1"/>
    <col min="14092" max="14092" width="22.77734375" style="3214" customWidth="1"/>
    <col min="14093" max="14095" width="9" style="3214" customWidth="1"/>
    <col min="14096" max="14096" width="11" style="3214" customWidth="1"/>
    <col min="14097" max="14098" width="17.77734375" style="3214" customWidth="1"/>
    <col min="14099" max="14099" width="14.77734375" style="3214" customWidth="1"/>
    <col min="14100" max="14101" width="12.88671875" style="3214" customWidth="1"/>
    <col min="14102" max="14102" width="20.33203125" style="3214" customWidth="1"/>
    <col min="14103" max="14103" width="9" style="3214" customWidth="1"/>
    <col min="14104" max="14107" width="10.21875" style="3214" customWidth="1"/>
    <col min="14108" max="14108" width="22.88671875" style="3214" customWidth="1"/>
    <col min="14109" max="14109" width="9" style="3214" customWidth="1"/>
    <col min="14110" max="14110" width="37.33203125" style="3214" customWidth="1"/>
    <col min="14111" max="14113" width="12.109375" style="3214" customWidth="1"/>
    <col min="14114" max="14115" width="18.21875" style="3214" customWidth="1"/>
    <col min="14116" max="14117" width="16.33203125" style="3214" customWidth="1"/>
    <col min="14118" max="14119" width="25" style="3214" customWidth="1"/>
    <col min="14120" max="14120" width="7.109375" style="3214" customWidth="1"/>
    <col min="14121" max="14121" width="9" style="3214" customWidth="1"/>
    <col min="14122" max="14122" width="19.21875" style="3214" customWidth="1"/>
    <col min="14123" max="14124" width="23" style="3214" customWidth="1"/>
    <col min="14125" max="14125" width="9" style="3214" customWidth="1"/>
    <col min="14126" max="14336" width="8.88671875" style="3214"/>
    <col min="14337" max="14337" width="30.77734375" style="3214" customWidth="1"/>
    <col min="14338" max="14338" width="7.109375" style="3214" customWidth="1"/>
    <col min="14339" max="14339" width="9" style="3214" customWidth="1"/>
    <col min="14340" max="14340" width="7.109375" style="3214" customWidth="1"/>
    <col min="14341" max="14341" width="5.21875" style="3214" customWidth="1"/>
    <col min="14342" max="14342" width="30.77734375" style="3214" customWidth="1"/>
    <col min="14343" max="14343" width="9" style="3214" customWidth="1"/>
    <col min="14344" max="14344" width="48.6640625" style="3214" customWidth="1"/>
    <col min="14345" max="14345" width="20.33203125" style="3214" customWidth="1"/>
    <col min="14346" max="14347" width="15.88671875" style="3214" customWidth="1"/>
    <col min="14348" max="14348" width="22.77734375" style="3214" customWidth="1"/>
    <col min="14349" max="14351" width="9" style="3214" customWidth="1"/>
    <col min="14352" max="14352" width="11" style="3214" customWidth="1"/>
    <col min="14353" max="14354" width="17.77734375" style="3214" customWidth="1"/>
    <col min="14355" max="14355" width="14.77734375" style="3214" customWidth="1"/>
    <col min="14356" max="14357" width="12.88671875" style="3214" customWidth="1"/>
    <col min="14358" max="14358" width="20.33203125" style="3214" customWidth="1"/>
    <col min="14359" max="14359" width="9" style="3214" customWidth="1"/>
    <col min="14360" max="14363" width="10.21875" style="3214" customWidth="1"/>
    <col min="14364" max="14364" width="22.88671875" style="3214" customWidth="1"/>
    <col min="14365" max="14365" width="9" style="3214" customWidth="1"/>
    <col min="14366" max="14366" width="37.33203125" style="3214" customWidth="1"/>
    <col min="14367" max="14369" width="12.109375" style="3214" customWidth="1"/>
    <col min="14370" max="14371" width="18.21875" style="3214" customWidth="1"/>
    <col min="14372" max="14373" width="16.33203125" style="3214" customWidth="1"/>
    <col min="14374" max="14375" width="25" style="3214" customWidth="1"/>
    <col min="14376" max="14376" width="7.109375" style="3214" customWidth="1"/>
    <col min="14377" max="14377" width="9" style="3214" customWidth="1"/>
    <col min="14378" max="14378" width="19.21875" style="3214" customWidth="1"/>
    <col min="14379" max="14380" width="23" style="3214" customWidth="1"/>
    <col min="14381" max="14381" width="9" style="3214" customWidth="1"/>
    <col min="14382" max="14592" width="8.88671875" style="3214"/>
    <col min="14593" max="14593" width="30.77734375" style="3214" customWidth="1"/>
    <col min="14594" max="14594" width="7.109375" style="3214" customWidth="1"/>
    <col min="14595" max="14595" width="9" style="3214" customWidth="1"/>
    <col min="14596" max="14596" width="7.109375" style="3214" customWidth="1"/>
    <col min="14597" max="14597" width="5.21875" style="3214" customWidth="1"/>
    <col min="14598" max="14598" width="30.77734375" style="3214" customWidth="1"/>
    <col min="14599" max="14599" width="9" style="3214" customWidth="1"/>
    <col min="14600" max="14600" width="48.6640625" style="3214" customWidth="1"/>
    <col min="14601" max="14601" width="20.33203125" style="3214" customWidth="1"/>
    <col min="14602" max="14603" width="15.88671875" style="3214" customWidth="1"/>
    <col min="14604" max="14604" width="22.77734375" style="3214" customWidth="1"/>
    <col min="14605" max="14607" width="9" style="3214" customWidth="1"/>
    <col min="14608" max="14608" width="11" style="3214" customWidth="1"/>
    <col min="14609" max="14610" width="17.77734375" style="3214" customWidth="1"/>
    <col min="14611" max="14611" width="14.77734375" style="3214" customWidth="1"/>
    <col min="14612" max="14613" width="12.88671875" style="3214" customWidth="1"/>
    <col min="14614" max="14614" width="20.33203125" style="3214" customWidth="1"/>
    <col min="14615" max="14615" width="9" style="3214" customWidth="1"/>
    <col min="14616" max="14619" width="10.21875" style="3214" customWidth="1"/>
    <col min="14620" max="14620" width="22.88671875" style="3214" customWidth="1"/>
    <col min="14621" max="14621" width="9" style="3214" customWidth="1"/>
    <col min="14622" max="14622" width="37.33203125" style="3214" customWidth="1"/>
    <col min="14623" max="14625" width="12.109375" style="3214" customWidth="1"/>
    <col min="14626" max="14627" width="18.21875" style="3214" customWidth="1"/>
    <col min="14628" max="14629" width="16.33203125" style="3214" customWidth="1"/>
    <col min="14630" max="14631" width="25" style="3214" customWidth="1"/>
    <col min="14632" max="14632" width="7.109375" style="3214" customWidth="1"/>
    <col min="14633" max="14633" width="9" style="3214" customWidth="1"/>
    <col min="14634" max="14634" width="19.21875" style="3214" customWidth="1"/>
    <col min="14635" max="14636" width="23" style="3214" customWidth="1"/>
    <col min="14637" max="14637" width="9" style="3214" customWidth="1"/>
    <col min="14638" max="14848" width="8.88671875" style="3214"/>
    <col min="14849" max="14849" width="30.77734375" style="3214" customWidth="1"/>
    <col min="14850" max="14850" width="7.109375" style="3214" customWidth="1"/>
    <col min="14851" max="14851" width="9" style="3214" customWidth="1"/>
    <col min="14852" max="14852" width="7.109375" style="3214" customWidth="1"/>
    <col min="14853" max="14853" width="5.21875" style="3214" customWidth="1"/>
    <col min="14854" max="14854" width="30.77734375" style="3214" customWidth="1"/>
    <col min="14855" max="14855" width="9" style="3214" customWidth="1"/>
    <col min="14856" max="14856" width="48.6640625" style="3214" customWidth="1"/>
    <col min="14857" max="14857" width="20.33203125" style="3214" customWidth="1"/>
    <col min="14858" max="14859" width="15.88671875" style="3214" customWidth="1"/>
    <col min="14860" max="14860" width="22.77734375" style="3214" customWidth="1"/>
    <col min="14861" max="14863" width="9" style="3214" customWidth="1"/>
    <col min="14864" max="14864" width="11" style="3214" customWidth="1"/>
    <col min="14865" max="14866" width="17.77734375" style="3214" customWidth="1"/>
    <col min="14867" max="14867" width="14.77734375" style="3214" customWidth="1"/>
    <col min="14868" max="14869" width="12.88671875" style="3214" customWidth="1"/>
    <col min="14870" max="14870" width="20.33203125" style="3214" customWidth="1"/>
    <col min="14871" max="14871" width="9" style="3214" customWidth="1"/>
    <col min="14872" max="14875" width="10.21875" style="3214" customWidth="1"/>
    <col min="14876" max="14876" width="22.88671875" style="3214" customWidth="1"/>
    <col min="14877" max="14877" width="9" style="3214" customWidth="1"/>
    <col min="14878" max="14878" width="37.33203125" style="3214" customWidth="1"/>
    <col min="14879" max="14881" width="12.109375" style="3214" customWidth="1"/>
    <col min="14882" max="14883" width="18.21875" style="3214" customWidth="1"/>
    <col min="14884" max="14885" width="16.33203125" style="3214" customWidth="1"/>
    <col min="14886" max="14887" width="25" style="3214" customWidth="1"/>
    <col min="14888" max="14888" width="7.109375" style="3214" customWidth="1"/>
    <col min="14889" max="14889" width="9" style="3214" customWidth="1"/>
    <col min="14890" max="14890" width="19.21875" style="3214" customWidth="1"/>
    <col min="14891" max="14892" width="23" style="3214" customWidth="1"/>
    <col min="14893" max="14893" width="9" style="3214" customWidth="1"/>
    <col min="14894" max="15104" width="8.88671875" style="3214"/>
    <col min="15105" max="15105" width="30.77734375" style="3214" customWidth="1"/>
    <col min="15106" max="15106" width="7.109375" style="3214" customWidth="1"/>
    <col min="15107" max="15107" width="9" style="3214" customWidth="1"/>
    <col min="15108" max="15108" width="7.109375" style="3214" customWidth="1"/>
    <col min="15109" max="15109" width="5.21875" style="3214" customWidth="1"/>
    <col min="15110" max="15110" width="30.77734375" style="3214" customWidth="1"/>
    <col min="15111" max="15111" width="9" style="3214" customWidth="1"/>
    <col min="15112" max="15112" width="48.6640625" style="3214" customWidth="1"/>
    <col min="15113" max="15113" width="20.33203125" style="3214" customWidth="1"/>
    <col min="15114" max="15115" width="15.88671875" style="3214" customWidth="1"/>
    <col min="15116" max="15116" width="22.77734375" style="3214" customWidth="1"/>
    <col min="15117" max="15119" width="9" style="3214" customWidth="1"/>
    <col min="15120" max="15120" width="11" style="3214" customWidth="1"/>
    <col min="15121" max="15122" width="17.77734375" style="3214" customWidth="1"/>
    <col min="15123" max="15123" width="14.77734375" style="3214" customWidth="1"/>
    <col min="15124" max="15125" width="12.88671875" style="3214" customWidth="1"/>
    <col min="15126" max="15126" width="20.33203125" style="3214" customWidth="1"/>
    <col min="15127" max="15127" width="9" style="3214" customWidth="1"/>
    <col min="15128" max="15131" width="10.21875" style="3214" customWidth="1"/>
    <col min="15132" max="15132" width="22.88671875" style="3214" customWidth="1"/>
    <col min="15133" max="15133" width="9" style="3214" customWidth="1"/>
    <col min="15134" max="15134" width="37.33203125" style="3214" customWidth="1"/>
    <col min="15135" max="15137" width="12.109375" style="3214" customWidth="1"/>
    <col min="15138" max="15139" width="18.21875" style="3214" customWidth="1"/>
    <col min="15140" max="15141" width="16.33203125" style="3214" customWidth="1"/>
    <col min="15142" max="15143" width="25" style="3214" customWidth="1"/>
    <col min="15144" max="15144" width="7.109375" style="3214" customWidth="1"/>
    <col min="15145" max="15145" width="9" style="3214" customWidth="1"/>
    <col min="15146" max="15146" width="19.21875" style="3214" customWidth="1"/>
    <col min="15147" max="15148" width="23" style="3214" customWidth="1"/>
    <col min="15149" max="15149" width="9" style="3214" customWidth="1"/>
    <col min="15150" max="15360" width="8.88671875" style="3214"/>
    <col min="15361" max="15361" width="30.77734375" style="3214" customWidth="1"/>
    <col min="15362" max="15362" width="7.109375" style="3214" customWidth="1"/>
    <col min="15363" max="15363" width="9" style="3214" customWidth="1"/>
    <col min="15364" max="15364" width="7.109375" style="3214" customWidth="1"/>
    <col min="15365" max="15365" width="5.21875" style="3214" customWidth="1"/>
    <col min="15366" max="15366" width="30.77734375" style="3214" customWidth="1"/>
    <col min="15367" max="15367" width="9" style="3214" customWidth="1"/>
    <col min="15368" max="15368" width="48.6640625" style="3214" customWidth="1"/>
    <col min="15369" max="15369" width="20.33203125" style="3214" customWidth="1"/>
    <col min="15370" max="15371" width="15.88671875" style="3214" customWidth="1"/>
    <col min="15372" max="15372" width="22.77734375" style="3214" customWidth="1"/>
    <col min="15373" max="15375" width="9" style="3214" customWidth="1"/>
    <col min="15376" max="15376" width="11" style="3214" customWidth="1"/>
    <col min="15377" max="15378" width="17.77734375" style="3214" customWidth="1"/>
    <col min="15379" max="15379" width="14.77734375" style="3214" customWidth="1"/>
    <col min="15380" max="15381" width="12.88671875" style="3214" customWidth="1"/>
    <col min="15382" max="15382" width="20.33203125" style="3214" customWidth="1"/>
    <col min="15383" max="15383" width="9" style="3214" customWidth="1"/>
    <col min="15384" max="15387" width="10.21875" style="3214" customWidth="1"/>
    <col min="15388" max="15388" width="22.88671875" style="3214" customWidth="1"/>
    <col min="15389" max="15389" width="9" style="3214" customWidth="1"/>
    <col min="15390" max="15390" width="37.33203125" style="3214" customWidth="1"/>
    <col min="15391" max="15393" width="12.109375" style="3214" customWidth="1"/>
    <col min="15394" max="15395" width="18.21875" style="3214" customWidth="1"/>
    <col min="15396" max="15397" width="16.33203125" style="3214" customWidth="1"/>
    <col min="15398" max="15399" width="25" style="3214" customWidth="1"/>
    <col min="15400" max="15400" width="7.109375" style="3214" customWidth="1"/>
    <col min="15401" max="15401" width="9" style="3214" customWidth="1"/>
    <col min="15402" max="15402" width="19.21875" style="3214" customWidth="1"/>
    <col min="15403" max="15404" width="23" style="3214" customWidth="1"/>
    <col min="15405" max="15405" width="9" style="3214" customWidth="1"/>
    <col min="15406" max="15616" width="8.88671875" style="3214"/>
    <col min="15617" max="15617" width="30.77734375" style="3214" customWidth="1"/>
    <col min="15618" max="15618" width="7.109375" style="3214" customWidth="1"/>
    <col min="15619" max="15619" width="9" style="3214" customWidth="1"/>
    <col min="15620" max="15620" width="7.109375" style="3214" customWidth="1"/>
    <col min="15621" max="15621" width="5.21875" style="3214" customWidth="1"/>
    <col min="15622" max="15622" width="30.77734375" style="3214" customWidth="1"/>
    <col min="15623" max="15623" width="9" style="3214" customWidth="1"/>
    <col min="15624" max="15624" width="48.6640625" style="3214" customWidth="1"/>
    <col min="15625" max="15625" width="20.33203125" style="3214" customWidth="1"/>
    <col min="15626" max="15627" width="15.88671875" style="3214" customWidth="1"/>
    <col min="15628" max="15628" width="22.77734375" style="3214" customWidth="1"/>
    <col min="15629" max="15631" width="9" style="3214" customWidth="1"/>
    <col min="15632" max="15632" width="11" style="3214" customWidth="1"/>
    <col min="15633" max="15634" width="17.77734375" style="3214" customWidth="1"/>
    <col min="15635" max="15635" width="14.77734375" style="3214" customWidth="1"/>
    <col min="15636" max="15637" width="12.88671875" style="3214" customWidth="1"/>
    <col min="15638" max="15638" width="20.33203125" style="3214" customWidth="1"/>
    <col min="15639" max="15639" width="9" style="3214" customWidth="1"/>
    <col min="15640" max="15643" width="10.21875" style="3214" customWidth="1"/>
    <col min="15644" max="15644" width="22.88671875" style="3214" customWidth="1"/>
    <col min="15645" max="15645" width="9" style="3214" customWidth="1"/>
    <col min="15646" max="15646" width="37.33203125" style="3214" customWidth="1"/>
    <col min="15647" max="15649" width="12.109375" style="3214" customWidth="1"/>
    <col min="15650" max="15651" width="18.21875" style="3214" customWidth="1"/>
    <col min="15652" max="15653" width="16.33203125" style="3214" customWidth="1"/>
    <col min="15654" max="15655" width="25" style="3214" customWidth="1"/>
    <col min="15656" max="15656" width="7.109375" style="3214" customWidth="1"/>
    <col min="15657" max="15657" width="9" style="3214" customWidth="1"/>
    <col min="15658" max="15658" width="19.21875" style="3214" customWidth="1"/>
    <col min="15659" max="15660" width="23" style="3214" customWidth="1"/>
    <col min="15661" max="15661" width="9" style="3214" customWidth="1"/>
    <col min="15662" max="15872" width="8.88671875" style="3214"/>
    <col min="15873" max="15873" width="30.77734375" style="3214" customWidth="1"/>
    <col min="15874" max="15874" width="7.109375" style="3214" customWidth="1"/>
    <col min="15875" max="15875" width="9" style="3214" customWidth="1"/>
    <col min="15876" max="15876" width="7.109375" style="3214" customWidth="1"/>
    <col min="15877" max="15877" width="5.21875" style="3214" customWidth="1"/>
    <col min="15878" max="15878" width="30.77734375" style="3214" customWidth="1"/>
    <col min="15879" max="15879" width="9" style="3214" customWidth="1"/>
    <col min="15880" max="15880" width="48.6640625" style="3214" customWidth="1"/>
    <col min="15881" max="15881" width="20.33203125" style="3214" customWidth="1"/>
    <col min="15882" max="15883" width="15.88671875" style="3214" customWidth="1"/>
    <col min="15884" max="15884" width="22.77734375" style="3214" customWidth="1"/>
    <col min="15885" max="15887" width="9" style="3214" customWidth="1"/>
    <col min="15888" max="15888" width="11" style="3214" customWidth="1"/>
    <col min="15889" max="15890" width="17.77734375" style="3214" customWidth="1"/>
    <col min="15891" max="15891" width="14.77734375" style="3214" customWidth="1"/>
    <col min="15892" max="15893" width="12.88671875" style="3214" customWidth="1"/>
    <col min="15894" max="15894" width="20.33203125" style="3214" customWidth="1"/>
    <col min="15895" max="15895" width="9" style="3214" customWidth="1"/>
    <col min="15896" max="15899" width="10.21875" style="3214" customWidth="1"/>
    <col min="15900" max="15900" width="22.88671875" style="3214" customWidth="1"/>
    <col min="15901" max="15901" width="9" style="3214" customWidth="1"/>
    <col min="15902" max="15902" width="37.33203125" style="3214" customWidth="1"/>
    <col min="15903" max="15905" width="12.109375" style="3214" customWidth="1"/>
    <col min="15906" max="15907" width="18.21875" style="3214" customWidth="1"/>
    <col min="15908" max="15909" width="16.33203125" style="3214" customWidth="1"/>
    <col min="15910" max="15911" width="25" style="3214" customWidth="1"/>
    <col min="15912" max="15912" width="7.109375" style="3214" customWidth="1"/>
    <col min="15913" max="15913" width="9" style="3214" customWidth="1"/>
    <col min="15914" max="15914" width="19.21875" style="3214" customWidth="1"/>
    <col min="15915" max="15916" width="23" style="3214" customWidth="1"/>
    <col min="15917" max="15917" width="9" style="3214" customWidth="1"/>
    <col min="15918" max="16128" width="8.88671875" style="3214"/>
    <col min="16129" max="16129" width="30.77734375" style="3214" customWidth="1"/>
    <col min="16130" max="16130" width="7.109375" style="3214" customWidth="1"/>
    <col min="16131" max="16131" width="9" style="3214" customWidth="1"/>
    <col min="16132" max="16132" width="7.109375" style="3214" customWidth="1"/>
    <col min="16133" max="16133" width="5.21875" style="3214" customWidth="1"/>
    <col min="16134" max="16134" width="30.77734375" style="3214" customWidth="1"/>
    <col min="16135" max="16135" width="9" style="3214" customWidth="1"/>
    <col min="16136" max="16136" width="48.6640625" style="3214" customWidth="1"/>
    <col min="16137" max="16137" width="20.33203125" style="3214" customWidth="1"/>
    <col min="16138" max="16139" width="15.88671875" style="3214" customWidth="1"/>
    <col min="16140" max="16140" width="22.77734375" style="3214" customWidth="1"/>
    <col min="16141" max="16143" width="9" style="3214" customWidth="1"/>
    <col min="16144" max="16144" width="11" style="3214" customWidth="1"/>
    <col min="16145" max="16146" width="17.77734375" style="3214" customWidth="1"/>
    <col min="16147" max="16147" width="14.77734375" style="3214" customWidth="1"/>
    <col min="16148" max="16149" width="12.88671875" style="3214" customWidth="1"/>
    <col min="16150" max="16150" width="20.33203125" style="3214" customWidth="1"/>
    <col min="16151" max="16151" width="9" style="3214" customWidth="1"/>
    <col min="16152" max="16155" width="10.21875" style="3214" customWidth="1"/>
    <col min="16156" max="16156" width="22.88671875" style="3214" customWidth="1"/>
    <col min="16157" max="16157" width="9" style="3214" customWidth="1"/>
    <col min="16158" max="16158" width="37.33203125" style="3214" customWidth="1"/>
    <col min="16159" max="16161" width="12.109375" style="3214" customWidth="1"/>
    <col min="16162" max="16163" width="18.21875" style="3214" customWidth="1"/>
    <col min="16164" max="16165" width="16.33203125" style="3214" customWidth="1"/>
    <col min="16166" max="16167" width="25" style="3214" customWidth="1"/>
    <col min="16168" max="16168" width="7.109375" style="3214" customWidth="1"/>
    <col min="16169" max="16169" width="9" style="3214" customWidth="1"/>
    <col min="16170" max="16170" width="19.21875" style="3214" customWidth="1"/>
    <col min="16171" max="16172" width="23" style="3214" customWidth="1"/>
    <col min="16173" max="16173" width="9" style="3214" customWidth="1"/>
    <col min="16174" max="16384" width="8.88671875" style="3214"/>
  </cols>
  <sheetData>
    <row r="1" spans="1:45" s="2939" customFormat="1" ht="14.4">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4.4">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4.4">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4.4">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4.4">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4.4">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4.4">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4.4">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4.4">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4.4">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4.4">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4.4">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4.4">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4.4">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4.4">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4.4">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4.4">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4.4">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4.4">
      <c r="A19" s="3219" t="s">
        <v>3251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4.4">
      <c r="A20" s="3219" t="s">
        <v>3258</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4.4">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4.4">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4.4">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4.4">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4.4">
      <c r="A25" s="3219" t="s">
        <v>3279</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4.4">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4.4">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4.4">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4.4">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4.4">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4.4">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18" sqref="D18"/>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26306</v>
      </c>
      <c r="C2" s="2104"/>
      <c r="D2" s="2104"/>
      <c r="E2" s="2104"/>
      <c r="F2" s="2104"/>
      <c r="G2" s="2104"/>
      <c r="H2" s="2104"/>
      <c r="I2" s="2104"/>
      <c r="J2" s="2104"/>
      <c r="K2" s="2104"/>
    </row>
    <row r="3" spans="1:31" s="2041" customFormat="1" ht="18" customHeight="1">
      <c r="A3" s="2106" t="s">
        <v>1683</v>
      </c>
      <c r="B3" s="2107">
        <f ca="1">ROUND(B2*10000/IF(B1="",'数据-汇总表'!E3,INDIRECT("'数据-取费表'!K"&amp;$K$1)),0)</f>
        <v>4246</v>
      </c>
      <c r="C3" s="2104"/>
      <c r="D3" s="2104"/>
      <c r="E3" s="2104"/>
      <c r="F3" s="2104"/>
      <c r="G3" s="2104"/>
      <c r="H3" s="2104"/>
      <c r="I3" s="2104"/>
      <c r="J3" s="2104"/>
      <c r="K3" s="2104"/>
    </row>
    <row r="4" spans="1:31" s="2041" customFormat="1" ht="18" customHeight="1">
      <c r="A4" s="426" t="s">
        <v>467</v>
      </c>
      <c r="B4" s="427">
        <f ca="1">ROUND(B2*10000/IF(B1="",'数据-汇总表'!D3,INDIRECT("'数据-取费表'!R"&amp;$K$1)),0)</f>
        <v>6370</v>
      </c>
      <c r="C4" s="428"/>
      <c r="D4" s="422"/>
      <c r="E4" s="422"/>
      <c r="F4" s="422"/>
      <c r="G4" s="422"/>
      <c r="H4" s="422"/>
      <c r="I4" s="422"/>
      <c r="J4" s="422"/>
      <c r="K4" s="422"/>
    </row>
    <row r="5" spans="1:31" s="2041" customFormat="1" ht="18" customHeight="1" thickBot="1">
      <c r="A5" s="429"/>
      <c r="B5" s="430">
        <f ca="1">ROUND(B2/(IF(B1="",'数据-汇总表'!D3,INDIRECT("'数据-取费表'!R"&amp;$K$1))/666.67),0)</f>
        <v>425</v>
      </c>
      <c r="C5" s="431" t="s">
        <v>468</v>
      </c>
      <c r="D5" s="422"/>
      <c r="E5" s="422"/>
      <c r="F5" s="422"/>
      <c r="G5" s="422"/>
      <c r="H5" s="422"/>
      <c r="I5" s="422"/>
      <c r="J5" s="422"/>
      <c r="K5" s="422"/>
    </row>
    <row r="6" spans="1:31" s="2111" customFormat="1" ht="16.5" customHeight="1">
      <c r="A6" s="2828" t="s">
        <v>1841</v>
      </c>
      <c r="B6" s="2829"/>
      <c r="C6" s="2830">
        <f ca="1">SUM(C10:K10)</f>
        <v>68856</v>
      </c>
      <c r="D6" s="2829"/>
      <c r="E6" s="2829"/>
      <c r="F6" s="2829"/>
      <c r="G6" s="2829"/>
      <c r="H6" s="2829"/>
      <c r="I6" s="2829"/>
      <c r="J6" s="2829"/>
      <c r="K6" s="2831"/>
    </row>
    <row r="7" spans="1:31" s="2113" customFormat="1" ht="14.4">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11875</v>
      </c>
      <c r="D8" s="2834">
        <f>'不动产比较法-洋房'!B3</f>
        <v>10925</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12389.7</v>
      </c>
      <c r="D9" s="441">
        <f>SUMIF('数据-汇总表'!$C19:$C33,'剩余法-待开发'!D7,'数据-汇总表'!$E19:$E33)</f>
        <v>49558.8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14713</v>
      </c>
      <c r="D10" s="3027">
        <f>'不动产比较法-洋房'!B2</f>
        <v>54143</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18585</v>
      </c>
      <c r="D13" s="2844"/>
      <c r="E13" s="2845"/>
      <c r="F13" s="2846"/>
      <c r="G13" s="2812"/>
      <c r="H13" s="2813"/>
      <c r="I13" s="2813"/>
      <c r="J13" s="2813"/>
      <c r="K13" s="2814"/>
    </row>
    <row r="14" spans="1:31" s="2116" customFormat="1" ht="13.5" customHeight="1">
      <c r="A14" s="2842" t="s">
        <v>1848</v>
      </c>
      <c r="B14" s="2843" t="s">
        <v>479</v>
      </c>
      <c r="C14" s="53">
        <f ca="1">ROUND(C13*F14,0)</f>
        <v>929</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743</v>
      </c>
      <c r="D15" s="2844"/>
      <c r="E15" s="2845"/>
      <c r="F15" s="2847">
        <f>'数据-取费表'!B34</f>
        <v>0.05</v>
      </c>
      <c r="G15" s="2812" t="s">
        <v>482</v>
      </c>
      <c r="H15" s="2813"/>
      <c r="I15" s="2813"/>
      <c r="J15" s="2813"/>
      <c r="K15" s="2814"/>
    </row>
    <row r="16" spans="1:31" s="2117" customFormat="1" ht="13.5" customHeight="1">
      <c r="A16" s="2842" t="s">
        <v>1850</v>
      </c>
      <c r="B16" s="2843" t="s">
        <v>483</v>
      </c>
      <c r="C16" s="53">
        <f ca="1">ROUND(D16*E16/10000,0)</f>
        <v>1239</v>
      </c>
      <c r="D16" s="2844">
        <f ca="1">IF(B1="",'数据-汇总表'!E3,INDIRECT("'数据-取费表'!K"&amp;$K$1)+INDIRECT("'数据-取费表'!S"&amp;$K$1))</f>
        <v>61948.5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279</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21775</v>
      </c>
      <c r="D18" s="2853"/>
      <c r="E18" s="468"/>
      <c r="F18" s="468"/>
      <c r="G18" s="2816" t="s">
        <v>2430</v>
      </c>
      <c r="H18" s="2817"/>
      <c r="I18" s="2817"/>
      <c r="J18" s="2817"/>
      <c r="K18" s="2818"/>
    </row>
    <row r="19" spans="1:14" s="2116" customFormat="1" ht="13.5" customHeight="1">
      <c r="A19" s="2850" t="s">
        <v>1853</v>
      </c>
      <c r="B19" s="2851" t="s">
        <v>487</v>
      </c>
      <c r="C19" s="2808">
        <f ca="1">ROUND(D19*E19/10000,0)</f>
        <v>372</v>
      </c>
      <c r="D19" s="2854">
        <f ca="1">D16</f>
        <v>61948.5</v>
      </c>
      <c r="E19" s="2808">
        <f>'数据-取费表'!B32</f>
        <v>60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1796</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1437</v>
      </c>
      <c r="D21" s="2844">
        <f ca="1">IF(B1="",'数据-汇总表'!E5,IF(INDIRECT("'数据-取费表'!c"&amp;$K$1)="住宅",INDIRECT("'数据-取费表'!k"&amp;$K$1),0))</f>
        <v>49558.8</v>
      </c>
      <c r="E21" s="53">
        <f>'数据-取费表'!B27</f>
        <v>290</v>
      </c>
      <c r="F21" s="2847"/>
      <c r="G21" s="26"/>
      <c r="H21" s="51"/>
      <c r="I21" s="51"/>
      <c r="J21" s="51"/>
      <c r="K21" s="2819"/>
    </row>
    <row r="22" spans="1:14" s="2116" customFormat="1" ht="13.5" customHeight="1">
      <c r="A22" s="2842" t="s">
        <v>1856</v>
      </c>
      <c r="B22" s="2843" t="s">
        <v>491</v>
      </c>
      <c r="C22" s="53">
        <f ca="1">ROUND(D22*E22/10000,0)</f>
        <v>359</v>
      </c>
      <c r="D22" s="2844">
        <f ca="1">IF(B1="",'数据-汇总表'!E6,IF(INDIRECT("'数据-取费表'!c"&amp;$K$1)="住宅",INDIRECT("'数据-取费表'!s"&amp;$K$1),INDIRECT("'数据-取费表'!k"&amp;$K$1)+INDIRECT("'数据-取费表'!s"&amp;$K$1)))</f>
        <v>12389.699999999997</v>
      </c>
      <c r="E22" s="53">
        <f>'数据-取费表'!B28</f>
        <v>290</v>
      </c>
      <c r="F22" s="2847"/>
      <c r="G22" s="26"/>
      <c r="H22" s="51"/>
      <c r="I22" s="51"/>
      <c r="J22" s="51"/>
      <c r="K22" s="2819"/>
    </row>
    <row r="23" spans="1:14" s="2116" customFormat="1" ht="13.5" customHeight="1">
      <c r="A23" s="2850" t="s">
        <v>1857</v>
      </c>
      <c r="B23" s="3033" t="s">
        <v>2831</v>
      </c>
      <c r="C23" s="2852">
        <f ca="1">ROUND((C18+C19+C20)*F23,0)</f>
        <v>479</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1377</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1225</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1225</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3672</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30696</v>
      </c>
      <c r="D30" s="477">
        <f ca="1">C32</f>
        <v>0.12909999999999999</v>
      </c>
      <c r="E30" s="469" t="s">
        <v>494</v>
      </c>
      <c r="F30" s="471"/>
      <c r="G30" s="2820" t="s">
        <v>2968</v>
      </c>
      <c r="H30" s="2813"/>
      <c r="I30" s="2813"/>
      <c r="J30" s="2813"/>
      <c r="K30" s="2814"/>
    </row>
    <row r="31" spans="1:14" s="2120" customFormat="1" ht="13.5" customHeight="1">
      <c r="A31" s="803" t="s">
        <v>1855</v>
      </c>
      <c r="B31" s="2858"/>
      <c r="C31" s="450">
        <f ca="1">C18+C19+C20+C23+C24+C26+C29</f>
        <v>30696</v>
      </c>
      <c r="D31" s="472"/>
      <c r="E31" s="473"/>
      <c r="F31" s="474"/>
      <c r="G31" s="261"/>
      <c r="H31" s="2815"/>
      <c r="I31" s="2815"/>
      <c r="J31" s="2815"/>
      <c r="K31" s="279"/>
    </row>
    <row r="32" spans="1:14" s="2120" customFormat="1" ht="13.5" customHeight="1">
      <c r="A32" s="803" t="s">
        <v>1856</v>
      </c>
      <c r="B32" s="2858"/>
      <c r="C32" s="53">
        <f ca="1">ROUND(C25+D26,4)</f>
        <v>0.12909999999999999</v>
      </c>
      <c r="D32" s="472"/>
      <c r="E32" s="473"/>
      <c r="F32" s="474"/>
      <c r="G32" s="261"/>
      <c r="H32" s="2815"/>
      <c r="I32" s="2815"/>
      <c r="J32" s="2815"/>
      <c r="K32" s="279"/>
    </row>
    <row r="33" spans="1:11" s="2122" customFormat="1" ht="13.5" customHeight="1">
      <c r="A33" s="3032" t="s">
        <v>2830</v>
      </c>
      <c r="B33" s="3030" t="s">
        <v>2828</v>
      </c>
      <c r="C33" s="478">
        <f ca="1">C35</f>
        <v>4128</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4128</v>
      </c>
      <c r="D35" s="1628"/>
      <c r="E35" s="2864"/>
      <c r="F35" s="1629"/>
      <c r="G35" s="2822"/>
      <c r="H35" s="2823"/>
      <c r="I35" s="2823"/>
      <c r="J35" s="2823"/>
      <c r="K35" s="2824"/>
    </row>
    <row r="36" spans="1:11" s="2085" customFormat="1" ht="13.5" customHeight="1" thickBot="1">
      <c r="A36" s="284" t="s">
        <v>1843</v>
      </c>
      <c r="B36" s="2826"/>
      <c r="C36" s="2865">
        <f ca="1">ROUND((C6-C30-C33)/(1+D30+D33),0)</f>
        <v>26306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18585</v>
      </c>
      <c r="D13" s="451"/>
      <c r="E13" s="365"/>
      <c r="F13" s="452"/>
      <c r="G13" s="444"/>
      <c r="H13" s="447"/>
      <c r="I13" s="447"/>
      <c r="J13" s="447"/>
      <c r="K13" s="448"/>
    </row>
    <row r="14" spans="1:41" s="2116" customFormat="1" ht="13.5" customHeight="1">
      <c r="A14" s="1632" t="s">
        <v>1848</v>
      </c>
      <c r="B14" s="449" t="s">
        <v>479</v>
      </c>
      <c r="C14" s="53">
        <f ca="1">ROUND(C13*F14,0)</f>
        <v>929</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743</v>
      </c>
      <c r="D15" s="451"/>
      <c r="E15" s="365"/>
      <c r="F15" s="453">
        <f>'数据-取费表'!B34</f>
        <v>0.05</v>
      </c>
      <c r="G15" s="444" t="s">
        <v>501</v>
      </c>
      <c r="H15" s="447"/>
      <c r="I15" s="447"/>
      <c r="J15" s="447"/>
      <c r="K15" s="448"/>
    </row>
    <row r="16" spans="1:41" s="2117" customFormat="1" ht="13.5" customHeight="1">
      <c r="A16" s="1632" t="s">
        <v>1850</v>
      </c>
      <c r="B16" s="449" t="s">
        <v>483</v>
      </c>
      <c r="C16" s="53">
        <f ca="1">ROUND(D16*E16/10000,0)</f>
        <v>1239</v>
      </c>
      <c r="D16" s="451">
        <f ca="1">IF(B1="",'数据-汇总表'!E3,INDIRECT("'数据-取费表'!K"&amp;$K$1)+INDIRECT("'数据-取费表'!S"&amp;$K$1))</f>
        <v>61948.5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279</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21775</v>
      </c>
      <c r="D18" s="461"/>
      <c r="E18" s="462"/>
      <c r="F18" s="462"/>
      <c r="G18" s="1327" t="s">
        <v>2432</v>
      </c>
      <c r="H18" s="447"/>
      <c r="I18" s="447"/>
      <c r="J18" s="447"/>
      <c r="K18" s="448"/>
    </row>
    <row r="19" spans="1:14" s="2119" customFormat="1" ht="13.5" customHeight="1">
      <c r="A19" s="1633" t="s">
        <v>1853</v>
      </c>
      <c r="B19" s="459" t="s">
        <v>492</v>
      </c>
      <c r="C19" s="460">
        <f ca="1">ROUND(C18*F19,0)</f>
        <v>436</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1055</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1055</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3554</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3554</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29073</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08" t="s">
        <v>521</v>
      </c>
      <c r="D6" s="3409"/>
      <c r="E6" s="3447" t="s">
        <v>522</v>
      </c>
      <c r="F6" s="3448"/>
      <c r="G6" s="3408" t="s">
        <v>523</v>
      </c>
      <c r="H6" s="3409"/>
      <c r="I6" s="3408" t="s">
        <v>524</v>
      </c>
      <c r="J6" s="3409"/>
      <c r="K6" s="514" t="s">
        <v>525</v>
      </c>
      <c r="L6" s="2133"/>
      <c r="M6" s="2134"/>
      <c r="N6" s="2134"/>
      <c r="O6" s="2134"/>
      <c r="P6" s="3410" t="s">
        <v>526</v>
      </c>
      <c r="Q6" s="3411"/>
      <c r="R6" s="3416" t="s">
        <v>522</v>
      </c>
      <c r="S6" s="3417"/>
      <c r="T6" s="3416" t="s">
        <v>523</v>
      </c>
      <c r="U6" s="3417"/>
      <c r="V6" s="3403" t="s">
        <v>524</v>
      </c>
      <c r="W6" s="3403"/>
      <c r="X6" s="1566"/>
      <c r="Y6" s="3416" t="s">
        <v>526</v>
      </c>
      <c r="Z6" s="3417"/>
      <c r="AA6" s="3405" t="s">
        <v>522</v>
      </c>
      <c r="AB6" s="3406" t="s">
        <v>523</v>
      </c>
      <c r="AC6" s="3405" t="s">
        <v>524</v>
      </c>
    </row>
    <row r="7" spans="1:29">
      <c r="A7" s="515"/>
      <c r="B7" s="516"/>
      <c r="C7" s="3424" t="s">
        <v>2924</v>
      </c>
      <c r="D7" s="3425"/>
      <c r="E7" s="3449" t="s">
        <v>2925</v>
      </c>
      <c r="F7" s="3450"/>
      <c r="G7" s="3424" t="s">
        <v>2926</v>
      </c>
      <c r="H7" s="3425"/>
      <c r="I7" s="3424" t="s">
        <v>2927</v>
      </c>
      <c r="J7" s="3425"/>
      <c r="K7" s="514"/>
      <c r="L7" s="2133"/>
      <c r="M7" s="2134"/>
      <c r="N7" s="2134"/>
      <c r="O7" s="2134"/>
      <c r="P7" s="3412"/>
      <c r="Q7" s="3413"/>
      <c r="R7" s="3418"/>
      <c r="S7" s="3419"/>
      <c r="T7" s="3418"/>
      <c r="U7" s="3419"/>
      <c r="V7" s="3403"/>
      <c r="W7" s="3403"/>
      <c r="X7" s="1566"/>
      <c r="Y7" s="3418"/>
      <c r="Z7" s="3419"/>
      <c r="AA7" s="3406"/>
      <c r="AB7" s="3406"/>
      <c r="AC7" s="3406"/>
    </row>
    <row r="8" spans="1:29" ht="15" thickBot="1">
      <c r="A8" s="517"/>
      <c r="B8" s="518"/>
      <c r="C8" s="3422" t="s">
        <v>2928</v>
      </c>
      <c r="D8" s="3423"/>
      <c r="E8" s="3445" t="s">
        <v>2928</v>
      </c>
      <c r="F8" s="3446"/>
      <c r="G8" s="3422" t="s">
        <v>2928</v>
      </c>
      <c r="H8" s="3423"/>
      <c r="I8" s="3422" t="s">
        <v>2928</v>
      </c>
      <c r="J8" s="3423"/>
      <c r="K8" s="514" t="s">
        <v>527</v>
      </c>
      <c r="L8" s="2133"/>
      <c r="M8" s="2134"/>
      <c r="N8" s="2134"/>
      <c r="O8" s="2134"/>
      <c r="P8" s="3414"/>
      <c r="Q8" s="3415"/>
      <c r="R8" s="3418"/>
      <c r="S8" s="3419"/>
      <c r="T8" s="3420"/>
      <c r="U8" s="3421"/>
      <c r="V8" s="3403"/>
      <c r="W8" s="3403"/>
      <c r="X8" s="1566"/>
      <c r="Y8" s="3420"/>
      <c r="Z8" s="3421"/>
      <c r="AA8" s="3407"/>
      <c r="AB8" s="3407"/>
      <c r="AC8" s="3407"/>
    </row>
    <row r="9" spans="1:29" s="1220" customFormat="1" ht="1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35" t="s">
        <v>529</v>
      </c>
      <c r="Q9" s="3437"/>
      <c r="R9" s="1567" t="s">
        <v>8</v>
      </c>
      <c r="S9" s="1568">
        <f t="shared" ref="S9:S17" si="0">F9</f>
        <v>0</v>
      </c>
      <c r="T9" s="1567" t="s">
        <v>8</v>
      </c>
      <c r="U9" s="1568">
        <f t="shared" ref="U9:U17" si="1">H9</f>
        <v>0</v>
      </c>
      <c r="V9" s="1567" t="s">
        <v>8</v>
      </c>
      <c r="W9" s="1568">
        <f t="shared" ref="W9:W17" si="2">J9</f>
        <v>0</v>
      </c>
      <c r="X9" s="1569"/>
      <c r="Y9" s="3435" t="s">
        <v>529</v>
      </c>
      <c r="Z9" s="3436"/>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35" t="s">
        <v>532</v>
      </c>
      <c r="Q10" s="3436"/>
      <c r="R10" s="1567" t="s">
        <v>8</v>
      </c>
      <c r="S10" s="1568">
        <f t="shared" si="0"/>
        <v>0</v>
      </c>
      <c r="T10" s="1567" t="s">
        <v>8</v>
      </c>
      <c r="U10" s="1568">
        <f t="shared" si="1"/>
        <v>0</v>
      </c>
      <c r="V10" s="1567" t="s">
        <v>8</v>
      </c>
      <c r="W10" s="1568">
        <f t="shared" si="2"/>
        <v>0</v>
      </c>
      <c r="X10" s="1569"/>
      <c r="Y10" s="3435" t="s">
        <v>532</v>
      </c>
      <c r="Z10" s="3436"/>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2" t="s">
        <v>534</v>
      </c>
      <c r="Q11" s="1151" t="str">
        <f t="shared" ref="Q11:Q17" si="6">B11</f>
        <v>用途</v>
      </c>
      <c r="R11" s="1567" t="s">
        <v>8</v>
      </c>
      <c r="S11" s="1568">
        <f t="shared" si="0"/>
        <v>100</v>
      </c>
      <c r="T11" s="1567" t="s">
        <v>8</v>
      </c>
      <c r="U11" s="1568">
        <f t="shared" si="1"/>
        <v>100</v>
      </c>
      <c r="V11" s="1567" t="s">
        <v>8</v>
      </c>
      <c r="W11" s="1568">
        <f t="shared" si="2"/>
        <v>100</v>
      </c>
      <c r="X11" s="1569"/>
      <c r="Y11" s="3348"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02"/>
      <c r="Q12" s="1151" t="str">
        <f t="shared" si="6"/>
        <v>土地使用年限（年）</v>
      </c>
      <c r="R12" s="1567" t="s">
        <v>8</v>
      </c>
      <c r="S12" s="1568">
        <f t="shared" si="0"/>
        <v>103</v>
      </c>
      <c r="T12" s="1567" t="s">
        <v>8</v>
      </c>
      <c r="U12" s="1568">
        <f t="shared" si="1"/>
        <v>103</v>
      </c>
      <c r="V12" s="1567" t="s">
        <v>8</v>
      </c>
      <c r="W12" s="1568">
        <f t="shared" si="2"/>
        <v>103</v>
      </c>
      <c r="X12" s="1569"/>
      <c r="Y12" s="3348"/>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2"/>
      <c r="Q13" s="1151" t="str">
        <f t="shared" si="6"/>
        <v>容积率</v>
      </c>
      <c r="R13" s="1567" t="s">
        <v>8</v>
      </c>
      <c r="S13" s="1568" t="e">
        <f t="shared" si="0"/>
        <v>#N/A</v>
      </c>
      <c r="T13" s="1567" t="s">
        <v>8</v>
      </c>
      <c r="U13" s="1568" t="e">
        <f t="shared" si="1"/>
        <v>#N/A</v>
      </c>
      <c r="V13" s="1567" t="s">
        <v>8</v>
      </c>
      <c r="W13" s="1568" t="e">
        <f t="shared" si="2"/>
        <v>#N/A</v>
      </c>
      <c r="X13" s="1569"/>
      <c r="Y13" s="3348"/>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2"/>
      <c r="Q14" s="1151">
        <f t="shared" si="6"/>
        <v>111</v>
      </c>
      <c r="R14" s="1567" t="s">
        <v>8</v>
      </c>
      <c r="S14" s="1568">
        <f t="shared" si="0"/>
        <v>100</v>
      </c>
      <c r="T14" s="1567" t="s">
        <v>8</v>
      </c>
      <c r="U14" s="1568">
        <f t="shared" si="1"/>
        <v>100</v>
      </c>
      <c r="V14" s="1567" t="s">
        <v>8</v>
      </c>
      <c r="W14" s="1568">
        <f t="shared" si="2"/>
        <v>100</v>
      </c>
      <c r="X14" s="1569"/>
      <c r="Y14" s="3348"/>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2"/>
      <c r="Q15" s="1151">
        <f t="shared" si="6"/>
        <v>111</v>
      </c>
      <c r="R15" s="1567" t="s">
        <v>8</v>
      </c>
      <c r="S15" s="1568">
        <f t="shared" si="0"/>
        <v>100</v>
      </c>
      <c r="T15" s="1567" t="s">
        <v>8</v>
      </c>
      <c r="U15" s="1568">
        <f t="shared" si="1"/>
        <v>100</v>
      </c>
      <c r="V15" s="1567" t="s">
        <v>8</v>
      </c>
      <c r="W15" s="1568">
        <f t="shared" si="2"/>
        <v>100</v>
      </c>
      <c r="X15" s="1569"/>
      <c r="Y15" s="3348"/>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2"/>
      <c r="Q16" s="1151">
        <f t="shared" si="6"/>
        <v>111</v>
      </c>
      <c r="R16" s="1567" t="s">
        <v>8</v>
      </c>
      <c r="S16" s="1568">
        <f t="shared" si="0"/>
        <v>100</v>
      </c>
      <c r="T16" s="1567" t="s">
        <v>8</v>
      </c>
      <c r="U16" s="1568">
        <f t="shared" si="1"/>
        <v>100</v>
      </c>
      <c r="V16" s="1567" t="s">
        <v>8</v>
      </c>
      <c r="W16" s="1568">
        <f t="shared" si="2"/>
        <v>100</v>
      </c>
      <c r="X16" s="1569"/>
      <c r="Y16" s="3348"/>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8" t="s">
        <v>539</v>
      </c>
      <c r="Q17" s="1571" t="str">
        <f t="shared" si="6"/>
        <v>产业集聚程度</v>
      </c>
      <c r="R17" s="1572" t="s">
        <v>8</v>
      </c>
      <c r="S17" s="1573">
        <f t="shared" si="0"/>
        <v>100</v>
      </c>
      <c r="T17" s="1572" t="s">
        <v>8</v>
      </c>
      <c r="U17" s="1573">
        <f t="shared" si="1"/>
        <v>100</v>
      </c>
      <c r="V17" s="1572" t="s">
        <v>8</v>
      </c>
      <c r="W17" s="1573">
        <f t="shared" si="2"/>
        <v>100</v>
      </c>
      <c r="X17" s="1566"/>
      <c r="Y17" s="3438"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39"/>
      <c r="Q18" s="1571"/>
      <c r="R18" s="1572"/>
      <c r="S18" s="1573"/>
      <c r="T18" s="1572"/>
      <c r="U18" s="1573"/>
      <c r="V18" s="1572"/>
      <c r="W18" s="1573"/>
      <c r="X18" s="1566"/>
      <c r="Y18" s="3439"/>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9"/>
      <c r="Q19" s="1571" t="str">
        <f>B19</f>
        <v>交通便捷度</v>
      </c>
      <c r="R19" s="1572" t="s">
        <v>8</v>
      </c>
      <c r="S19" s="1573">
        <f>F19</f>
        <v>100</v>
      </c>
      <c r="T19" s="1572" t="s">
        <v>8</v>
      </c>
      <c r="U19" s="1573">
        <f>H19</f>
        <v>100</v>
      </c>
      <c r="V19" s="1572" t="s">
        <v>8</v>
      </c>
      <c r="W19" s="1573">
        <f>J19</f>
        <v>100</v>
      </c>
      <c r="X19" s="1566"/>
      <c r="Y19" s="3439"/>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39"/>
      <c r="Q20" s="1571"/>
      <c r="R20" s="1572"/>
      <c r="S20" s="1573"/>
      <c r="T20" s="1572"/>
      <c r="U20" s="1573"/>
      <c r="V20" s="1572"/>
      <c r="W20" s="1573"/>
      <c r="X20" s="1566"/>
      <c r="Y20" s="3439"/>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39"/>
      <c r="Q21" s="1571" t="str">
        <f t="shared" ref="Q21:Q35" si="8">B21</f>
        <v>区域土地利用方向</v>
      </c>
      <c r="R21" s="1572" t="s">
        <v>8</v>
      </c>
      <c r="S21" s="1573">
        <f>F21</f>
        <v>100</v>
      </c>
      <c r="T21" s="1572" t="s">
        <v>8</v>
      </c>
      <c r="U21" s="1573">
        <f>H21</f>
        <v>100</v>
      </c>
      <c r="V21" s="1572" t="s">
        <v>8</v>
      </c>
      <c r="W21" s="1573">
        <f>J21</f>
        <v>100</v>
      </c>
      <c r="X21" s="1566"/>
      <c r="Y21" s="343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39"/>
      <c r="Q22" s="1571"/>
      <c r="R22" s="1572"/>
      <c r="S22" s="1573"/>
      <c r="T22" s="1572"/>
      <c r="U22" s="1573"/>
      <c r="V22" s="1572"/>
      <c r="W22" s="1573"/>
      <c r="X22" s="1566"/>
      <c r="Y22" s="3439"/>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9"/>
      <c r="Q23" s="1571" t="str">
        <f t="shared" si="8"/>
        <v>环境状况</v>
      </c>
      <c r="R23" s="1572" t="s">
        <v>8</v>
      </c>
      <c r="S23" s="1573">
        <f>F23</f>
        <v>100</v>
      </c>
      <c r="T23" s="1572" t="s">
        <v>8</v>
      </c>
      <c r="U23" s="1573">
        <f>H23</f>
        <v>100</v>
      </c>
      <c r="V23" s="1572" t="s">
        <v>8</v>
      </c>
      <c r="W23" s="1573">
        <f>J23</f>
        <v>100</v>
      </c>
      <c r="X23" s="1566"/>
      <c r="Y23" s="343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39"/>
      <c r="Q24" s="1571"/>
      <c r="R24" s="1572"/>
      <c r="S24" s="1573"/>
      <c r="T24" s="1572"/>
      <c r="U24" s="1573"/>
      <c r="V24" s="1572"/>
      <c r="W24" s="1573"/>
      <c r="X24" s="1566"/>
      <c r="Y24" s="3439"/>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9"/>
      <c r="Q25" s="1151" t="str">
        <f t="shared" si="8"/>
        <v>公共配套设施</v>
      </c>
      <c r="R25" s="1567" t="s">
        <v>8</v>
      </c>
      <c r="S25" s="1568">
        <f>F25</f>
        <v>100</v>
      </c>
      <c r="T25" s="1567" t="s">
        <v>8</v>
      </c>
      <c r="U25" s="1568">
        <f>H25</f>
        <v>100</v>
      </c>
      <c r="V25" s="1567" t="s">
        <v>8</v>
      </c>
      <c r="W25" s="1568">
        <f>J25</f>
        <v>100</v>
      </c>
      <c r="X25" s="1569"/>
      <c r="Y25" s="3439"/>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39"/>
      <c r="Q26" s="1151"/>
      <c r="R26" s="1567"/>
      <c r="S26" s="1568"/>
      <c r="T26" s="1567"/>
      <c r="U26" s="1568"/>
      <c r="V26" s="1567"/>
      <c r="W26" s="1568"/>
      <c r="X26" s="1569"/>
      <c r="Y26" s="3439"/>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9"/>
      <c r="Q27" s="2578" t="str">
        <f t="shared" ref="Q27" si="9">B27</f>
        <v>基础设施水平</v>
      </c>
      <c r="R27" s="1567" t="s">
        <v>8</v>
      </c>
      <c r="S27" s="1568">
        <f>F27</f>
        <v>100</v>
      </c>
      <c r="T27" s="1567" t="s">
        <v>8</v>
      </c>
      <c r="U27" s="1568">
        <f>H27</f>
        <v>100</v>
      </c>
      <c r="V27" s="1567" t="s">
        <v>8</v>
      </c>
      <c r="W27" s="1568">
        <f>J27</f>
        <v>100</v>
      </c>
      <c r="X27" s="1569"/>
      <c r="Y27" s="3439"/>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39"/>
      <c r="Q28" s="2578"/>
      <c r="R28" s="1567"/>
      <c r="S28" s="1568"/>
      <c r="T28" s="1567"/>
      <c r="U28" s="1568"/>
      <c r="V28" s="1567"/>
      <c r="W28" s="1568"/>
      <c r="X28" s="1569"/>
      <c r="Y28" s="3439"/>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9"/>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9"/>
      <c r="Q30" s="1571" t="str">
        <f t="shared" si="8"/>
        <v>毗邻道路的类型与等级</v>
      </c>
      <c r="R30" s="1572" t="s">
        <v>8</v>
      </c>
      <c r="S30" s="1573">
        <f t="shared" si="10"/>
        <v>100</v>
      </c>
      <c r="T30" s="1572" t="s">
        <v>8</v>
      </c>
      <c r="U30" s="1573">
        <f t="shared" si="11"/>
        <v>100</v>
      </c>
      <c r="V30" s="1572" t="s">
        <v>8</v>
      </c>
      <c r="W30" s="1573">
        <f t="shared" si="12"/>
        <v>100</v>
      </c>
      <c r="X30" s="1566"/>
      <c r="Y30" s="343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39"/>
      <c r="Q31" s="1571"/>
      <c r="R31" s="1572"/>
      <c r="S31" s="1573"/>
      <c r="T31" s="1572"/>
      <c r="U31" s="1573"/>
      <c r="V31" s="1572"/>
      <c r="W31" s="1573"/>
      <c r="X31" s="1566"/>
      <c r="Y31" s="3439"/>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9"/>
      <c r="Q32" s="1571" t="str">
        <f t="shared" si="8"/>
        <v>土地级别</v>
      </c>
      <c r="R32" s="1572" t="s">
        <v>8</v>
      </c>
      <c r="S32" s="1573">
        <f t="shared" si="10"/>
        <v>100</v>
      </c>
      <c r="T32" s="1572" t="s">
        <v>8</v>
      </c>
      <c r="U32" s="1573">
        <f t="shared" si="11"/>
        <v>100</v>
      </c>
      <c r="V32" s="1572" t="s">
        <v>8</v>
      </c>
      <c r="W32" s="1573">
        <f t="shared" si="12"/>
        <v>100</v>
      </c>
      <c r="X32" s="1566"/>
      <c r="Y32" s="343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9"/>
      <c r="Q33" s="1571">
        <f t="shared" si="8"/>
        <v>111</v>
      </c>
      <c r="R33" s="1572" t="s">
        <v>8</v>
      </c>
      <c r="S33" s="1573">
        <f t="shared" si="10"/>
        <v>100</v>
      </c>
      <c r="T33" s="1572" t="s">
        <v>8</v>
      </c>
      <c r="U33" s="1573">
        <f t="shared" si="11"/>
        <v>100</v>
      </c>
      <c r="V33" s="1572" t="s">
        <v>8</v>
      </c>
      <c r="W33" s="1573">
        <f t="shared" si="12"/>
        <v>100</v>
      </c>
      <c r="X33" s="1566"/>
      <c r="Y33" s="343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40" t="s">
        <v>549</v>
      </c>
      <c r="Q34" s="1571">
        <f t="shared" si="8"/>
        <v>111</v>
      </c>
      <c r="R34" s="1572" t="s">
        <v>8</v>
      </c>
      <c r="S34" s="1573">
        <f t="shared" si="10"/>
        <v>100</v>
      </c>
      <c r="T34" s="1572" t="s">
        <v>8</v>
      </c>
      <c r="U34" s="1573">
        <f t="shared" si="11"/>
        <v>100</v>
      </c>
      <c r="V34" s="1572" t="s">
        <v>8</v>
      </c>
      <c r="W34" s="1573">
        <f t="shared" si="12"/>
        <v>100</v>
      </c>
      <c r="X34" s="1566"/>
      <c r="Y34" s="3441"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41"/>
      <c r="Q35" s="1571">
        <f t="shared" si="8"/>
        <v>111</v>
      </c>
      <c r="R35" s="1576" t="s">
        <v>8</v>
      </c>
      <c r="S35" s="1577">
        <f t="shared" si="10"/>
        <v>100</v>
      </c>
      <c r="T35" s="1576" t="s">
        <v>8</v>
      </c>
      <c r="U35" s="1577">
        <f t="shared" si="11"/>
        <v>100</v>
      </c>
      <c r="V35" s="1576" t="s">
        <v>8</v>
      </c>
      <c r="W35" s="1577">
        <f t="shared" si="12"/>
        <v>100</v>
      </c>
      <c r="X35" s="1578"/>
      <c r="Y35" s="3441"/>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41"/>
      <c r="Q36" s="1571" t="str">
        <f>B36</f>
        <v>宗地面积</v>
      </c>
      <c r="R36" s="1572" t="s">
        <v>8</v>
      </c>
      <c r="S36" s="1573" t="e">
        <f t="shared" si="10"/>
        <v>#N/A</v>
      </c>
      <c r="T36" s="1572" t="s">
        <v>8</v>
      </c>
      <c r="U36" s="1573" t="e">
        <f t="shared" si="11"/>
        <v>#N/A</v>
      </c>
      <c r="V36" s="1572" t="s">
        <v>8</v>
      </c>
      <c r="W36" s="1573" t="e">
        <f t="shared" si="12"/>
        <v>#N/A</v>
      </c>
      <c r="X36" s="1566"/>
      <c r="Y36" s="3441"/>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41"/>
      <c r="Q37" s="1571" t="str">
        <f t="shared" ref="Q37:Q42" si="14">B37</f>
        <v>宗地形状</v>
      </c>
      <c r="R37" s="1572" t="s">
        <v>8</v>
      </c>
      <c r="S37" s="1573">
        <f t="shared" si="10"/>
        <v>100</v>
      </c>
      <c r="T37" s="1572" t="s">
        <v>8</v>
      </c>
      <c r="U37" s="1573">
        <f t="shared" si="11"/>
        <v>100</v>
      </c>
      <c r="V37" s="1572" t="s">
        <v>8</v>
      </c>
      <c r="W37" s="1573">
        <f t="shared" si="12"/>
        <v>100</v>
      </c>
      <c r="X37" s="1566"/>
      <c r="Y37" s="3441"/>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41"/>
      <c r="Q38" s="1571" t="str">
        <f t="shared" si="14"/>
        <v>宗地开发程度</v>
      </c>
      <c r="R38" s="1567" t="s">
        <v>8</v>
      </c>
      <c r="S38" s="1568">
        <f t="shared" si="10"/>
        <v>100</v>
      </c>
      <c r="T38" s="1567" t="s">
        <v>8</v>
      </c>
      <c r="U38" s="1568">
        <f t="shared" si="11"/>
        <v>100</v>
      </c>
      <c r="V38" s="1567" t="s">
        <v>8</v>
      </c>
      <c r="W38" s="1568">
        <f t="shared" si="12"/>
        <v>100</v>
      </c>
      <c r="X38" s="1569"/>
      <c r="Y38" s="3441"/>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1" t="s">
        <v>600</v>
      </c>
      <c r="Q39" s="1571" t="str">
        <f t="shared" si="14"/>
        <v>工程地质条件</v>
      </c>
      <c r="R39" s="1572" t="s">
        <v>8</v>
      </c>
      <c r="S39" s="1573">
        <f t="shared" si="10"/>
        <v>100</v>
      </c>
      <c r="T39" s="1572" t="s">
        <v>8</v>
      </c>
      <c r="U39" s="1573">
        <f t="shared" si="11"/>
        <v>100</v>
      </c>
      <c r="V39" s="1572" t="s">
        <v>8</v>
      </c>
      <c r="W39" s="1573">
        <f t="shared" si="12"/>
        <v>100</v>
      </c>
      <c r="X39" s="1566"/>
      <c r="Y39" s="3441"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41"/>
      <c r="Q40" s="1571">
        <f t="shared" si="14"/>
        <v>111</v>
      </c>
      <c r="R40" s="1572" t="s">
        <v>8</v>
      </c>
      <c r="S40" s="1573">
        <f t="shared" si="10"/>
        <v>100</v>
      </c>
      <c r="T40" s="1572" t="s">
        <v>8</v>
      </c>
      <c r="U40" s="1573">
        <f t="shared" si="11"/>
        <v>100</v>
      </c>
      <c r="V40" s="1572" t="s">
        <v>8</v>
      </c>
      <c r="W40" s="1573">
        <f t="shared" si="12"/>
        <v>100</v>
      </c>
      <c r="X40" s="1566"/>
      <c r="Y40" s="344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41"/>
      <c r="Q41" s="1571">
        <f t="shared" si="14"/>
        <v>111</v>
      </c>
      <c r="R41" s="1572" t="s">
        <v>8</v>
      </c>
      <c r="S41" s="1573">
        <f t="shared" si="10"/>
        <v>100</v>
      </c>
      <c r="T41" s="1572" t="s">
        <v>8</v>
      </c>
      <c r="U41" s="1573">
        <f t="shared" si="11"/>
        <v>100</v>
      </c>
      <c r="V41" s="1572" t="s">
        <v>8</v>
      </c>
      <c r="W41" s="1573">
        <f t="shared" si="12"/>
        <v>100</v>
      </c>
      <c r="X41" s="1566"/>
      <c r="Y41" s="3441"/>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41"/>
      <c r="Q42" s="1571">
        <f t="shared" si="14"/>
        <v>111</v>
      </c>
      <c r="R42" s="1576" t="s">
        <v>8</v>
      </c>
      <c r="S42" s="1577">
        <f t="shared" si="10"/>
        <v>100</v>
      </c>
      <c r="T42" s="1576" t="s">
        <v>8</v>
      </c>
      <c r="U42" s="1577">
        <f t="shared" si="11"/>
        <v>100</v>
      </c>
      <c r="V42" s="1576" t="s">
        <v>8</v>
      </c>
      <c r="W42" s="1577">
        <f t="shared" si="12"/>
        <v>100</v>
      </c>
      <c r="X42" s="1578"/>
      <c r="Y42" s="3441"/>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02" t="str">
        <f>A43</f>
        <v>成交单价</v>
      </c>
      <c r="Q43" s="3402"/>
      <c r="R43" s="3403">
        <f>E43</f>
        <v>0</v>
      </c>
      <c r="S43" s="3403"/>
      <c r="T43" s="3403">
        <f>G43</f>
        <v>0</v>
      </c>
      <c r="U43" s="3403"/>
      <c r="V43" s="3403">
        <f>I43</f>
        <v>0</v>
      </c>
      <c r="W43" s="3403"/>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02" t="str">
        <f>A44</f>
        <v>比较价格（元/平方米）</v>
      </c>
      <c r="Q44" s="3402"/>
      <c r="R44" s="3404" t="e">
        <f>ROUND(PRODUCT(R43,AA9:AA42),0)</f>
        <v>#DIV/0!</v>
      </c>
      <c r="S44" s="3404"/>
      <c r="T44" s="3404" t="e">
        <f>ROUND(PRODUCT(T43,AB9:AB42),0)</f>
        <v>#DIV/0!</v>
      </c>
      <c r="U44" s="3404"/>
      <c r="V44" s="3404" t="e">
        <f>ROUND(PRODUCT(V43,AC9:AC42),0)</f>
        <v>#DIV/0!</v>
      </c>
      <c r="W44" s="3404"/>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399" t="str">
        <f>A45</f>
        <v>估价对象XX用房的比较价格（楼面单价，元/平方米）</v>
      </c>
      <c r="Q45" s="3400"/>
      <c r="R45" s="3401" t="e">
        <f>ROUND(AVERAGE(R44:V44),0)</f>
        <v>#DIV/0!</v>
      </c>
      <c r="S45" s="3401"/>
      <c r="T45" s="3401"/>
      <c r="U45" s="3401"/>
      <c r="V45" s="3401"/>
      <c r="W45" s="340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451" t="s">
        <v>2284</v>
      </c>
      <c r="H52" s="3452"/>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61948.5</v>
      </c>
      <c r="F53" s="1950" t="e">
        <f t="shared" ref="F53:F62" si="15">ROUND(B53*E53/10000,0)</f>
        <v>#DIV/0!</v>
      </c>
      <c r="G53" s="3453"/>
      <c r="H53" s="345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455"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45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45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45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41299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65"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466"/>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57" t="s">
        <v>2780</v>
      </c>
      <c r="X8" s="3458"/>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66"/>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56"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66"/>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5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66"/>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56"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465"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56"/>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67"/>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56"/>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467"/>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68"/>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65"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66"/>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71"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72"/>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72"/>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73"/>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69" t="s">
        <v>1633</v>
      </c>
      <c r="B90" s="3469"/>
      <c r="C90" s="3469"/>
      <c r="D90" s="3469"/>
      <c r="E90" s="3469"/>
      <c r="F90" s="3469"/>
      <c r="G90" s="3469"/>
      <c r="H90" s="3469"/>
      <c r="I90" s="3469"/>
      <c r="J90" s="3469"/>
      <c r="K90" s="2450"/>
      <c r="L90" s="2450"/>
      <c r="M90" s="2450"/>
      <c r="N90" s="2450"/>
    </row>
    <row r="91" spans="1:40">
      <c r="A91" s="3470" t="s">
        <v>1443</v>
      </c>
      <c r="B91" s="3470" t="s">
        <v>1634</v>
      </c>
      <c r="C91" s="1140" t="s">
        <v>1635</v>
      </c>
      <c r="D91" s="1141"/>
      <c r="E91" s="1141"/>
      <c r="F91" s="1141"/>
      <c r="G91" s="1141"/>
      <c r="H91" s="1141"/>
      <c r="I91" s="1141"/>
      <c r="J91" s="1142"/>
      <c r="K91" s="1134"/>
      <c r="L91" s="1134"/>
      <c r="M91" s="1134"/>
      <c r="N91" s="1134"/>
    </row>
    <row r="92" spans="1:40">
      <c r="A92" s="3470"/>
      <c r="B92" s="3470"/>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59"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9"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60"/>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60"/>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60"/>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60"/>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60"/>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60"/>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60"/>
      <c r="B108" s="346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1"/>
      <c r="B109" s="3463"/>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64" t="s">
        <v>1639</v>
      </c>
      <c r="B110" s="3464"/>
      <c r="C110" s="3464"/>
      <c r="D110" s="3464"/>
      <c r="E110" s="3464"/>
      <c r="F110" s="3464"/>
      <c r="G110" s="3464"/>
      <c r="H110" s="3464"/>
      <c r="I110" s="3464"/>
      <c r="J110" s="3464"/>
      <c r="K110" s="2448"/>
      <c r="L110" s="2448"/>
      <c r="M110" s="2448"/>
      <c r="N110" s="2448"/>
    </row>
    <row r="112" spans="1:14" ht="12.6" thickBot="1"/>
    <row r="113" spans="1:13" ht="25.8"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70" t="s">
        <v>1007</v>
      </c>
      <c r="B18" s="1154" t="s">
        <v>1446</v>
      </c>
      <c r="C18" s="1131" t="s">
        <v>1447</v>
      </c>
      <c r="D18" s="1132"/>
      <c r="E18" s="1154">
        <v>1</v>
      </c>
      <c r="F18" s="1133" t="s">
        <v>1448</v>
      </c>
      <c r="G18" s="1134"/>
      <c r="H18" s="1105"/>
      <c r="I18" s="1105"/>
    </row>
    <row r="19" spans="1:9" s="1598" customFormat="1" ht="19.5" customHeight="1">
      <c r="A19" s="3470"/>
      <c r="B19" s="3470" t="s">
        <v>1449</v>
      </c>
      <c r="C19" s="1131" t="s">
        <v>1450</v>
      </c>
      <c r="D19" s="1132"/>
      <c r="E19" s="1154">
        <v>0.9</v>
      </c>
      <c r="F19" s="1133" t="s">
        <v>1451</v>
      </c>
      <c r="G19" s="1134"/>
      <c r="H19" s="1105"/>
      <c r="I19" s="1105"/>
    </row>
    <row r="20" spans="1:9" s="1598" customFormat="1" ht="19.5" customHeight="1">
      <c r="A20" s="3470"/>
      <c r="B20" s="3470"/>
      <c r="C20" s="1131" t="s">
        <v>1452</v>
      </c>
      <c r="D20" s="1132"/>
      <c r="E20" s="1154">
        <v>1.1000000000000001</v>
      </c>
      <c r="F20" s="1133" t="s">
        <v>1453</v>
      </c>
      <c r="G20" s="1134"/>
      <c r="H20" s="1105"/>
      <c r="I20" s="1105"/>
    </row>
    <row r="21" spans="1:9" s="1598" customFormat="1" ht="19.5" customHeight="1">
      <c r="A21" s="3470"/>
      <c r="B21" s="3470"/>
      <c r="C21" s="1131" t="s">
        <v>1454</v>
      </c>
      <c r="D21" s="1132"/>
      <c r="E21" s="1154">
        <v>0.8</v>
      </c>
      <c r="F21" s="1133" t="s">
        <v>1455</v>
      </c>
      <c r="G21" s="1134"/>
      <c r="H21" s="1105"/>
      <c r="I21" s="1105"/>
    </row>
    <row r="22" spans="1:9" s="1598" customFormat="1" ht="19.5" customHeight="1">
      <c r="A22" s="3470"/>
      <c r="B22" s="3470"/>
      <c r="C22" s="1131" t="s">
        <v>1456</v>
      </c>
      <c r="D22" s="1132"/>
      <c r="E22" s="1154">
        <v>0.5</v>
      </c>
      <c r="F22" s="1133"/>
      <c r="G22" s="1134"/>
      <c r="H22" s="1105"/>
      <c r="I22" s="1105"/>
    </row>
    <row r="23" spans="1:9" s="1598" customFormat="1" ht="19.5" customHeight="1">
      <c r="A23" s="3470" t="s">
        <v>1029</v>
      </c>
      <c r="B23" s="1154" t="s">
        <v>1446</v>
      </c>
      <c r="C23" s="1131" t="s">
        <v>1457</v>
      </c>
      <c r="D23" s="1132"/>
      <c r="E23" s="1154">
        <v>1</v>
      </c>
      <c r="F23" s="1133" t="s">
        <v>1458</v>
      </c>
      <c r="G23" s="1134"/>
      <c r="H23" s="1105"/>
      <c r="I23" s="1105"/>
    </row>
    <row r="24" spans="1:9" s="1598" customFormat="1" ht="19.5" customHeight="1">
      <c r="A24" s="3470"/>
      <c r="B24" s="3470" t="s">
        <v>1449</v>
      </c>
      <c r="C24" s="1131" t="s">
        <v>1459</v>
      </c>
      <c r="D24" s="1132"/>
      <c r="E24" s="1154">
        <v>0.5</v>
      </c>
      <c r="F24" s="1133"/>
      <c r="G24" s="1134"/>
      <c r="H24" s="1105"/>
      <c r="I24" s="1105"/>
    </row>
    <row r="25" spans="1:9" s="1598" customFormat="1" ht="19.5" customHeight="1">
      <c r="A25" s="3470"/>
      <c r="B25" s="3470"/>
      <c r="C25" s="1131" t="s">
        <v>1460</v>
      </c>
      <c r="D25" s="1132"/>
      <c r="E25" s="1154">
        <v>1.1000000000000001</v>
      </c>
      <c r="F25" s="1133"/>
      <c r="G25" s="1134"/>
      <c r="H25" s="1105"/>
      <c r="I25" s="1105"/>
    </row>
    <row r="26" spans="1:9" s="1598" customFormat="1" ht="19.5" customHeight="1">
      <c r="A26" s="3470"/>
      <c r="B26" s="3470"/>
      <c r="C26" s="1131" t="s">
        <v>1461</v>
      </c>
      <c r="D26" s="1132"/>
      <c r="E26" s="1154">
        <v>1.1000000000000001</v>
      </c>
      <c r="F26" s="1133"/>
      <c r="G26" s="1134"/>
      <c r="H26" s="1105"/>
      <c r="I26" s="1105"/>
    </row>
    <row r="27" spans="1:9" s="1598" customFormat="1" ht="19.5" customHeight="1">
      <c r="A27" s="3470"/>
      <c r="B27" s="3470"/>
      <c r="C27" s="1131" t="s">
        <v>1462</v>
      </c>
      <c r="D27" s="1132"/>
      <c r="E27" s="1154">
        <v>0.9</v>
      </c>
      <c r="F27" s="1133" t="s">
        <v>1463</v>
      </c>
      <c r="G27" s="1134"/>
      <c r="H27" s="1105"/>
      <c r="I27" s="1105"/>
    </row>
    <row r="28" spans="1:9" s="1598" customFormat="1" ht="19.5" customHeight="1">
      <c r="A28" s="3470"/>
      <c r="B28" s="3470"/>
      <c r="C28" s="1131" t="s">
        <v>1464</v>
      </c>
      <c r="D28" s="1132"/>
      <c r="E28" s="1154">
        <v>0.9</v>
      </c>
      <c r="F28" s="1133" t="s">
        <v>1465</v>
      </c>
      <c r="G28" s="1134"/>
      <c r="H28" s="1105"/>
      <c r="I28" s="1105"/>
    </row>
    <row r="29" spans="1:9" s="1598" customFormat="1" ht="19.5" customHeight="1">
      <c r="A29" s="3470"/>
      <c r="B29" s="3470"/>
      <c r="C29" s="1131" t="s">
        <v>1466</v>
      </c>
      <c r="D29" s="1132"/>
      <c r="E29" s="1154">
        <v>0.9</v>
      </c>
      <c r="F29" s="1133" t="s">
        <v>1467</v>
      </c>
      <c r="G29" s="1134"/>
      <c r="H29" s="1105"/>
      <c r="I29" s="1105"/>
    </row>
    <row r="30" spans="1:9" s="1598" customFormat="1" ht="19.5" customHeight="1">
      <c r="A30" s="3470"/>
      <c r="B30" s="3470"/>
      <c r="C30" s="1131" t="s">
        <v>1468</v>
      </c>
      <c r="D30" s="1132"/>
      <c r="E30" s="1154">
        <v>0.9</v>
      </c>
      <c r="F30" s="1133" t="s">
        <v>1469</v>
      </c>
      <c r="G30" s="1134"/>
      <c r="H30" s="1105"/>
      <c r="I30" s="1105"/>
    </row>
    <row r="31" spans="1:9" s="1598" customFormat="1" ht="19.5" customHeight="1">
      <c r="A31" s="3470"/>
      <c r="B31" s="3470"/>
      <c r="C31" s="1131" t="s">
        <v>1470</v>
      </c>
      <c r="D31" s="1132"/>
      <c r="E31" s="1154">
        <v>0.8</v>
      </c>
      <c r="F31" s="1133" t="s">
        <v>1471</v>
      </c>
      <c r="G31" s="1134"/>
      <c r="H31" s="1105"/>
      <c r="I31" s="1105"/>
    </row>
    <row r="32" spans="1:9" s="1598" customFormat="1" ht="19.5" customHeight="1">
      <c r="A32" s="3470"/>
      <c r="B32" s="3470"/>
      <c r="C32" s="1131" t="s">
        <v>1472</v>
      </c>
      <c r="D32" s="1132"/>
      <c r="E32" s="1154">
        <v>0.8</v>
      </c>
      <c r="F32" s="1133" t="s">
        <v>1473</v>
      </c>
      <c r="G32" s="1134"/>
      <c r="H32" s="1105"/>
      <c r="I32" s="1105"/>
    </row>
    <row r="33" spans="1:9" s="1598" customFormat="1" ht="19.5" customHeight="1">
      <c r="A33" s="3470" t="s">
        <v>1474</v>
      </c>
      <c r="B33" s="1154" t="s">
        <v>1446</v>
      </c>
      <c r="C33" s="1131" t="s">
        <v>1475</v>
      </c>
      <c r="D33" s="1132"/>
      <c r="E33" s="1154">
        <v>1</v>
      </c>
      <c r="F33" s="1133" t="s">
        <v>1476</v>
      </c>
      <c r="G33" s="1134"/>
      <c r="H33" s="1105"/>
      <c r="I33" s="1105"/>
    </row>
    <row r="34" spans="1:9" s="1598" customFormat="1" ht="19.5" customHeight="1">
      <c r="A34" s="3470"/>
      <c r="B34" s="1154" t="s">
        <v>1449</v>
      </c>
      <c r="C34" s="1131" t="s">
        <v>1477</v>
      </c>
      <c r="D34" s="1132"/>
      <c r="E34" s="1154">
        <v>1.5</v>
      </c>
      <c r="F34" s="1133" t="s">
        <v>1478</v>
      </c>
      <c r="G34" s="1134"/>
      <c r="H34" s="1105"/>
      <c r="I34" s="1105"/>
    </row>
    <row r="35" spans="1:9" s="1598" customFormat="1" ht="19.5" customHeight="1">
      <c r="A35" s="3470" t="s">
        <v>1432</v>
      </c>
      <c r="B35" s="1154" t="s">
        <v>1446</v>
      </c>
      <c r="C35" s="1131" t="s">
        <v>1479</v>
      </c>
      <c r="D35" s="1132"/>
      <c r="E35" s="1154">
        <v>1</v>
      </c>
      <c r="F35" s="1133" t="s">
        <v>1480</v>
      </c>
      <c r="G35" s="1134"/>
      <c r="H35" s="1105"/>
      <c r="I35" s="1105"/>
    </row>
    <row r="36" spans="1:9" s="1598" customFormat="1" ht="19.5" customHeight="1">
      <c r="A36" s="3470"/>
      <c r="B36" s="3470" t="s">
        <v>1449</v>
      </c>
      <c r="C36" s="1131" t="s">
        <v>1481</v>
      </c>
      <c r="D36" s="1132"/>
      <c r="E36" s="1154">
        <v>1</v>
      </c>
      <c r="F36" s="1133" t="s">
        <v>1482</v>
      </c>
      <c r="G36" s="1134"/>
      <c r="H36" s="1105"/>
      <c r="I36" s="1105"/>
    </row>
    <row r="37" spans="1:9" s="1598" customFormat="1" ht="19.5" customHeight="1">
      <c r="A37" s="3470"/>
      <c r="B37" s="3470"/>
      <c r="C37" s="1131" t="s">
        <v>1483</v>
      </c>
      <c r="D37" s="1132"/>
      <c r="E37" s="1154">
        <v>1.5</v>
      </c>
      <c r="F37" s="1133" t="s">
        <v>1484</v>
      </c>
      <c r="G37" s="1134"/>
      <c r="H37" s="1105"/>
      <c r="I37" s="1105"/>
    </row>
    <row r="38" spans="1:9" s="1598" customFormat="1" ht="19.5" customHeight="1">
      <c r="A38" s="3470"/>
      <c r="B38" s="3470"/>
      <c r="C38" s="1131" t="s">
        <v>1485</v>
      </c>
      <c r="D38" s="1132"/>
      <c r="E38" s="1154">
        <v>1</v>
      </c>
      <c r="F38" s="1133" t="s">
        <v>1486</v>
      </c>
      <c r="G38" s="1134"/>
      <c r="H38" s="1105"/>
      <c r="I38" s="1105"/>
    </row>
    <row r="39" spans="1:9" s="1598" customFormat="1" ht="19.5" customHeight="1">
      <c r="A39" s="3470"/>
      <c r="B39" s="3470"/>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70" t="s">
        <v>1501</v>
      </c>
      <c r="C61" s="1068" t="s">
        <v>1502</v>
      </c>
      <c r="D61" s="1068" t="s">
        <v>1503</v>
      </c>
      <c r="E61" s="1139">
        <v>0.5</v>
      </c>
      <c r="F61" s="1154">
        <v>80</v>
      </c>
      <c r="H61" s="1105">
        <f>SUMIF(C59:C119,基准地价!C8,E59:E119)</f>
        <v>0</v>
      </c>
    </row>
    <row r="62" spans="1:8" s="1105" customFormat="1" ht="36">
      <c r="A62" s="1154">
        <v>2</v>
      </c>
      <c r="B62" s="3470"/>
      <c r="C62" s="1068" t="s">
        <v>1504</v>
      </c>
      <c r="D62" s="1068" t="s">
        <v>1505</v>
      </c>
      <c r="E62" s="1139">
        <v>0.5</v>
      </c>
      <c r="F62" s="1154">
        <v>80</v>
      </c>
    </row>
    <row r="63" spans="1:8" s="1105" customFormat="1" ht="48">
      <c r="A63" s="1154">
        <v>3</v>
      </c>
      <c r="B63" s="3470"/>
      <c r="C63" s="1068" t="s">
        <v>1506</v>
      </c>
      <c r="D63" s="1068" t="s">
        <v>1507</v>
      </c>
      <c r="E63" s="1139">
        <v>0.5</v>
      </c>
      <c r="F63" s="1154">
        <v>80</v>
      </c>
    </row>
    <row r="64" spans="1:8" s="1105" customFormat="1" ht="48">
      <c r="A64" s="1154">
        <v>4</v>
      </c>
      <c r="B64" s="3470"/>
      <c r="C64" s="1068" t="s">
        <v>1508</v>
      </c>
      <c r="D64" s="1068" t="s">
        <v>1509</v>
      </c>
      <c r="E64" s="1139">
        <v>0.4</v>
      </c>
      <c r="F64" s="1154">
        <v>60</v>
      </c>
    </row>
    <row r="65" spans="1:6" s="1105" customFormat="1" ht="48">
      <c r="A65" s="1154">
        <v>5</v>
      </c>
      <c r="B65" s="3470"/>
      <c r="C65" s="1068" t="s">
        <v>1510</v>
      </c>
      <c r="D65" s="1068" t="s">
        <v>1511</v>
      </c>
      <c r="E65" s="1139">
        <v>0.2</v>
      </c>
      <c r="F65" s="1154">
        <v>30</v>
      </c>
    </row>
    <row r="66" spans="1:6" s="1105" customFormat="1" ht="48">
      <c r="A66" s="1154">
        <v>6</v>
      </c>
      <c r="B66" s="3470"/>
      <c r="C66" s="1068" t="s">
        <v>1512</v>
      </c>
      <c r="D66" s="1068" t="s">
        <v>1513</v>
      </c>
      <c r="E66" s="1139">
        <v>0.3</v>
      </c>
      <c r="F66" s="1154">
        <v>50</v>
      </c>
    </row>
    <row r="67" spans="1:6" s="1105" customFormat="1" ht="48">
      <c r="A67" s="1154">
        <v>7</v>
      </c>
      <c r="B67" s="3470"/>
      <c r="C67" s="1068" t="s">
        <v>1514</v>
      </c>
      <c r="D67" s="1068" t="s">
        <v>1515</v>
      </c>
      <c r="E67" s="1139">
        <v>0.2</v>
      </c>
      <c r="F67" s="1154">
        <v>30</v>
      </c>
    </row>
    <row r="68" spans="1:6" s="1105" customFormat="1" ht="48">
      <c r="A68" s="1154">
        <v>8</v>
      </c>
      <c r="B68" s="3470"/>
      <c r="C68" s="1068" t="s">
        <v>1516</v>
      </c>
      <c r="D68" s="1068" t="s">
        <v>1517</v>
      </c>
      <c r="E68" s="1139">
        <v>0.2</v>
      </c>
      <c r="F68" s="1154">
        <v>30</v>
      </c>
    </row>
    <row r="69" spans="1:6" s="1105" customFormat="1" ht="48">
      <c r="A69" s="1154">
        <v>9</v>
      </c>
      <c r="B69" s="3470"/>
      <c r="C69" s="1068" t="s">
        <v>1518</v>
      </c>
      <c r="D69" s="1068" t="s">
        <v>1519</v>
      </c>
      <c r="E69" s="1139">
        <v>0.2</v>
      </c>
      <c r="F69" s="1154">
        <v>30</v>
      </c>
    </row>
    <row r="70" spans="1:6" s="1105" customFormat="1" ht="60">
      <c r="A70" s="1154">
        <v>10</v>
      </c>
      <c r="B70" s="3470"/>
      <c r="C70" s="1068" t="s">
        <v>1520</v>
      </c>
      <c r="D70" s="1068" t="s">
        <v>1521</v>
      </c>
      <c r="E70" s="1139">
        <v>0.2</v>
      </c>
      <c r="F70" s="1154">
        <v>30</v>
      </c>
    </row>
    <row r="71" spans="1:6" s="1105" customFormat="1" ht="60">
      <c r="A71" s="1154">
        <v>11</v>
      </c>
      <c r="B71" s="3470"/>
      <c r="C71" s="1068" t="s">
        <v>1522</v>
      </c>
      <c r="D71" s="1068" t="s">
        <v>1523</v>
      </c>
      <c r="E71" s="1139">
        <v>0.2</v>
      </c>
      <c r="F71" s="1154">
        <v>30</v>
      </c>
    </row>
    <row r="72" spans="1:6" s="1105" customFormat="1" ht="36">
      <c r="A72" s="1154">
        <v>12</v>
      </c>
      <c r="B72" s="3470"/>
      <c r="C72" s="1068" t="s">
        <v>1524</v>
      </c>
      <c r="D72" s="1068" t="s">
        <v>1525</v>
      </c>
      <c r="E72" s="1139">
        <v>0.5</v>
      </c>
      <c r="F72" s="1154">
        <v>80</v>
      </c>
    </row>
    <row r="73" spans="1:6" s="1105" customFormat="1" ht="36">
      <c r="A73" s="1154">
        <v>13</v>
      </c>
      <c r="B73" s="3470"/>
      <c r="C73" s="1068" t="s">
        <v>1526</v>
      </c>
      <c r="D73" s="1068" t="s">
        <v>1527</v>
      </c>
      <c r="E73" s="1139">
        <v>0.4</v>
      </c>
      <c r="F73" s="1154">
        <v>60</v>
      </c>
    </row>
    <row r="74" spans="1:6" s="1105" customFormat="1" ht="36">
      <c r="A74" s="1154">
        <v>14</v>
      </c>
      <c r="B74" s="3470"/>
      <c r="C74" s="1068" t="s">
        <v>1528</v>
      </c>
      <c r="D74" s="1068" t="s">
        <v>1529</v>
      </c>
      <c r="E74" s="1139">
        <v>0.2</v>
      </c>
      <c r="F74" s="1154">
        <v>30</v>
      </c>
    </row>
    <row r="75" spans="1:6" s="1105" customFormat="1" ht="36">
      <c r="A75" s="1154">
        <v>15</v>
      </c>
      <c r="B75" s="3470"/>
      <c r="C75" s="1068" t="s">
        <v>1530</v>
      </c>
      <c r="D75" s="1068" t="s">
        <v>1531</v>
      </c>
      <c r="E75" s="1139">
        <v>0.2</v>
      </c>
      <c r="F75" s="1154">
        <v>30</v>
      </c>
    </row>
    <row r="76" spans="1:6" s="1105" customFormat="1" ht="36">
      <c r="A76" s="1154">
        <v>16</v>
      </c>
      <c r="B76" s="3470" t="s">
        <v>1532</v>
      </c>
      <c r="C76" s="1068" t="s">
        <v>1533</v>
      </c>
      <c r="D76" s="1068" t="s">
        <v>1534</v>
      </c>
      <c r="E76" s="1139">
        <v>0.5</v>
      </c>
      <c r="F76" s="1154">
        <v>80</v>
      </c>
    </row>
    <row r="77" spans="1:6" s="1105" customFormat="1" ht="36">
      <c r="A77" s="1154">
        <v>17</v>
      </c>
      <c r="B77" s="3470"/>
      <c r="C77" s="1068" t="s">
        <v>1535</v>
      </c>
      <c r="D77" s="1068" t="s">
        <v>1536</v>
      </c>
      <c r="E77" s="1139">
        <v>0.5</v>
      </c>
      <c r="F77" s="1154">
        <v>80</v>
      </c>
    </row>
    <row r="78" spans="1:6" s="1105" customFormat="1" ht="36">
      <c r="A78" s="1154">
        <v>18</v>
      </c>
      <c r="B78" s="3470"/>
      <c r="C78" s="1068" t="s">
        <v>1537</v>
      </c>
      <c r="D78" s="1068" t="s">
        <v>1538</v>
      </c>
      <c r="E78" s="1139">
        <v>0.2</v>
      </c>
      <c r="F78" s="1154">
        <v>30</v>
      </c>
    </row>
    <row r="79" spans="1:6" s="1105" customFormat="1" ht="36">
      <c r="A79" s="1154">
        <v>19</v>
      </c>
      <c r="B79" s="3470"/>
      <c r="C79" s="1068" t="s">
        <v>1539</v>
      </c>
      <c r="D79" s="1068" t="s">
        <v>1540</v>
      </c>
      <c r="E79" s="1139">
        <v>0.5</v>
      </c>
      <c r="F79" s="1154">
        <v>80</v>
      </c>
    </row>
    <row r="80" spans="1:6" s="1105" customFormat="1" ht="36">
      <c r="A80" s="1154">
        <v>20</v>
      </c>
      <c r="B80" s="3470"/>
      <c r="C80" s="1068" t="s">
        <v>1541</v>
      </c>
      <c r="D80" s="1068" t="s">
        <v>1542</v>
      </c>
      <c r="E80" s="1139">
        <v>0.2</v>
      </c>
      <c r="F80" s="1154">
        <v>30</v>
      </c>
    </row>
    <row r="81" spans="1:6" s="1105" customFormat="1" ht="36">
      <c r="A81" s="1154">
        <v>21</v>
      </c>
      <c r="B81" s="3470"/>
      <c r="C81" s="1068" t="s">
        <v>1543</v>
      </c>
      <c r="D81" s="1068" t="s">
        <v>1544</v>
      </c>
      <c r="E81" s="1139">
        <v>0.2</v>
      </c>
      <c r="F81" s="1154">
        <v>30</v>
      </c>
    </row>
    <row r="82" spans="1:6" s="1105" customFormat="1" ht="60">
      <c r="A82" s="1154">
        <v>22</v>
      </c>
      <c r="B82" s="3470"/>
      <c r="C82" s="1068" t="s">
        <v>1545</v>
      </c>
      <c r="D82" s="1068" t="s">
        <v>1546</v>
      </c>
      <c r="E82" s="1139">
        <v>0.2</v>
      </c>
      <c r="F82" s="1154">
        <v>30</v>
      </c>
    </row>
    <row r="83" spans="1:6" s="1105" customFormat="1" ht="60">
      <c r="A83" s="1154">
        <v>23</v>
      </c>
      <c r="B83" s="3470"/>
      <c r="C83" s="1068" t="s">
        <v>1547</v>
      </c>
      <c r="D83" s="1068" t="s">
        <v>1548</v>
      </c>
      <c r="E83" s="1139">
        <v>0.2</v>
      </c>
      <c r="F83" s="1154">
        <v>30</v>
      </c>
    </row>
    <row r="84" spans="1:6" s="1105" customFormat="1" ht="48">
      <c r="A84" s="1154">
        <v>24</v>
      </c>
      <c r="B84" s="3470"/>
      <c r="C84" s="1068" t="s">
        <v>1549</v>
      </c>
      <c r="D84" s="1068" t="s">
        <v>1550</v>
      </c>
      <c r="E84" s="1139">
        <v>0.2</v>
      </c>
      <c r="F84" s="1154">
        <v>30</v>
      </c>
    </row>
    <row r="85" spans="1:6" s="1105" customFormat="1" ht="36">
      <c r="A85" s="1154">
        <v>25</v>
      </c>
      <c r="B85" s="3470"/>
      <c r="C85" s="1068" t="s">
        <v>1551</v>
      </c>
      <c r="D85" s="1068" t="s">
        <v>1552</v>
      </c>
      <c r="E85" s="1139">
        <v>0.5</v>
      </c>
      <c r="F85" s="1154">
        <v>80</v>
      </c>
    </row>
    <row r="86" spans="1:6" s="1105" customFormat="1" ht="36">
      <c r="A86" s="1154">
        <v>26</v>
      </c>
      <c r="B86" s="3470"/>
      <c r="C86" s="1068" t="s">
        <v>1553</v>
      </c>
      <c r="D86" s="1068" t="s">
        <v>1554</v>
      </c>
      <c r="E86" s="1139">
        <v>0.2</v>
      </c>
      <c r="F86" s="1154">
        <v>30</v>
      </c>
    </row>
    <row r="87" spans="1:6" s="1105" customFormat="1" ht="36">
      <c r="A87" s="1154">
        <v>27</v>
      </c>
      <c r="B87" s="3470"/>
      <c r="C87" s="1068" t="s">
        <v>1555</v>
      </c>
      <c r="D87" s="1068" t="s">
        <v>1556</v>
      </c>
      <c r="E87" s="1139">
        <v>0.2</v>
      </c>
      <c r="F87" s="1154">
        <v>30</v>
      </c>
    </row>
    <row r="88" spans="1:6" s="1105" customFormat="1" ht="36">
      <c r="A88" s="1154">
        <v>28</v>
      </c>
      <c r="B88" s="3470"/>
      <c r="C88" s="1068" t="s">
        <v>1557</v>
      </c>
      <c r="D88" s="1068" t="s">
        <v>1558</v>
      </c>
      <c r="E88" s="1139">
        <v>0.2</v>
      </c>
      <c r="F88" s="1154">
        <v>30</v>
      </c>
    </row>
    <row r="89" spans="1:6" s="1105" customFormat="1" ht="36">
      <c r="A89" s="1154">
        <v>29</v>
      </c>
      <c r="B89" s="3470"/>
      <c r="C89" s="1068" t="s">
        <v>1559</v>
      </c>
      <c r="D89" s="1068" t="s">
        <v>1560</v>
      </c>
      <c r="E89" s="1139">
        <v>0.2</v>
      </c>
      <c r="F89" s="1154">
        <v>30</v>
      </c>
    </row>
    <row r="90" spans="1:6" s="1105" customFormat="1" ht="36">
      <c r="A90" s="1154">
        <v>30</v>
      </c>
      <c r="B90" s="3470"/>
      <c r="C90" s="1068" t="s">
        <v>1561</v>
      </c>
      <c r="D90" s="1068" t="s">
        <v>1562</v>
      </c>
      <c r="E90" s="1139">
        <v>0.2</v>
      </c>
      <c r="F90" s="1154">
        <v>30</v>
      </c>
    </row>
    <row r="91" spans="1:6" s="1105" customFormat="1" ht="48">
      <c r="A91" s="1154">
        <v>31</v>
      </c>
      <c r="B91" s="3470"/>
      <c r="C91" s="1068" t="s">
        <v>1563</v>
      </c>
      <c r="D91" s="1068" t="s">
        <v>1564</v>
      </c>
      <c r="E91" s="1139">
        <v>0.2</v>
      </c>
      <c r="F91" s="1154">
        <v>30</v>
      </c>
    </row>
    <row r="92" spans="1:6" s="1105" customFormat="1" ht="36">
      <c r="A92" s="1154">
        <v>32</v>
      </c>
      <c r="B92" s="3470" t="s">
        <v>1565</v>
      </c>
      <c r="C92" s="1154" t="s">
        <v>1566</v>
      </c>
      <c r="D92" s="1068" t="s">
        <v>1567</v>
      </c>
      <c r="E92" s="1139">
        <v>0.2</v>
      </c>
      <c r="F92" s="1154">
        <v>30</v>
      </c>
    </row>
    <row r="93" spans="1:6" s="1105" customFormat="1" ht="36">
      <c r="A93" s="1154">
        <v>33</v>
      </c>
      <c r="B93" s="3470"/>
      <c r="C93" s="1154" t="s">
        <v>1568</v>
      </c>
      <c r="D93" s="1068" t="s">
        <v>1569</v>
      </c>
      <c r="E93" s="1139">
        <v>0.2</v>
      </c>
      <c r="F93" s="1154">
        <v>30</v>
      </c>
    </row>
    <row r="94" spans="1:6" s="1105" customFormat="1" ht="60">
      <c r="A94" s="1154">
        <v>34</v>
      </c>
      <c r="B94" s="3470"/>
      <c r="C94" s="1154" t="s">
        <v>1570</v>
      </c>
      <c r="D94" s="1068" t="s">
        <v>1571</v>
      </c>
      <c r="E94" s="1139">
        <v>0.2</v>
      </c>
      <c r="F94" s="1154">
        <v>30</v>
      </c>
    </row>
    <row r="95" spans="1:6" s="1105" customFormat="1" ht="48">
      <c r="A95" s="1154">
        <v>35</v>
      </c>
      <c r="B95" s="3470"/>
      <c r="C95" s="1154" t="s">
        <v>1572</v>
      </c>
      <c r="D95" s="1068" t="s">
        <v>1573</v>
      </c>
      <c r="E95" s="1139">
        <v>0.2</v>
      </c>
      <c r="F95" s="1154">
        <v>30</v>
      </c>
    </row>
    <row r="96" spans="1:6" s="1105" customFormat="1" ht="72">
      <c r="A96" s="1154">
        <v>36</v>
      </c>
      <c r="B96" s="3470"/>
      <c r="C96" s="1068" t="s">
        <v>1574</v>
      </c>
      <c r="D96" s="1068" t="s">
        <v>1575</v>
      </c>
      <c r="E96" s="1139">
        <v>0.2</v>
      </c>
      <c r="F96" s="1154">
        <v>30</v>
      </c>
    </row>
    <row r="97" spans="1:6" s="1105" customFormat="1" ht="36">
      <c r="A97" s="1154">
        <v>37</v>
      </c>
      <c r="B97" s="3470"/>
      <c r="C97" s="1154" t="s">
        <v>1576</v>
      </c>
      <c r="D97" s="1068" t="s">
        <v>1577</v>
      </c>
      <c r="E97" s="1139">
        <v>0.2</v>
      </c>
      <c r="F97" s="1154">
        <v>30</v>
      </c>
    </row>
    <row r="98" spans="1:6" s="1105" customFormat="1" ht="36">
      <c r="A98" s="1154">
        <v>38</v>
      </c>
      <c r="B98" s="3470"/>
      <c r="C98" s="1154" t="s">
        <v>1578</v>
      </c>
      <c r="D98" s="1068" t="s">
        <v>1579</v>
      </c>
      <c r="E98" s="1139">
        <v>0.2</v>
      </c>
      <c r="F98" s="1154">
        <v>30</v>
      </c>
    </row>
    <row r="99" spans="1:6" s="1105" customFormat="1" ht="36">
      <c r="A99" s="1154">
        <v>39</v>
      </c>
      <c r="B99" s="3470" t="s">
        <v>1580</v>
      </c>
      <c r="C99" s="1154" t="s">
        <v>1581</v>
      </c>
      <c r="D99" s="1068" t="s">
        <v>1582</v>
      </c>
      <c r="E99" s="1139">
        <v>0.3</v>
      </c>
      <c r="F99" s="1154">
        <v>50</v>
      </c>
    </row>
    <row r="100" spans="1:6" s="1105" customFormat="1" ht="36">
      <c r="A100" s="1154">
        <v>40</v>
      </c>
      <c r="B100" s="3470"/>
      <c r="C100" s="1154" t="s">
        <v>1583</v>
      </c>
      <c r="D100" s="1068" t="s">
        <v>1584</v>
      </c>
      <c r="E100" s="1139">
        <v>0.2</v>
      </c>
      <c r="F100" s="1154">
        <v>30</v>
      </c>
    </row>
    <row r="101" spans="1:6" s="1105" customFormat="1" ht="36">
      <c r="A101" s="1154">
        <v>41</v>
      </c>
      <c r="B101" s="3470"/>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70" t="s">
        <v>1595</v>
      </c>
      <c r="C105" s="1154" t="s">
        <v>1596</v>
      </c>
      <c r="D105" s="1068" t="s">
        <v>1597</v>
      </c>
      <c r="E105" s="1139">
        <v>0.2</v>
      </c>
      <c r="F105" s="1154">
        <v>30</v>
      </c>
    </row>
    <row r="106" spans="1:6" s="1105" customFormat="1" ht="48">
      <c r="A106" s="1154">
        <v>46</v>
      </c>
      <c r="B106" s="3470"/>
      <c r="C106" s="1154" t="s">
        <v>1598</v>
      </c>
      <c r="D106" s="1068" t="s">
        <v>1599</v>
      </c>
      <c r="E106" s="1139">
        <v>0.2</v>
      </c>
      <c r="F106" s="1154">
        <v>30</v>
      </c>
    </row>
    <row r="107" spans="1:6" s="1105" customFormat="1" ht="36">
      <c r="A107" s="1154">
        <v>47</v>
      </c>
      <c r="B107" s="3470" t="s">
        <v>1600</v>
      </c>
      <c r="C107" s="1154" t="s">
        <v>1601</v>
      </c>
      <c r="D107" s="1068" t="s">
        <v>1602</v>
      </c>
      <c r="E107" s="1139">
        <v>0.3</v>
      </c>
      <c r="F107" s="1154">
        <v>50</v>
      </c>
    </row>
    <row r="108" spans="1:6" s="1105" customFormat="1" ht="48">
      <c r="A108" s="1154">
        <v>48</v>
      </c>
      <c r="B108" s="3470"/>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70" t="s">
        <v>1611</v>
      </c>
      <c r="C111" s="1154" t="s">
        <v>1612</v>
      </c>
      <c r="D111" s="1068" t="s">
        <v>1613</v>
      </c>
      <c r="E111" s="1139">
        <v>0.2</v>
      </c>
      <c r="F111" s="1154">
        <v>30</v>
      </c>
    </row>
    <row r="112" spans="1:6" s="1105" customFormat="1" ht="36">
      <c r="A112" s="1154">
        <v>52</v>
      </c>
      <c r="B112" s="3470"/>
      <c r="C112" s="1154" t="s">
        <v>1614</v>
      </c>
      <c r="D112" s="1068" t="s">
        <v>1615</v>
      </c>
      <c r="E112" s="1139">
        <v>0.2</v>
      </c>
      <c r="F112" s="1154">
        <v>30</v>
      </c>
    </row>
    <row r="113" spans="1:14" s="1105" customFormat="1" ht="36">
      <c r="A113" s="1154">
        <v>53</v>
      </c>
      <c r="B113" s="3470"/>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70" t="s">
        <v>1624</v>
      </c>
      <c r="C116" s="1154" t="s">
        <v>1625</v>
      </c>
      <c r="D116" s="1068" t="s">
        <v>1626</v>
      </c>
      <c r="E116" s="1139">
        <v>0.2</v>
      </c>
      <c r="F116" s="1154">
        <v>30</v>
      </c>
    </row>
    <row r="117" spans="1:14" ht="36">
      <c r="A117" s="1154">
        <v>57</v>
      </c>
      <c r="B117" s="3470"/>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69" t="s">
        <v>1633</v>
      </c>
      <c r="B121" s="3469"/>
      <c r="C121" s="3469"/>
      <c r="D121" s="3469"/>
      <c r="E121" s="3469"/>
      <c r="F121" s="3469"/>
      <c r="G121" s="3469"/>
      <c r="H121" s="3469"/>
      <c r="I121" s="3469"/>
      <c r="J121" s="346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74" t="s">
        <v>1039</v>
      </c>
      <c r="B1" s="3474"/>
      <c r="C1" s="3474"/>
      <c r="D1" s="3474"/>
      <c r="E1" s="3474"/>
      <c r="F1" s="347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75" t="s">
        <v>1052</v>
      </c>
      <c r="B2" s="3475"/>
      <c r="C2" s="3475"/>
      <c r="D2" s="3475"/>
      <c r="E2" s="3475"/>
      <c r="F2" s="347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78" t="s">
        <v>2080</v>
      </c>
      <c r="B1" s="3478"/>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根据《国有土地使用证》[]，估价对象（分摊）出让国有建设用地使用权面积为41299平方米。根据《建设工程规划许可证》[]、《出让合同》[]，估价对象规划建筑面积为61948.5平方米。</v>
      </c>
    </row>
    <row r="21" spans="1:1" ht="17.399999999999999">
      <c r="A21" s="1791" t="s">
        <v>2075</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480" t="s">
        <v>2461</v>
      </c>
      <c r="C8" s="1825" t="e">
        <f ca="1">ROUND(F8*F10*F9*(1-F11)/10000,0)</f>
        <v>#N/A</v>
      </c>
      <c r="D8" s="1822" t="s">
        <v>2532</v>
      </c>
      <c r="E8" s="61" t="s">
        <v>636</v>
      </c>
      <c r="F8" s="785" t="e">
        <f ca="1">INDIRECT("'数据-取费表'!u"&amp;$G$1)</f>
        <v>#N/A</v>
      </c>
      <c r="G8" s="1591"/>
      <c r="H8" s="2504" t="s">
        <v>1823</v>
      </c>
      <c r="I8" s="3480" t="s">
        <v>2461</v>
      </c>
      <c r="J8" s="783" t="e">
        <f ca="1">ROUND(M8*M10*M9*(1-M11)/10000,0)</f>
        <v>#N/A</v>
      </c>
      <c r="K8" s="341" t="s">
        <v>2532</v>
      </c>
      <c r="L8" s="784" t="s">
        <v>1737</v>
      </c>
      <c r="M8" s="785" t="e">
        <f ca="1">INDIRECT("'数据-取费表'!z"&amp;$G$1)</f>
        <v>#N/A</v>
      </c>
    </row>
    <row r="9" spans="1:25" ht="18" customHeight="1">
      <c r="A9" s="2500"/>
      <c r="B9" s="3481"/>
      <c r="C9" s="1826"/>
      <c r="D9" s="1823"/>
      <c r="E9" s="61" t="s">
        <v>637</v>
      </c>
      <c r="F9" s="785" t="e">
        <f ca="1">IF(INDIRECT("'数据-取费表'!ah"&amp;$G$1)="",INDIRECT("'数据-取费表'!k"&amp;$G$1),INDIRECT("'数据-取费表'!ah"&amp;$G$1))</f>
        <v>#N/A</v>
      </c>
      <c r="G9" s="1591"/>
      <c r="H9" s="2489"/>
      <c r="I9" s="3481"/>
      <c r="J9" s="788"/>
      <c r="K9" s="789"/>
      <c r="L9" s="784" t="s">
        <v>1738</v>
      </c>
      <c r="M9" s="785" t="e">
        <f ca="1">F9</f>
        <v>#N/A</v>
      </c>
    </row>
    <row r="10" spans="1:25" ht="18" customHeight="1">
      <c r="A10" s="2493"/>
      <c r="B10" s="3482"/>
      <c r="C10" s="1826"/>
      <c r="D10" s="1823"/>
      <c r="E10" s="61" t="s">
        <v>638</v>
      </c>
      <c r="F10" s="785" t="e">
        <f ca="1">INDIRECT("'数据-取费表'!ai"&amp;$G$1)</f>
        <v>#N/A</v>
      </c>
      <c r="G10" s="1591"/>
      <c r="H10" s="2489"/>
      <c r="I10" s="3482"/>
      <c r="J10" s="788"/>
      <c r="K10" s="789"/>
      <c r="L10" s="784" t="s">
        <v>1739</v>
      </c>
      <c r="M10" s="785" t="e">
        <f ca="1">INDIRECT("'数据-取费表'!ai"&amp;$G$1)</f>
        <v>#N/A</v>
      </c>
    </row>
    <row r="11" spans="1:25" ht="18" customHeight="1">
      <c r="A11" s="786"/>
      <c r="B11" s="3483"/>
      <c r="C11" s="1826"/>
      <c r="D11" s="1823"/>
      <c r="E11" s="61" t="s">
        <v>639</v>
      </c>
      <c r="F11" s="794" t="e">
        <f ca="1">INDIRECT("'数据-取费表'!w"&amp;$G$1)</f>
        <v>#N/A</v>
      </c>
      <c r="G11" s="1591"/>
      <c r="H11" s="2505"/>
      <c r="I11" s="3482"/>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2</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479"/>
      <c r="J36" s="2079"/>
      <c r="K36" s="2080"/>
      <c r="L36" s="2079"/>
      <c r="M36" s="2079"/>
    </row>
    <row r="37" spans="1:18" ht="18" customHeight="1">
      <c r="A37" s="815"/>
      <c r="B37" s="793"/>
      <c r="C37" s="69"/>
      <c r="D37" s="816"/>
      <c r="E37" s="784" t="s">
        <v>673</v>
      </c>
      <c r="F37" s="785" t="e">
        <f ca="1">INDIRECT("'数据-取费表'!r"&amp;$G$1)</f>
        <v>#N/A</v>
      </c>
      <c r="G37" s="2062"/>
      <c r="H37" s="2065"/>
      <c r="I37" s="3479"/>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484"/>
      <c r="L54" s="3485"/>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92" t="s">
        <v>2574</v>
      </c>
      <c r="C1" s="3492"/>
      <c r="D1" s="3492"/>
      <c r="E1" s="3492"/>
      <c r="F1" s="3492"/>
      <c r="G1" s="3491" t="s">
        <v>2575</v>
      </c>
      <c r="H1" s="3491"/>
      <c r="I1" s="3491"/>
      <c r="J1" s="3491"/>
      <c r="K1" s="3491"/>
      <c r="L1" s="3491"/>
      <c r="N1" s="3491" t="s">
        <v>2576</v>
      </c>
      <c r="O1" s="3491"/>
      <c r="P1" s="3491"/>
      <c r="Q1" s="3491"/>
      <c r="R1" s="2654"/>
      <c r="S1" s="3491" t="s">
        <v>2577</v>
      </c>
      <c r="T1" s="3491"/>
      <c r="U1" s="3491"/>
      <c r="V1" s="3491"/>
      <c r="X1" s="3490" t="s">
        <v>2637</v>
      </c>
      <c r="Y1" s="3491"/>
      <c r="Z1" s="3491"/>
      <c r="AA1" s="3491"/>
      <c r="AB1" s="3491"/>
      <c r="AD1" s="3490" t="s">
        <v>2641</v>
      </c>
      <c r="AE1" s="3491"/>
      <c r="AF1" s="3491"/>
      <c r="AG1" s="3491"/>
      <c r="AH1" s="3491"/>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489">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87"/>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487"/>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488"/>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486">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87"/>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487"/>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488"/>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486">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87"/>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487"/>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488"/>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493">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94"/>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94"/>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95"/>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486">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87"/>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87"/>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488"/>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486">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87">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87">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88">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486">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87">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87">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88">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486">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87">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87">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88">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486">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87">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87">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88">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486">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87">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87">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88">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486">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87">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87">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88">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486">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87">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87">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88">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486">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87">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87">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88">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486">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87">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87">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488">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486">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87">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87">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488">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55" zoomScaleNormal="55" workbookViewId="0">
      <selection activeCell="M21" sqref="M21"/>
    </sheetView>
  </sheetViews>
  <sheetFormatPr defaultColWidth="9" defaultRowHeight="13.8"/>
  <cols>
    <col min="1" max="1" width="10.44140625" style="1337" customWidth="1"/>
    <col min="2" max="2" width="15.77734375" style="1337" customWidth="1"/>
    <col min="3" max="3" width="17"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54143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10925</v>
      </c>
      <c r="C3" s="852" t="s">
        <v>721</v>
      </c>
      <c r="D3" s="851">
        <f>SUMIF('数据-汇总表'!$C19:$C33,D1,'数据-汇总表'!$E19:$E33)</f>
        <v>49558.8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08" t="s">
        <v>521</v>
      </c>
      <c r="D4" s="3409"/>
      <c r="E4" s="3447" t="s">
        <v>522</v>
      </c>
      <c r="F4" s="3448"/>
      <c r="G4" s="3408" t="s">
        <v>523</v>
      </c>
      <c r="H4" s="3409"/>
      <c r="I4" s="3408" t="s">
        <v>524</v>
      </c>
      <c r="J4" s="3409"/>
      <c r="K4" s="853" t="s">
        <v>525</v>
      </c>
      <c r="L4" s="2133"/>
      <c r="M4" s="2134"/>
      <c r="N4" s="2134"/>
      <c r="O4" s="2134"/>
      <c r="P4" s="3410" t="s">
        <v>526</v>
      </c>
      <c r="Q4" s="3411"/>
      <c r="R4" s="3416" t="s">
        <v>522</v>
      </c>
      <c r="S4" s="3417"/>
      <c r="T4" s="3416" t="s">
        <v>523</v>
      </c>
      <c r="U4" s="3417"/>
      <c r="V4" s="3403" t="s">
        <v>524</v>
      </c>
      <c r="W4" s="3403"/>
      <c r="X4" s="3209"/>
      <c r="Y4" s="3416" t="s">
        <v>526</v>
      </c>
      <c r="Z4" s="3417"/>
      <c r="AA4" s="3405" t="s">
        <v>522</v>
      </c>
      <c r="AB4" s="3405" t="s">
        <v>523</v>
      </c>
      <c r="AC4" s="3405" t="s">
        <v>524</v>
      </c>
    </row>
    <row r="5" spans="1:29" ht="13.8" customHeight="1">
      <c r="A5" s="515"/>
      <c r="B5" s="516"/>
      <c r="C5" s="3426" t="str">
        <f>'比较法-住宅、综合'!C7:D7</f>
        <v>恒大云湖上郡</v>
      </c>
      <c r="D5" s="3425"/>
      <c r="E5" s="3499" t="s">
        <v>3413</v>
      </c>
      <c r="F5" s="3450"/>
      <c r="G5" s="3426" t="s">
        <v>3414</v>
      </c>
      <c r="H5" s="3425"/>
      <c r="I5" s="3426" t="s">
        <v>3379</v>
      </c>
      <c r="J5" s="3425"/>
      <c r="K5" s="854"/>
      <c r="L5" s="2133"/>
      <c r="M5" s="2134"/>
      <c r="N5" s="2134"/>
      <c r="O5" s="2134"/>
      <c r="P5" s="3412"/>
      <c r="Q5" s="3413"/>
      <c r="R5" s="3418"/>
      <c r="S5" s="3419"/>
      <c r="T5" s="3418"/>
      <c r="U5" s="3419"/>
      <c r="V5" s="3403"/>
      <c r="W5" s="3403"/>
      <c r="X5" s="3209"/>
      <c r="Y5" s="3418"/>
      <c r="Z5" s="3419"/>
      <c r="AA5" s="3406"/>
      <c r="AB5" s="3406"/>
      <c r="AC5" s="3406"/>
    </row>
    <row r="6" spans="1:29" ht="15" customHeight="1" thickBot="1">
      <c r="A6" s="517"/>
      <c r="B6" s="518"/>
      <c r="C6" s="3500" t="s">
        <v>3156</v>
      </c>
      <c r="D6" s="3423"/>
      <c r="E6" s="3500" t="s">
        <v>3156</v>
      </c>
      <c r="F6" s="3423"/>
      <c r="G6" s="3500" t="s">
        <v>3156</v>
      </c>
      <c r="H6" s="3423"/>
      <c r="I6" s="3500" t="s">
        <v>3156</v>
      </c>
      <c r="J6" s="3423"/>
      <c r="K6" s="854" t="s">
        <v>527</v>
      </c>
      <c r="L6" s="2133"/>
      <c r="M6" s="2134"/>
      <c r="N6" s="2134"/>
      <c r="O6" s="2134"/>
      <c r="P6" s="3414"/>
      <c r="Q6" s="3415"/>
      <c r="R6" s="3418"/>
      <c r="S6" s="3419"/>
      <c r="T6" s="3420"/>
      <c r="U6" s="3421"/>
      <c r="V6" s="3403"/>
      <c r="W6" s="3403"/>
      <c r="X6" s="3209"/>
      <c r="Y6" s="3420"/>
      <c r="Z6" s="3421"/>
      <c r="AA6" s="3407"/>
      <c r="AB6" s="3407"/>
      <c r="AC6" s="3407"/>
    </row>
    <row r="7" spans="1:29" s="1220" customFormat="1" ht="15" thickBot="1">
      <c r="A7" s="2912"/>
      <c r="B7" s="2919" t="s">
        <v>528</v>
      </c>
      <c r="C7" s="519">
        <f>'数据-取费表'!B2</f>
        <v>43626</v>
      </c>
      <c r="D7" s="520">
        <v>100</v>
      </c>
      <c r="E7" s="521">
        <v>43626</v>
      </c>
      <c r="F7" s="522">
        <f>SUMIF(58:58,YEAR(E7)&amp;"-"&amp;MONTH(E7),59:59)</f>
        <v>100</v>
      </c>
      <c r="G7" s="523">
        <f>E7</f>
        <v>43626</v>
      </c>
      <c r="H7" s="520">
        <f>SUMIF(58:58,YEAR(G7)&amp;"-"&amp;MONTH(G7),59:59)</f>
        <v>100</v>
      </c>
      <c r="I7" s="523">
        <f>G7</f>
        <v>43626</v>
      </c>
      <c r="J7" s="520">
        <f>SUMIF(58:58,YEAR(I7)&amp;"-"&amp;MONTH(I7),59:59)</f>
        <v>100</v>
      </c>
      <c r="K7" s="855"/>
      <c r="L7" s="2135"/>
      <c r="M7" s="2136"/>
      <c r="N7" s="2136"/>
      <c r="O7" s="2136"/>
      <c r="P7" s="3435" t="s">
        <v>529</v>
      </c>
      <c r="Q7" s="3437"/>
      <c r="R7" s="1567" t="s">
        <v>8</v>
      </c>
      <c r="S7" s="1568">
        <f t="shared" ref="S7:S15" si="0">F7</f>
        <v>100</v>
      </c>
      <c r="T7" s="1567" t="s">
        <v>8</v>
      </c>
      <c r="U7" s="1568">
        <f t="shared" ref="U7:U15" si="1">H7</f>
        <v>100</v>
      </c>
      <c r="V7" s="1567" t="s">
        <v>8</v>
      </c>
      <c r="W7" s="1568">
        <f t="shared" ref="W7:W15" si="2">J7</f>
        <v>100</v>
      </c>
      <c r="X7" s="1569"/>
      <c r="Y7" s="3435" t="s">
        <v>529</v>
      </c>
      <c r="Z7" s="3436"/>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35" t="s">
        <v>532</v>
      </c>
      <c r="Q8" s="3436"/>
      <c r="R8" s="1567" t="s">
        <v>8</v>
      </c>
      <c r="S8" s="1568">
        <f t="shared" si="0"/>
        <v>100</v>
      </c>
      <c r="T8" s="1567" t="s">
        <v>8</v>
      </c>
      <c r="U8" s="1568">
        <f t="shared" si="1"/>
        <v>100</v>
      </c>
      <c r="V8" s="1567" t="s">
        <v>8</v>
      </c>
      <c r="W8" s="1568">
        <f t="shared" si="2"/>
        <v>100</v>
      </c>
      <c r="X8" s="1569"/>
      <c r="Y8" s="3435" t="s">
        <v>532</v>
      </c>
      <c r="Z8" s="3436"/>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02" t="s">
        <v>534</v>
      </c>
      <c r="Q9" s="3205" t="str">
        <f t="shared" ref="Q9:Q15" si="6">B9</f>
        <v>用途</v>
      </c>
      <c r="R9" s="1567" t="s">
        <v>8</v>
      </c>
      <c r="S9" s="1568">
        <f t="shared" si="0"/>
        <v>100</v>
      </c>
      <c r="T9" s="1567" t="s">
        <v>8</v>
      </c>
      <c r="U9" s="1568">
        <f t="shared" si="1"/>
        <v>100</v>
      </c>
      <c r="V9" s="1567" t="s">
        <v>8</v>
      </c>
      <c r="W9" s="1568">
        <f t="shared" si="2"/>
        <v>100</v>
      </c>
      <c r="X9" s="1569"/>
      <c r="Y9" s="3348" t="s">
        <v>535</v>
      </c>
      <c r="Z9" s="320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02"/>
      <c r="Q10" s="3205" t="str">
        <f t="shared" si="6"/>
        <v>土地使用年限（年）</v>
      </c>
      <c r="R10" s="1567" t="s">
        <v>8</v>
      </c>
      <c r="S10" s="1568">
        <f t="shared" si="0"/>
        <v>100</v>
      </c>
      <c r="T10" s="1567" t="s">
        <v>8</v>
      </c>
      <c r="U10" s="1568">
        <f t="shared" si="1"/>
        <v>100</v>
      </c>
      <c r="V10" s="1567" t="s">
        <v>8</v>
      </c>
      <c r="W10" s="1568">
        <f t="shared" si="2"/>
        <v>100</v>
      </c>
      <c r="X10" s="1569"/>
      <c r="Y10" s="3348"/>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02"/>
      <c r="Q11" s="3205" t="str">
        <f t="shared" si="6"/>
        <v>容积率</v>
      </c>
      <c r="R11" s="1567" t="s">
        <v>8</v>
      </c>
      <c r="S11" s="1568">
        <f t="shared" si="0"/>
        <v>100</v>
      </c>
      <c r="T11" s="1567" t="s">
        <v>8</v>
      </c>
      <c r="U11" s="1568">
        <f t="shared" si="1"/>
        <v>99</v>
      </c>
      <c r="V11" s="1567" t="s">
        <v>8</v>
      </c>
      <c r="W11" s="1568">
        <f t="shared" si="2"/>
        <v>100</v>
      </c>
      <c r="X11" s="1569"/>
      <c r="Y11" s="3348"/>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2"/>
      <c r="Q12" s="3205">
        <f t="shared" si="6"/>
        <v>111</v>
      </c>
      <c r="R12" s="1567" t="s">
        <v>8</v>
      </c>
      <c r="S12" s="1568">
        <f t="shared" si="0"/>
        <v>100</v>
      </c>
      <c r="T12" s="1567" t="s">
        <v>8</v>
      </c>
      <c r="U12" s="1568">
        <f t="shared" si="1"/>
        <v>100</v>
      </c>
      <c r="V12" s="1567" t="s">
        <v>8</v>
      </c>
      <c r="W12" s="1568">
        <f t="shared" si="2"/>
        <v>100</v>
      </c>
      <c r="X12" s="1569"/>
      <c r="Y12" s="3348"/>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2"/>
      <c r="Q13" s="3205">
        <f t="shared" si="6"/>
        <v>111</v>
      </c>
      <c r="R13" s="1567" t="s">
        <v>8</v>
      </c>
      <c r="S13" s="1568">
        <f t="shared" si="0"/>
        <v>100</v>
      </c>
      <c r="T13" s="1567" t="s">
        <v>8</v>
      </c>
      <c r="U13" s="1568">
        <f t="shared" si="1"/>
        <v>100</v>
      </c>
      <c r="V13" s="1567" t="s">
        <v>8</v>
      </c>
      <c r="W13" s="1568">
        <f t="shared" si="2"/>
        <v>100</v>
      </c>
      <c r="X13" s="1569"/>
      <c r="Y13" s="3348"/>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2"/>
      <c r="Q14" s="3205">
        <f t="shared" si="6"/>
        <v>111</v>
      </c>
      <c r="R14" s="1567" t="s">
        <v>8</v>
      </c>
      <c r="S14" s="1568">
        <f t="shared" si="0"/>
        <v>100</v>
      </c>
      <c r="T14" s="1567" t="s">
        <v>8</v>
      </c>
      <c r="U14" s="1568">
        <f t="shared" si="1"/>
        <v>100</v>
      </c>
      <c r="V14" s="1567" t="s">
        <v>8</v>
      </c>
      <c r="W14" s="1568">
        <f t="shared" si="2"/>
        <v>100</v>
      </c>
      <c r="X14" s="1569"/>
      <c r="Y14" s="3348"/>
      <c r="Z14" s="3200">
        <f t="shared" si="7"/>
        <v>111</v>
      </c>
      <c r="AA14" s="1570">
        <f t="shared" si="3"/>
        <v>1</v>
      </c>
      <c r="AB14" s="1570">
        <f t="shared" si="4"/>
        <v>1</v>
      </c>
      <c r="AC14" s="1570">
        <f t="shared" si="5"/>
        <v>1</v>
      </c>
    </row>
    <row r="15" spans="1:29" ht="110.4">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438" t="s">
        <v>539</v>
      </c>
      <c r="Q15" s="3207" t="str">
        <f t="shared" si="6"/>
        <v>居住社区成熟度</v>
      </c>
      <c r="R15" s="1572" t="s">
        <v>8</v>
      </c>
      <c r="S15" s="1573">
        <f t="shared" si="0"/>
        <v>100</v>
      </c>
      <c r="T15" s="1572" t="s">
        <v>8</v>
      </c>
      <c r="U15" s="1573">
        <f t="shared" si="1"/>
        <v>100</v>
      </c>
      <c r="V15" s="1572" t="s">
        <v>8</v>
      </c>
      <c r="W15" s="1573">
        <f t="shared" si="2"/>
        <v>100</v>
      </c>
      <c r="X15" s="3209"/>
      <c r="Y15" s="3438"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39"/>
      <c r="Q16" s="3207"/>
      <c r="R16" s="1572"/>
      <c r="S16" s="1573"/>
      <c r="T16" s="1572"/>
      <c r="U16" s="1573"/>
      <c r="V16" s="1572"/>
      <c r="W16" s="1573"/>
      <c r="X16" s="3209"/>
      <c r="Y16" s="3439"/>
      <c r="Z16" s="3208"/>
      <c r="AA16" s="3210">
        <v>1</v>
      </c>
      <c r="AB16" s="3210">
        <v>1</v>
      </c>
      <c r="AC16" s="3210">
        <v>1</v>
      </c>
    </row>
    <row r="17" spans="1:29" ht="82.8">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42"/>
      <c r="M17" s="2134"/>
      <c r="N17" s="2134"/>
      <c r="O17" s="2141"/>
      <c r="P17" s="3439"/>
      <c r="Q17" s="3207" t="str">
        <f>B17</f>
        <v>交通便捷度</v>
      </c>
      <c r="R17" s="1572" t="s">
        <v>8</v>
      </c>
      <c r="S17" s="1573">
        <f>F17</f>
        <v>102</v>
      </c>
      <c r="T17" s="1572" t="s">
        <v>8</v>
      </c>
      <c r="U17" s="1573">
        <f>H17</f>
        <v>102</v>
      </c>
      <c r="V17" s="1572" t="s">
        <v>8</v>
      </c>
      <c r="W17" s="1573">
        <f>J17</f>
        <v>102</v>
      </c>
      <c r="X17" s="3209"/>
      <c r="Y17" s="3439"/>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6" t="s">
        <v>3033</v>
      </c>
      <c r="F18" s="563"/>
      <c r="G18" s="556" t="s">
        <v>3033</v>
      </c>
      <c r="H18" s="555"/>
      <c r="I18" s="558" t="s">
        <v>3033</v>
      </c>
      <c r="J18" s="555"/>
      <c r="K18" s="870"/>
      <c r="L18" s="2142"/>
      <c r="M18" s="2134"/>
      <c r="N18" s="2134"/>
      <c r="O18" s="2141"/>
      <c r="P18" s="3439"/>
      <c r="Q18" s="3207"/>
      <c r="R18" s="1572"/>
      <c r="S18" s="1573"/>
      <c r="T18" s="1572"/>
      <c r="U18" s="1573"/>
      <c r="V18" s="1572"/>
      <c r="W18" s="1573"/>
      <c r="X18" s="3209"/>
      <c r="Y18" s="3439"/>
      <c r="Z18" s="3208"/>
      <c r="AA18" s="3210">
        <v>1</v>
      </c>
      <c r="AB18" s="3210">
        <v>1</v>
      </c>
      <c r="AC18" s="3210">
        <v>1</v>
      </c>
    </row>
    <row r="19" spans="1:29" ht="41.4">
      <c r="A19" s="532"/>
      <c r="B19" s="2600" t="s">
        <v>2544</v>
      </c>
      <c r="C19" s="872" t="str">
        <f>估价对象房地状况!C7</f>
        <v>估价对象所在区域公共配套设施齐备情况一般</v>
      </c>
      <c r="D19" s="565">
        <v>100</v>
      </c>
      <c r="E19" s="570"/>
      <c r="F19" s="571">
        <f>SUMIF(80:80,E20,81:81)-SUMIF(80:80,C20,81:81)+100</f>
        <v>102</v>
      </c>
      <c r="G19" s="572"/>
      <c r="H19" s="559">
        <f>SUMIF(80:80,G20,81:81)-SUMIF(80:80,C20,81:81)+100</f>
        <v>102</v>
      </c>
      <c r="I19" s="570"/>
      <c r="J19" s="559">
        <f>SUMIF(80:80,I20,81:81)-SUMIF(80:80,C20,81:81)+100</f>
        <v>96</v>
      </c>
      <c r="K19" s="868">
        <v>2</v>
      </c>
      <c r="L19" s="2142"/>
      <c r="M19" s="2134"/>
      <c r="N19" s="2134"/>
      <c r="O19" s="2141"/>
      <c r="P19" s="3439"/>
      <c r="Q19" s="3207" t="str">
        <f>B19</f>
        <v>公共配套设施</v>
      </c>
      <c r="R19" s="1572" t="s">
        <v>8</v>
      </c>
      <c r="S19" s="1573">
        <f>F19</f>
        <v>102</v>
      </c>
      <c r="T19" s="1572" t="s">
        <v>8</v>
      </c>
      <c r="U19" s="1573">
        <f>H19</f>
        <v>102</v>
      </c>
      <c r="V19" s="1572" t="s">
        <v>8</v>
      </c>
      <c r="W19" s="1573">
        <f>J19</f>
        <v>96</v>
      </c>
      <c r="X19" s="3209"/>
      <c r="Y19" s="3439"/>
      <c r="Z19" s="3208" t="str">
        <f>Q19</f>
        <v>公共配套设施</v>
      </c>
      <c r="AA19" s="3210">
        <f t="shared" si="3"/>
        <v>0.98039215686274506</v>
      </c>
      <c r="AB19" s="3210">
        <f t="shared" si="4"/>
        <v>0.98039215686274506</v>
      </c>
      <c r="AC19" s="3210">
        <f t="shared" si="5"/>
        <v>1.0416666666666667</v>
      </c>
    </row>
    <row r="20" spans="1:29" ht="15">
      <c r="A20" s="532"/>
      <c r="B20" s="595"/>
      <c r="C20" s="558" t="s">
        <v>3061</v>
      </c>
      <c r="D20" s="555"/>
      <c r="E20" s="558" t="s">
        <v>3033</v>
      </c>
      <c r="F20" s="557"/>
      <c r="G20" s="558" t="s">
        <v>3033</v>
      </c>
      <c r="H20" s="555"/>
      <c r="I20" s="558" t="s">
        <v>3422</v>
      </c>
      <c r="J20" s="555"/>
      <c r="K20" s="870"/>
      <c r="L20" s="2142"/>
      <c r="M20" s="2134"/>
      <c r="N20" s="2134"/>
      <c r="O20" s="2141"/>
      <c r="P20" s="3439"/>
      <c r="Q20" s="3207"/>
      <c r="R20" s="1572"/>
      <c r="S20" s="1573"/>
      <c r="T20" s="1572"/>
      <c r="U20" s="1573"/>
      <c r="V20" s="1572"/>
      <c r="W20" s="1573"/>
      <c r="X20" s="3209"/>
      <c r="Y20" s="3439"/>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39"/>
      <c r="Q21" s="3207" t="str">
        <f>B21</f>
        <v>基础设施水平</v>
      </c>
      <c r="R21" s="1572" t="s">
        <v>8</v>
      </c>
      <c r="S21" s="1573">
        <f>F21</f>
        <v>100</v>
      </c>
      <c r="T21" s="1572" t="s">
        <v>8</v>
      </c>
      <c r="U21" s="1573">
        <f>H21</f>
        <v>100</v>
      </c>
      <c r="V21" s="1572" t="s">
        <v>8</v>
      </c>
      <c r="W21" s="1573">
        <f>J21</f>
        <v>100</v>
      </c>
      <c r="X21" s="3209"/>
      <c r="Y21" s="3439"/>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39"/>
      <c r="Q22" s="3207"/>
      <c r="R22" s="1572"/>
      <c r="S22" s="1573"/>
      <c r="T22" s="1572"/>
      <c r="U22" s="1573"/>
      <c r="V22" s="1572"/>
      <c r="W22" s="1573"/>
      <c r="X22" s="3209"/>
      <c r="Y22" s="3439"/>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562"/>
      <c r="F23" s="563">
        <f>SUMIF(84:84,E24,85:85)-SUMIF(84:84,C24,85:85)+100</f>
        <v>102</v>
      </c>
      <c r="G23" s="564"/>
      <c r="H23" s="559">
        <f>SUMIF(84:84,G24,85:85)-SUMIF(84:84,C24,85:85)+100</f>
        <v>102</v>
      </c>
      <c r="I23" s="562"/>
      <c r="J23" s="559">
        <f>SUMIF(84:84,I24,85:85)-SUMIF(84:84,C24,85:85)+100</f>
        <v>102</v>
      </c>
      <c r="K23" s="868">
        <v>2</v>
      </c>
      <c r="L23" s="2142"/>
      <c r="M23" s="2134"/>
      <c r="N23" s="2134"/>
      <c r="O23" s="2141"/>
      <c r="P23" s="3439"/>
      <c r="Q23" s="3207" t="str">
        <f>B23</f>
        <v>自然及人文环境</v>
      </c>
      <c r="R23" s="1572" t="s">
        <v>8</v>
      </c>
      <c r="S23" s="1573">
        <f>F23</f>
        <v>102</v>
      </c>
      <c r="T23" s="1572" t="s">
        <v>8</v>
      </c>
      <c r="U23" s="1573">
        <f>H23</f>
        <v>102</v>
      </c>
      <c r="V23" s="1572" t="s">
        <v>8</v>
      </c>
      <c r="W23" s="1573">
        <f>J23</f>
        <v>102</v>
      </c>
      <c r="X23" s="3209"/>
      <c r="Y23" s="3439"/>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39"/>
      <c r="Q24" s="3207"/>
      <c r="R24" s="1572"/>
      <c r="S24" s="1573"/>
      <c r="T24" s="1572"/>
      <c r="U24" s="1573"/>
      <c r="V24" s="1572"/>
      <c r="W24" s="1573"/>
      <c r="X24" s="3209"/>
      <c r="Y24" s="3439"/>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9"/>
      <c r="Q25" s="3207" t="str">
        <f t="shared" ref="Q25:Q46" si="11">B25</f>
        <v>楼层-1</v>
      </c>
      <c r="R25" s="1572" t="s">
        <v>8</v>
      </c>
      <c r="S25" s="1573">
        <f>F25</f>
        <v>100</v>
      </c>
      <c r="T25" s="1572" t="s">
        <v>8</v>
      </c>
      <c r="U25" s="1573">
        <f>H25</f>
        <v>100</v>
      </c>
      <c r="V25" s="1572" t="s">
        <v>8</v>
      </c>
      <c r="W25" s="1573">
        <f>J25</f>
        <v>100</v>
      </c>
      <c r="X25" s="3209"/>
      <c r="Y25" s="3439"/>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9"/>
      <c r="Q26" s="3207" t="str">
        <f t="shared" si="11"/>
        <v>朝向</v>
      </c>
      <c r="R26" s="1572" t="s">
        <v>8</v>
      </c>
      <c r="S26" s="1573">
        <f>F26</f>
        <v>100</v>
      </c>
      <c r="T26" s="1572" t="s">
        <v>8</v>
      </c>
      <c r="U26" s="1573">
        <f>H26</f>
        <v>100</v>
      </c>
      <c r="V26" s="1572" t="s">
        <v>8</v>
      </c>
      <c r="W26" s="1573">
        <f>J26</f>
        <v>100</v>
      </c>
      <c r="X26" s="3209"/>
      <c r="Y26" s="3439"/>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9"/>
      <c r="Q27" s="3205" t="str">
        <f t="shared" si="11"/>
        <v>道路级别</v>
      </c>
      <c r="R27" s="1567" t="s">
        <v>8</v>
      </c>
      <c r="S27" s="1568">
        <f>F27</f>
        <v>100</v>
      </c>
      <c r="T27" s="1567" t="s">
        <v>8</v>
      </c>
      <c r="U27" s="1568">
        <f>H27</f>
        <v>100</v>
      </c>
      <c r="V27" s="1567" t="s">
        <v>8</v>
      </c>
      <c r="W27" s="1568">
        <f>J27</f>
        <v>100</v>
      </c>
      <c r="X27" s="1569"/>
      <c r="Y27" s="3439"/>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9"/>
      <c r="Q28" s="3207">
        <f t="shared" si="11"/>
        <v>111</v>
      </c>
      <c r="R28" s="1572" t="s">
        <v>8</v>
      </c>
      <c r="S28" s="1573">
        <f t="shared" ref="S28:S46" si="12">F28</f>
        <v>100</v>
      </c>
      <c r="T28" s="1572" t="s">
        <v>8</v>
      </c>
      <c r="U28" s="1573">
        <f t="shared" ref="U28:U46" si="13">H28</f>
        <v>100</v>
      </c>
      <c r="V28" s="1572" t="s">
        <v>8</v>
      </c>
      <c r="W28" s="1573">
        <f t="shared" ref="W28:W46" si="14">J28</f>
        <v>100</v>
      </c>
      <c r="X28" s="3209"/>
      <c r="Y28" s="3439"/>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9"/>
      <c r="Q29" s="3207">
        <f t="shared" si="11"/>
        <v>111</v>
      </c>
      <c r="R29" s="1572" t="s">
        <v>8</v>
      </c>
      <c r="S29" s="1573">
        <f t="shared" si="12"/>
        <v>100</v>
      </c>
      <c r="T29" s="1572" t="s">
        <v>8</v>
      </c>
      <c r="U29" s="1573">
        <f t="shared" si="13"/>
        <v>100</v>
      </c>
      <c r="V29" s="1572" t="s">
        <v>8</v>
      </c>
      <c r="W29" s="1573">
        <f t="shared" si="14"/>
        <v>100</v>
      </c>
      <c r="X29" s="3209"/>
      <c r="Y29" s="3439"/>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9"/>
      <c r="Q30" s="3207">
        <f t="shared" si="11"/>
        <v>111</v>
      </c>
      <c r="R30" s="1572" t="s">
        <v>8</v>
      </c>
      <c r="S30" s="1573">
        <f t="shared" si="12"/>
        <v>100</v>
      </c>
      <c r="T30" s="1572" t="s">
        <v>8</v>
      </c>
      <c r="U30" s="1573">
        <f t="shared" si="13"/>
        <v>100</v>
      </c>
      <c r="V30" s="1572" t="s">
        <v>8</v>
      </c>
      <c r="W30" s="1573">
        <f t="shared" si="14"/>
        <v>100</v>
      </c>
      <c r="X30" s="3209"/>
      <c r="Y30" s="3439"/>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9"/>
      <c r="Q31" s="3207">
        <f t="shared" si="11"/>
        <v>111</v>
      </c>
      <c r="R31" s="1572" t="s">
        <v>8</v>
      </c>
      <c r="S31" s="1573">
        <f t="shared" si="12"/>
        <v>100</v>
      </c>
      <c r="T31" s="1572" t="s">
        <v>8</v>
      </c>
      <c r="U31" s="1573">
        <f t="shared" si="13"/>
        <v>100</v>
      </c>
      <c r="V31" s="1572" t="s">
        <v>8</v>
      </c>
      <c r="W31" s="1573">
        <f t="shared" si="14"/>
        <v>100</v>
      </c>
      <c r="X31" s="3209"/>
      <c r="Y31" s="3439"/>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40" t="s">
        <v>549</v>
      </c>
      <c r="Q32" s="3207" t="str">
        <f t="shared" si="11"/>
        <v>建筑类型</v>
      </c>
      <c r="R32" s="1572" t="s">
        <v>8</v>
      </c>
      <c r="S32" s="1573">
        <f t="shared" si="12"/>
        <v>100</v>
      </c>
      <c r="T32" s="1572" t="s">
        <v>8</v>
      </c>
      <c r="U32" s="1573">
        <f t="shared" si="13"/>
        <v>100</v>
      </c>
      <c r="V32" s="1572" t="s">
        <v>8</v>
      </c>
      <c r="W32" s="1573">
        <f t="shared" si="14"/>
        <v>100</v>
      </c>
      <c r="X32" s="3209"/>
      <c r="Y32" s="3441" t="s">
        <v>549</v>
      </c>
      <c r="Z32" s="3208" t="str">
        <f t="shared" si="15"/>
        <v>建筑类型</v>
      </c>
      <c r="AA32" s="3210">
        <f t="shared" si="3"/>
        <v>1</v>
      </c>
      <c r="AB32" s="3210">
        <f t="shared" si="4"/>
        <v>1</v>
      </c>
      <c r="AC32" s="3210">
        <f t="shared" si="5"/>
        <v>1</v>
      </c>
    </row>
    <row r="33" spans="1:29" s="1339" customFormat="1" ht="15">
      <c r="A33" s="603"/>
      <c r="B33" s="527" t="s">
        <v>725</v>
      </c>
      <c r="C33" s="880">
        <f>'数据-基础表'!B3</f>
        <v>61948.5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41"/>
      <c r="Q33" s="1604" t="str">
        <f t="shared" si="11"/>
        <v>项目建筑规模</v>
      </c>
      <c r="R33" s="1576" t="s">
        <v>8</v>
      </c>
      <c r="S33" s="1577">
        <f t="shared" si="12"/>
        <v>101</v>
      </c>
      <c r="T33" s="1576" t="s">
        <v>8</v>
      </c>
      <c r="U33" s="1577">
        <f t="shared" si="13"/>
        <v>102</v>
      </c>
      <c r="V33" s="1576" t="s">
        <v>8</v>
      </c>
      <c r="W33" s="1577">
        <f t="shared" si="14"/>
        <v>101</v>
      </c>
      <c r="X33" s="1578"/>
      <c r="Y33" s="3441"/>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41"/>
      <c r="Q34" s="3207" t="str">
        <f t="shared" si="11"/>
        <v>建筑结构</v>
      </c>
      <c r="R34" s="1572" t="s">
        <v>8</v>
      </c>
      <c r="S34" s="1573">
        <f t="shared" si="12"/>
        <v>100</v>
      </c>
      <c r="T34" s="1572" t="s">
        <v>8</v>
      </c>
      <c r="U34" s="1573">
        <f t="shared" si="13"/>
        <v>100</v>
      </c>
      <c r="V34" s="1572" t="s">
        <v>8</v>
      </c>
      <c r="W34" s="1573">
        <f t="shared" si="14"/>
        <v>100</v>
      </c>
      <c r="X34" s="3209"/>
      <c r="Y34" s="3441"/>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41"/>
      <c r="Q35" s="3207" t="str">
        <f t="shared" si="11"/>
        <v>建筑品质</v>
      </c>
      <c r="R35" s="1572" t="s">
        <v>8</v>
      </c>
      <c r="S35" s="1573">
        <f t="shared" si="12"/>
        <v>100</v>
      </c>
      <c r="T35" s="1572" t="s">
        <v>8</v>
      </c>
      <c r="U35" s="1573">
        <f t="shared" si="13"/>
        <v>100</v>
      </c>
      <c r="V35" s="1572" t="s">
        <v>8</v>
      </c>
      <c r="W35" s="1573">
        <f t="shared" si="14"/>
        <v>100</v>
      </c>
      <c r="X35" s="3209"/>
      <c r="Y35" s="3441"/>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41"/>
      <c r="Q36" s="3207" t="str">
        <f t="shared" si="11"/>
        <v>公共部分装修</v>
      </c>
      <c r="R36" s="1572" t="s">
        <v>8</v>
      </c>
      <c r="S36" s="1573">
        <f t="shared" si="12"/>
        <v>100</v>
      </c>
      <c r="T36" s="1572" t="s">
        <v>8</v>
      </c>
      <c r="U36" s="1573">
        <f t="shared" si="13"/>
        <v>100</v>
      </c>
      <c r="V36" s="1572" t="s">
        <v>8</v>
      </c>
      <c r="W36" s="1573">
        <f t="shared" si="14"/>
        <v>100</v>
      </c>
      <c r="X36" s="3209"/>
      <c r="Y36" s="3441"/>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41"/>
      <c r="Q37" s="3205" t="str">
        <f t="shared" si="11"/>
        <v>成新度</v>
      </c>
      <c r="R37" s="1567" t="s">
        <v>8</v>
      </c>
      <c r="S37" s="1568">
        <f t="shared" si="12"/>
        <v>100</v>
      </c>
      <c r="T37" s="1567" t="s">
        <v>8</v>
      </c>
      <c r="U37" s="1568">
        <f t="shared" si="13"/>
        <v>100</v>
      </c>
      <c r="V37" s="1567" t="s">
        <v>8</v>
      </c>
      <c r="W37" s="1568">
        <f t="shared" si="14"/>
        <v>100</v>
      </c>
      <c r="X37" s="1569"/>
      <c r="Y37" s="3441"/>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41" t="s">
        <v>549</v>
      </c>
      <c r="Q38" s="3207" t="str">
        <f t="shared" si="11"/>
        <v>物业管理</v>
      </c>
      <c r="R38" s="1572" t="s">
        <v>8</v>
      </c>
      <c r="S38" s="1573">
        <f t="shared" si="12"/>
        <v>100</v>
      </c>
      <c r="T38" s="1572" t="s">
        <v>8</v>
      </c>
      <c r="U38" s="1573">
        <f t="shared" si="13"/>
        <v>100</v>
      </c>
      <c r="V38" s="1572" t="s">
        <v>8</v>
      </c>
      <c r="W38" s="1573">
        <f t="shared" si="14"/>
        <v>100</v>
      </c>
      <c r="X38" s="3209"/>
      <c r="Y38" s="3441"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41"/>
      <c r="Q39" s="3207" t="str">
        <f t="shared" si="11"/>
        <v>市政基础设施</v>
      </c>
      <c r="R39" s="1572" t="s">
        <v>8</v>
      </c>
      <c r="S39" s="1573">
        <f t="shared" si="12"/>
        <v>100</v>
      </c>
      <c r="T39" s="1572" t="s">
        <v>8</v>
      </c>
      <c r="U39" s="1573">
        <f t="shared" si="13"/>
        <v>100</v>
      </c>
      <c r="V39" s="1572" t="s">
        <v>8</v>
      </c>
      <c r="W39" s="1573">
        <f t="shared" si="14"/>
        <v>100</v>
      </c>
      <c r="X39" s="3209"/>
      <c r="Y39" s="3441"/>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41"/>
      <c r="Q40" s="3207" t="str">
        <f t="shared" si="11"/>
        <v>房型</v>
      </c>
      <c r="R40" s="1572" t="s">
        <v>8</v>
      </c>
      <c r="S40" s="1573">
        <f t="shared" si="12"/>
        <v>100</v>
      </c>
      <c r="T40" s="1572" t="s">
        <v>8</v>
      </c>
      <c r="U40" s="1573">
        <f t="shared" si="13"/>
        <v>100</v>
      </c>
      <c r="V40" s="1572" t="s">
        <v>8</v>
      </c>
      <c r="W40" s="1573">
        <f t="shared" si="14"/>
        <v>100</v>
      </c>
      <c r="X40" s="3209"/>
      <c r="Y40" s="3441"/>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41"/>
      <c r="Q41" s="1604" t="str">
        <f t="shared" si="11"/>
        <v>单套/主力户型建筑面积</v>
      </c>
      <c r="R41" s="1576" t="s">
        <v>8</v>
      </c>
      <c r="S41" s="1577">
        <f t="shared" si="12"/>
        <v>100</v>
      </c>
      <c r="T41" s="1576" t="s">
        <v>8</v>
      </c>
      <c r="U41" s="1577">
        <f t="shared" si="13"/>
        <v>100</v>
      </c>
      <c r="V41" s="1576" t="s">
        <v>8</v>
      </c>
      <c r="W41" s="1577">
        <f t="shared" si="14"/>
        <v>100</v>
      </c>
      <c r="X41" s="1578"/>
      <c r="Y41" s="3441"/>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41"/>
      <c r="Q42" s="3207" t="str">
        <f t="shared" si="11"/>
        <v>内部装修</v>
      </c>
      <c r="R42" s="1572" t="s">
        <v>8</v>
      </c>
      <c r="S42" s="1573">
        <f t="shared" si="12"/>
        <v>100</v>
      </c>
      <c r="T42" s="1572" t="s">
        <v>8</v>
      </c>
      <c r="U42" s="1573">
        <f t="shared" si="13"/>
        <v>100</v>
      </c>
      <c r="V42" s="1572" t="s">
        <v>8</v>
      </c>
      <c r="W42" s="1573">
        <f t="shared" si="14"/>
        <v>100</v>
      </c>
      <c r="X42" s="3209"/>
      <c r="Y42" s="3441"/>
      <c r="Z42" s="3208" t="str">
        <f t="shared" si="15"/>
        <v>内部装修</v>
      </c>
      <c r="AA42" s="3210">
        <f t="shared" si="3"/>
        <v>1</v>
      </c>
      <c r="AB42" s="3210">
        <f t="shared" si="4"/>
        <v>1</v>
      </c>
      <c r="AC42" s="3210">
        <f t="shared" si="5"/>
        <v>1</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41"/>
      <c r="Q43" s="3207" t="str">
        <f t="shared" si="11"/>
        <v>内部装修维护情况</v>
      </c>
      <c r="R43" s="1572" t="s">
        <v>8</v>
      </c>
      <c r="S43" s="1573">
        <f t="shared" si="12"/>
        <v>100</v>
      </c>
      <c r="T43" s="1572" t="s">
        <v>8</v>
      </c>
      <c r="U43" s="1573">
        <f t="shared" si="13"/>
        <v>100</v>
      </c>
      <c r="V43" s="1572" t="s">
        <v>8</v>
      </c>
      <c r="W43" s="1573">
        <f t="shared" si="14"/>
        <v>100</v>
      </c>
      <c r="X43" s="3209"/>
      <c r="Y43" s="3441"/>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41"/>
      <c r="Q44" s="3205" t="str">
        <f t="shared" si="11"/>
        <v>特殊修正</v>
      </c>
      <c r="R44" s="1567" t="s">
        <v>8</v>
      </c>
      <c r="S44" s="1568">
        <f t="shared" si="12"/>
        <v>100</v>
      </c>
      <c r="T44" s="1567" t="s">
        <v>8</v>
      </c>
      <c r="U44" s="1568">
        <f t="shared" si="13"/>
        <v>100</v>
      </c>
      <c r="V44" s="1567" t="s">
        <v>8</v>
      </c>
      <c r="W44" s="1568">
        <f t="shared" si="14"/>
        <v>100</v>
      </c>
      <c r="X44" s="1569"/>
      <c r="Y44" s="3441"/>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41"/>
      <c r="Q45" s="3207">
        <f t="shared" si="11"/>
        <v>111</v>
      </c>
      <c r="R45" s="1572" t="s">
        <v>8</v>
      </c>
      <c r="S45" s="1573">
        <f t="shared" si="12"/>
        <v>100</v>
      </c>
      <c r="T45" s="1572" t="s">
        <v>8</v>
      </c>
      <c r="U45" s="1573">
        <f t="shared" si="13"/>
        <v>100</v>
      </c>
      <c r="V45" s="1572" t="s">
        <v>8</v>
      </c>
      <c r="W45" s="1573">
        <f t="shared" si="14"/>
        <v>100</v>
      </c>
      <c r="X45" s="3209"/>
      <c r="Y45" s="3441"/>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8"/>
      <c r="Q46" s="3207">
        <f t="shared" si="11"/>
        <v>111</v>
      </c>
      <c r="R46" s="1572" t="s">
        <v>8</v>
      </c>
      <c r="S46" s="1573">
        <f t="shared" si="12"/>
        <v>100</v>
      </c>
      <c r="T46" s="1572" t="s">
        <v>8</v>
      </c>
      <c r="U46" s="1573">
        <f t="shared" si="13"/>
        <v>100</v>
      </c>
      <c r="V46" s="1572" t="s">
        <v>8</v>
      </c>
      <c r="W46" s="1573">
        <f t="shared" si="14"/>
        <v>100</v>
      </c>
      <c r="X46" s="3209"/>
      <c r="Y46" s="3498"/>
      <c r="Z46" s="3208">
        <f t="shared" si="15"/>
        <v>111</v>
      </c>
      <c r="AA46" s="3210">
        <f t="shared" si="3"/>
        <v>1</v>
      </c>
      <c r="AB46" s="3210">
        <f t="shared" si="4"/>
        <v>1</v>
      </c>
      <c r="AC46" s="3210">
        <f t="shared" si="5"/>
        <v>1</v>
      </c>
    </row>
    <row r="47" spans="1:29" ht="14.4">
      <c r="A47" s="607" t="s">
        <v>735</v>
      </c>
      <c r="B47" s="887"/>
      <c r="C47" s="2627" t="s">
        <v>1</v>
      </c>
      <c r="D47" s="2628"/>
      <c r="E47" s="2629">
        <v>10527</v>
      </c>
      <c r="F47" s="2630"/>
      <c r="G47" s="2631">
        <v>12000</v>
      </c>
      <c r="H47" s="2632"/>
      <c r="I47" s="2629">
        <v>12000</v>
      </c>
      <c r="J47" s="2632"/>
      <c r="K47" s="1605"/>
      <c r="L47" s="2144"/>
      <c r="M47" s="2145"/>
      <c r="N47" s="2134"/>
      <c r="O47" s="2145"/>
      <c r="P47" s="3402" t="str">
        <f>A47</f>
        <v>成交单价（元/平方米）</v>
      </c>
      <c r="Q47" s="3402"/>
      <c r="R47" s="3496">
        <f>E47</f>
        <v>10527</v>
      </c>
      <c r="S47" s="3496"/>
      <c r="T47" s="3496">
        <f>G47</f>
        <v>12000</v>
      </c>
      <c r="U47" s="3496"/>
      <c r="V47" s="3496">
        <f>I47</f>
        <v>12000</v>
      </c>
      <c r="W47" s="3496"/>
      <c r="X47" s="1558"/>
      <c r="Y47" s="1580"/>
      <c r="Z47" s="1558"/>
      <c r="AA47" s="1558"/>
      <c r="AB47" s="1558"/>
      <c r="AC47" s="1558"/>
    </row>
    <row r="48" spans="1:29" ht="15" thickBot="1">
      <c r="A48" s="615" t="s">
        <v>2690</v>
      </c>
      <c r="B48" s="888"/>
      <c r="C48" s="2633">
        <f>R49</f>
        <v>10925</v>
      </c>
      <c r="D48" s="2634"/>
      <c r="E48" s="2635">
        <f>R48</f>
        <v>9822</v>
      </c>
      <c r="F48" s="2635"/>
      <c r="G48" s="2633">
        <f>T48</f>
        <v>11198</v>
      </c>
      <c r="H48" s="2634"/>
      <c r="I48" s="2635">
        <f>V48</f>
        <v>11896</v>
      </c>
      <c r="J48" s="2634"/>
      <c r="K48" s="1606"/>
      <c r="L48" s="2144"/>
      <c r="M48" s="2145"/>
      <c r="N48" s="2145"/>
      <c r="O48" s="2145"/>
      <c r="P48" s="3402" t="str">
        <f>A48</f>
        <v>比较价格（元/平方米）</v>
      </c>
      <c r="Q48" s="3402"/>
      <c r="R48" s="3496">
        <f>IF(F1="售价",ROUND(PRODUCT(R47,AA7:AA46),0),ROUND(PRODUCT(R47,AA7:AA46),1))</f>
        <v>9822</v>
      </c>
      <c r="S48" s="3496"/>
      <c r="T48" s="3496">
        <f>IF(F1="售价",ROUND(PRODUCT(T47,AB7:AB46),0),ROUND(PRODUCT(T47,AB7:AB46),1))</f>
        <v>11198</v>
      </c>
      <c r="U48" s="3496"/>
      <c r="V48" s="3496">
        <f>IF(F1="售价",ROUND(PRODUCT(V47,AC7:AC46),0),ROUND(PRODUCT(V47,AC7:AC46),1))</f>
        <v>11896</v>
      </c>
      <c r="W48" s="3496"/>
      <c r="X48" s="1558"/>
      <c r="Y48" s="1558"/>
      <c r="Z48" s="1558"/>
      <c r="AA48" s="1558"/>
      <c r="AB48" s="1558"/>
      <c r="AC48" s="1558"/>
    </row>
    <row r="49" spans="1:29" ht="15" thickBot="1">
      <c r="A49" s="621" t="s">
        <v>2930</v>
      </c>
      <c r="B49" s="622"/>
      <c r="C49" s="2636">
        <f>R49</f>
        <v>10925</v>
      </c>
      <c r="D49" s="2636"/>
      <c r="E49" s="2636"/>
      <c r="F49" s="2636"/>
      <c r="G49" s="2636"/>
      <c r="H49" s="2636"/>
      <c r="I49" s="2636"/>
      <c r="J49" s="2636"/>
      <c r="K49" s="1607"/>
      <c r="L49" s="2144"/>
      <c r="M49" s="2145"/>
      <c r="N49" s="2145"/>
      <c r="O49" s="2145"/>
      <c r="P49" s="3399" t="str">
        <f>A49</f>
        <v>估价对象XX用房的比较价格（楼面单价，元/平方米）</v>
      </c>
      <c r="Q49" s="3400"/>
      <c r="R49" s="3497">
        <f>ROUND(R48*R50+T48*T50+V48*V50,0)</f>
        <v>10925</v>
      </c>
      <c r="S49" s="3497"/>
      <c r="T49" s="3497"/>
      <c r="U49" s="3497"/>
      <c r="V49" s="3497"/>
      <c r="W49" s="3497"/>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7.1777642028100219E-2</v>
      </c>
      <c r="F52" s="627" t="str">
        <f>IF(OR(E52&gt;=0.3,E52&lt;=-0.3),"超过30%","")</f>
        <v/>
      </c>
      <c r="G52" s="626">
        <f>IF(G47&lt;G48,G48/G47-1,G47/G48-1)</f>
        <v>7.1619932130737585E-2</v>
      </c>
      <c r="H52" s="627" t="str">
        <f>IF(OR(G52&gt;=0.3,G52&lt;=-0.3),"超过30%","")</f>
        <v/>
      </c>
      <c r="I52" s="626">
        <f>IF(I47&lt;I48,I48/I47-1,I47/I48-1)</f>
        <v>8.7424344317417191E-3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0.14009366727754013</v>
      </c>
      <c r="F53" s="627" t="str">
        <f>IF(OR(E53&gt;=0.2,E53&lt;=-0.2),"超过20%","")</f>
        <v/>
      </c>
      <c r="G53" s="626">
        <f>IF(G48&lt;I48,I48/G48-1,G48/I48-1)</f>
        <v>6.2332559385604558E-2</v>
      </c>
      <c r="H53" s="627" t="str">
        <f>IF(OR(G53&gt;=0.2,G53&lt;=-0.2),"超过20%","")</f>
        <v/>
      </c>
      <c r="I53" s="626">
        <f>IF(I48&lt;E48,E48/I48-1,I48/E48-1)</f>
        <v>0.21115862349826919</v>
      </c>
      <c r="J53" s="627" t="str">
        <f>IF(OR(I53&gt;=0.2,I53&lt;=-0.2),"超过20%","")</f>
        <v>超过20%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I18">
      <formula1>交通便捷度</formula1>
    </dataValidation>
    <dataValidation type="list" allowBlank="1" showInputMessage="1" showErrorMessage="1" sqref="E16 G16 I16 C16 E18 G18">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08" t="s">
        <v>521</v>
      </c>
      <c r="D4" s="3409"/>
      <c r="E4" s="3447" t="s">
        <v>522</v>
      </c>
      <c r="F4" s="3448"/>
      <c r="G4" s="3408" t="s">
        <v>523</v>
      </c>
      <c r="H4" s="3409"/>
      <c r="I4" s="3408" t="s">
        <v>524</v>
      </c>
      <c r="J4" s="3409"/>
      <c r="K4" s="853" t="s">
        <v>525</v>
      </c>
      <c r="L4" s="2133"/>
      <c r="M4" s="2134"/>
      <c r="N4" s="2134"/>
      <c r="O4" s="2134"/>
      <c r="P4" s="3410" t="s">
        <v>526</v>
      </c>
      <c r="Q4" s="3411"/>
      <c r="R4" s="3416" t="s">
        <v>522</v>
      </c>
      <c r="S4" s="3417"/>
      <c r="T4" s="3416" t="s">
        <v>523</v>
      </c>
      <c r="U4" s="3417"/>
      <c r="V4" s="3403" t="s">
        <v>524</v>
      </c>
      <c r="W4" s="3403"/>
      <c r="X4" s="1566"/>
      <c r="Y4" s="3416" t="s">
        <v>526</v>
      </c>
      <c r="Z4" s="3417"/>
      <c r="AA4" s="3405" t="s">
        <v>522</v>
      </c>
      <c r="AB4" s="3405" t="s">
        <v>523</v>
      </c>
      <c r="AC4" s="3405" t="s">
        <v>524</v>
      </c>
    </row>
    <row r="5" spans="1:29">
      <c r="A5" s="515"/>
      <c r="B5" s="516"/>
      <c r="C5" s="3426" t="s">
        <v>3085</v>
      </c>
      <c r="D5" s="3425"/>
      <c r="E5" s="3499" t="s">
        <v>3087</v>
      </c>
      <c r="F5" s="3450"/>
      <c r="G5" s="3426" t="s">
        <v>3092</v>
      </c>
      <c r="H5" s="3425"/>
      <c r="I5" s="3426" t="s">
        <v>3091</v>
      </c>
      <c r="J5" s="3425"/>
      <c r="K5" s="854"/>
      <c r="L5" s="2133"/>
      <c r="M5" s="2134"/>
      <c r="N5" s="2134"/>
      <c r="O5" s="2134"/>
      <c r="P5" s="3412"/>
      <c r="Q5" s="3413"/>
      <c r="R5" s="3418"/>
      <c r="S5" s="3419"/>
      <c r="T5" s="3418"/>
      <c r="U5" s="3419"/>
      <c r="V5" s="3403"/>
      <c r="W5" s="3403"/>
      <c r="X5" s="1566"/>
      <c r="Y5" s="3418"/>
      <c r="Z5" s="3419"/>
      <c r="AA5" s="3406"/>
      <c r="AB5" s="3406"/>
      <c r="AC5" s="3406"/>
    </row>
    <row r="6" spans="1:29" ht="15" thickBot="1">
      <c r="A6" s="517"/>
      <c r="B6" s="518"/>
      <c r="C6" s="3500" t="s">
        <v>3086</v>
      </c>
      <c r="D6" s="3423"/>
      <c r="E6" s="3501" t="s">
        <v>3088</v>
      </c>
      <c r="F6" s="3446"/>
      <c r="G6" s="3500" t="s">
        <v>3093</v>
      </c>
      <c r="H6" s="3423"/>
      <c r="I6" s="3500" t="str">
        <f>G6</f>
        <v>永川区</v>
      </c>
      <c r="J6" s="3423"/>
      <c r="K6" s="854" t="s">
        <v>527</v>
      </c>
      <c r="L6" s="2133"/>
      <c r="M6" s="2134"/>
      <c r="N6" s="2134"/>
      <c r="O6" s="2134"/>
      <c r="P6" s="3414"/>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35" t="s">
        <v>529</v>
      </c>
      <c r="Q7" s="3437"/>
      <c r="R7" s="1567" t="s">
        <v>13</v>
      </c>
      <c r="S7" s="1568">
        <f t="shared" ref="S7:S15" si="0">F7</f>
        <v>99</v>
      </c>
      <c r="T7" s="1567" t="s">
        <v>13</v>
      </c>
      <c r="U7" s="1568">
        <f t="shared" ref="U7:U15" si="1">H7</f>
        <v>100</v>
      </c>
      <c r="V7" s="1567" t="s">
        <v>13</v>
      </c>
      <c r="W7" s="1568">
        <f t="shared" ref="W7:W15" si="2">J7</f>
        <v>100</v>
      </c>
      <c r="X7" s="1569"/>
      <c r="Y7" s="3435" t="s">
        <v>529</v>
      </c>
      <c r="Z7" s="3436"/>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35" t="s">
        <v>532</v>
      </c>
      <c r="Q8" s="3436"/>
      <c r="R8" s="1567" t="s">
        <v>13</v>
      </c>
      <c r="S8" s="1568">
        <f t="shared" si="0"/>
        <v>100</v>
      </c>
      <c r="T8" s="1567" t="s">
        <v>13</v>
      </c>
      <c r="U8" s="1568">
        <f t="shared" si="1"/>
        <v>100</v>
      </c>
      <c r="V8" s="1567" t="s">
        <v>13</v>
      </c>
      <c r="W8" s="1568">
        <f t="shared" si="2"/>
        <v>100</v>
      </c>
      <c r="X8" s="1569"/>
      <c r="Y8" s="3435" t="s">
        <v>532</v>
      </c>
      <c r="Z8" s="3436"/>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02" t="s">
        <v>534</v>
      </c>
      <c r="Q9" s="1151" t="str">
        <f t="shared" ref="Q9:Q15" si="6">B9</f>
        <v>用途</v>
      </c>
      <c r="R9" s="1567" t="s">
        <v>8</v>
      </c>
      <c r="S9" s="1568">
        <f t="shared" si="0"/>
        <v>100</v>
      </c>
      <c r="T9" s="1567" t="s">
        <v>8</v>
      </c>
      <c r="U9" s="1568">
        <f t="shared" si="1"/>
        <v>100</v>
      </c>
      <c r="V9" s="1567" t="s">
        <v>8</v>
      </c>
      <c r="W9" s="1568">
        <f t="shared" si="2"/>
        <v>100</v>
      </c>
      <c r="X9" s="1569"/>
      <c r="Y9" s="3348" t="s">
        <v>535</v>
      </c>
      <c r="Z9" s="115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02"/>
      <c r="Q11" s="1151" t="str">
        <f t="shared" si="6"/>
        <v>容积率</v>
      </c>
      <c r="R11" s="1567" t="s">
        <v>11</v>
      </c>
      <c r="S11" s="1568">
        <f t="shared" si="0"/>
        <v>99.5</v>
      </c>
      <c r="T11" s="1567" t="s">
        <v>11</v>
      </c>
      <c r="U11" s="1568">
        <f t="shared" si="1"/>
        <v>99</v>
      </c>
      <c r="V11" s="1567" t="s">
        <v>11</v>
      </c>
      <c r="W11" s="1568">
        <f t="shared" si="2"/>
        <v>99.5</v>
      </c>
      <c r="X11" s="1569"/>
      <c r="Y11" s="3348"/>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2"/>
      <c r="Q12" s="1151">
        <f t="shared" si="6"/>
        <v>111</v>
      </c>
      <c r="R12" s="1567" t="s">
        <v>11</v>
      </c>
      <c r="S12" s="1568">
        <f t="shared" si="0"/>
        <v>100</v>
      </c>
      <c r="T12" s="1567" t="s">
        <v>11</v>
      </c>
      <c r="U12" s="1568">
        <f t="shared" si="1"/>
        <v>100</v>
      </c>
      <c r="V12" s="1567" t="s">
        <v>11</v>
      </c>
      <c r="W12" s="1568">
        <f t="shared" si="2"/>
        <v>100</v>
      </c>
      <c r="X12" s="1569"/>
      <c r="Y12" s="3348"/>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2"/>
      <c r="Q13" s="1151">
        <f t="shared" si="6"/>
        <v>111</v>
      </c>
      <c r="R13" s="1567" t="s">
        <v>11</v>
      </c>
      <c r="S13" s="1568">
        <f t="shared" si="0"/>
        <v>100</v>
      </c>
      <c r="T13" s="1567" t="s">
        <v>11</v>
      </c>
      <c r="U13" s="1568">
        <f t="shared" si="1"/>
        <v>100</v>
      </c>
      <c r="V13" s="1567" t="s">
        <v>11</v>
      </c>
      <c r="W13" s="1568">
        <f t="shared" si="2"/>
        <v>100</v>
      </c>
      <c r="X13" s="1569"/>
      <c r="Y13" s="3348"/>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2"/>
      <c r="Q14" s="1151">
        <f t="shared" si="6"/>
        <v>111</v>
      </c>
      <c r="R14" s="1567" t="s">
        <v>11</v>
      </c>
      <c r="S14" s="1568">
        <f t="shared" si="0"/>
        <v>100</v>
      </c>
      <c r="T14" s="1567" t="s">
        <v>11</v>
      </c>
      <c r="U14" s="1568">
        <f t="shared" si="1"/>
        <v>100</v>
      </c>
      <c r="V14" s="1567" t="s">
        <v>11</v>
      </c>
      <c r="W14" s="1568">
        <f t="shared" si="2"/>
        <v>100</v>
      </c>
      <c r="X14" s="1569"/>
      <c r="Y14" s="3348"/>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38" t="s">
        <v>539</v>
      </c>
      <c r="Q15" s="1571" t="str">
        <f t="shared" si="6"/>
        <v>居住社区成熟度</v>
      </c>
      <c r="R15" s="1572" t="s">
        <v>11</v>
      </c>
      <c r="S15" s="1573">
        <f t="shared" si="0"/>
        <v>100</v>
      </c>
      <c r="T15" s="1572" t="s">
        <v>11</v>
      </c>
      <c r="U15" s="1573">
        <f t="shared" si="1"/>
        <v>100</v>
      </c>
      <c r="V15" s="1572" t="s">
        <v>11</v>
      </c>
      <c r="W15" s="1573">
        <f t="shared" si="2"/>
        <v>100</v>
      </c>
      <c r="X15" s="1566"/>
      <c r="Y15" s="3438"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39"/>
      <c r="Q16" s="1571"/>
      <c r="R16" s="1572"/>
      <c r="S16" s="1573"/>
      <c r="T16" s="1572"/>
      <c r="U16" s="1573"/>
      <c r="V16" s="1572"/>
      <c r="W16" s="1573"/>
      <c r="X16" s="1566"/>
      <c r="Y16" s="3439"/>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39"/>
      <c r="Q17" s="1571" t="str">
        <f>B17</f>
        <v>交通便捷度</v>
      </c>
      <c r="R17" s="1572" t="s">
        <v>11</v>
      </c>
      <c r="S17" s="1573">
        <f>F17</f>
        <v>100</v>
      </c>
      <c r="T17" s="1572" t="s">
        <v>11</v>
      </c>
      <c r="U17" s="1573">
        <f>H17</f>
        <v>100</v>
      </c>
      <c r="V17" s="1572" t="s">
        <v>11</v>
      </c>
      <c r="W17" s="1573">
        <f>J17</f>
        <v>100</v>
      </c>
      <c r="X17" s="1566"/>
      <c r="Y17" s="3439"/>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39"/>
      <c r="Q18" s="1571"/>
      <c r="R18" s="1572"/>
      <c r="S18" s="1573"/>
      <c r="T18" s="1572"/>
      <c r="U18" s="1573"/>
      <c r="V18" s="1572"/>
      <c r="W18" s="1573"/>
      <c r="X18" s="1566"/>
      <c r="Y18" s="3439"/>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39"/>
      <c r="Q19" s="1571" t="str">
        <f>B19</f>
        <v>公共配套设施</v>
      </c>
      <c r="R19" s="1572" t="s">
        <v>11</v>
      </c>
      <c r="S19" s="1573">
        <f>F19</f>
        <v>100</v>
      </c>
      <c r="T19" s="1572" t="s">
        <v>11</v>
      </c>
      <c r="U19" s="1573">
        <f>H19</f>
        <v>100</v>
      </c>
      <c r="V19" s="1572" t="s">
        <v>11</v>
      </c>
      <c r="W19" s="1573">
        <f>J19</f>
        <v>100</v>
      </c>
      <c r="X19" s="1566"/>
      <c r="Y19" s="3439"/>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39"/>
      <c r="Q20" s="1571"/>
      <c r="R20" s="1572"/>
      <c r="S20" s="1573"/>
      <c r="T20" s="1572"/>
      <c r="U20" s="1573"/>
      <c r="V20" s="1572"/>
      <c r="W20" s="1573"/>
      <c r="X20" s="1566"/>
      <c r="Y20" s="3439"/>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39"/>
      <c r="Q21" s="2579" t="str">
        <f>B21</f>
        <v>基础设施水平</v>
      </c>
      <c r="R21" s="1572" t="s">
        <v>11</v>
      </c>
      <c r="S21" s="1573">
        <f>F21</f>
        <v>100</v>
      </c>
      <c r="T21" s="1572" t="s">
        <v>11</v>
      </c>
      <c r="U21" s="1573">
        <f>H21</f>
        <v>100</v>
      </c>
      <c r="V21" s="1572" t="s">
        <v>11</v>
      </c>
      <c r="W21" s="1573">
        <f>J21</f>
        <v>100</v>
      </c>
      <c r="X21" s="2581"/>
      <c r="Y21" s="3439"/>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39"/>
      <c r="Q22" s="2579"/>
      <c r="R22" s="1572"/>
      <c r="S22" s="1573"/>
      <c r="T22" s="1572"/>
      <c r="U22" s="1573"/>
      <c r="V22" s="1572"/>
      <c r="W22" s="1573"/>
      <c r="X22" s="2581"/>
      <c r="Y22" s="3439"/>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39"/>
      <c r="Q23" s="1571" t="str">
        <f>B23</f>
        <v>自然及人文环境</v>
      </c>
      <c r="R23" s="1572" t="s">
        <v>11</v>
      </c>
      <c r="S23" s="1573">
        <f>F23</f>
        <v>100</v>
      </c>
      <c r="T23" s="1572" t="s">
        <v>11</v>
      </c>
      <c r="U23" s="1573">
        <f>H23</f>
        <v>100</v>
      </c>
      <c r="V23" s="1572" t="s">
        <v>11</v>
      </c>
      <c r="W23" s="1573">
        <f>J23</f>
        <v>100</v>
      </c>
      <c r="X23" s="1566"/>
      <c r="Y23" s="3439"/>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39"/>
      <c r="Q24" s="1571"/>
      <c r="R24" s="1572"/>
      <c r="S24" s="1573"/>
      <c r="T24" s="1572"/>
      <c r="U24" s="1573"/>
      <c r="V24" s="1572"/>
      <c r="W24" s="1573"/>
      <c r="X24" s="1566"/>
      <c r="Y24" s="3439"/>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9"/>
      <c r="Q25" s="1571" t="str">
        <f t="shared" ref="Q25:Q46" si="11">B25</f>
        <v>楼层-1</v>
      </c>
      <c r="R25" s="1572" t="s">
        <v>11</v>
      </c>
      <c r="S25" s="1573">
        <f>F25</f>
        <v>100</v>
      </c>
      <c r="T25" s="1572" t="s">
        <v>11</v>
      </c>
      <c r="U25" s="1573">
        <f>H25</f>
        <v>100</v>
      </c>
      <c r="V25" s="1572" t="s">
        <v>11</v>
      </c>
      <c r="W25" s="1573">
        <f>J25</f>
        <v>100</v>
      </c>
      <c r="X25" s="1566"/>
      <c r="Y25" s="3439"/>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9"/>
      <c r="Q26" s="1571" t="str">
        <f t="shared" si="11"/>
        <v>朝向</v>
      </c>
      <c r="R26" s="1572" t="s">
        <v>11</v>
      </c>
      <c r="S26" s="1573">
        <f>F26</f>
        <v>100</v>
      </c>
      <c r="T26" s="1572" t="s">
        <v>11</v>
      </c>
      <c r="U26" s="1573">
        <f>H26</f>
        <v>100</v>
      </c>
      <c r="V26" s="1572" t="s">
        <v>11</v>
      </c>
      <c r="W26" s="1573">
        <f>J26</f>
        <v>100</v>
      </c>
      <c r="X26" s="1566"/>
      <c r="Y26" s="3439"/>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9"/>
      <c r="Q27" s="1151" t="str">
        <f t="shared" si="11"/>
        <v>道路级别</v>
      </c>
      <c r="R27" s="1567" t="s">
        <v>11</v>
      </c>
      <c r="S27" s="1568">
        <f>F27</f>
        <v>100</v>
      </c>
      <c r="T27" s="1567" t="s">
        <v>11</v>
      </c>
      <c r="U27" s="1568">
        <f>H27</f>
        <v>100</v>
      </c>
      <c r="V27" s="1567" t="s">
        <v>11</v>
      </c>
      <c r="W27" s="1568">
        <f>J27</f>
        <v>100</v>
      </c>
      <c r="X27" s="1569"/>
      <c r="Y27" s="3439"/>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9"/>
      <c r="Q29" s="1571">
        <f t="shared" si="11"/>
        <v>111</v>
      </c>
      <c r="R29" s="1572" t="s">
        <v>11</v>
      </c>
      <c r="S29" s="1573">
        <f t="shared" si="12"/>
        <v>100</v>
      </c>
      <c r="T29" s="1572" t="s">
        <v>11</v>
      </c>
      <c r="U29" s="1573">
        <f t="shared" si="13"/>
        <v>100</v>
      </c>
      <c r="V29" s="1572" t="s">
        <v>11</v>
      </c>
      <c r="W29" s="1573">
        <f t="shared" si="14"/>
        <v>100</v>
      </c>
      <c r="X29" s="1566"/>
      <c r="Y29" s="343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9"/>
      <c r="Q30" s="1571">
        <f t="shared" si="11"/>
        <v>111</v>
      </c>
      <c r="R30" s="1572" t="s">
        <v>11</v>
      </c>
      <c r="S30" s="1573">
        <f t="shared" si="12"/>
        <v>100</v>
      </c>
      <c r="T30" s="1572" t="s">
        <v>11</v>
      </c>
      <c r="U30" s="1573">
        <f t="shared" si="13"/>
        <v>100</v>
      </c>
      <c r="V30" s="1572" t="s">
        <v>11</v>
      </c>
      <c r="W30" s="1573">
        <f t="shared" si="14"/>
        <v>100</v>
      </c>
      <c r="X30" s="1566"/>
      <c r="Y30" s="3439"/>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9"/>
      <c r="Q31" s="1571">
        <f t="shared" si="11"/>
        <v>111</v>
      </c>
      <c r="R31" s="1572" t="s">
        <v>11</v>
      </c>
      <c r="S31" s="1573">
        <f t="shared" si="12"/>
        <v>100</v>
      </c>
      <c r="T31" s="1572" t="s">
        <v>11</v>
      </c>
      <c r="U31" s="1573">
        <f t="shared" si="13"/>
        <v>100</v>
      </c>
      <c r="V31" s="1572" t="s">
        <v>11</v>
      </c>
      <c r="W31" s="1573">
        <f t="shared" si="14"/>
        <v>100</v>
      </c>
      <c r="X31" s="1566"/>
      <c r="Y31" s="3439"/>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40" t="s">
        <v>549</v>
      </c>
      <c r="Q32" s="1571" t="str">
        <f t="shared" si="11"/>
        <v>建筑类型</v>
      </c>
      <c r="R32" s="1572" t="s">
        <v>11</v>
      </c>
      <c r="S32" s="1573">
        <f t="shared" si="12"/>
        <v>100</v>
      </c>
      <c r="T32" s="1572" t="s">
        <v>11</v>
      </c>
      <c r="U32" s="1573">
        <f t="shared" si="13"/>
        <v>100</v>
      </c>
      <c r="V32" s="1572" t="s">
        <v>11</v>
      </c>
      <c r="W32" s="1573">
        <f t="shared" si="14"/>
        <v>100</v>
      </c>
      <c r="X32" s="1566"/>
      <c r="Y32" s="3441" t="s">
        <v>549</v>
      </c>
      <c r="Z32" s="1574" t="str">
        <f t="shared" si="15"/>
        <v>建筑类型</v>
      </c>
      <c r="AA32" s="1575">
        <f t="shared" si="3"/>
        <v>1</v>
      </c>
      <c r="AB32" s="1575">
        <f t="shared" si="4"/>
        <v>1</v>
      </c>
      <c r="AC32" s="1575">
        <f t="shared" si="5"/>
        <v>1</v>
      </c>
    </row>
    <row r="33" spans="1:29" s="1339" customFormat="1" ht="15">
      <c r="A33" s="603"/>
      <c r="B33" s="527" t="s">
        <v>725</v>
      </c>
      <c r="C33" s="880">
        <f>'数据-汇总表'!E3</f>
        <v>61948.5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41"/>
      <c r="Q33" s="1604" t="str">
        <f t="shared" si="11"/>
        <v>项目建筑规模</v>
      </c>
      <c r="R33" s="1576" t="s">
        <v>11</v>
      </c>
      <c r="S33" s="1577">
        <f t="shared" si="12"/>
        <v>100</v>
      </c>
      <c r="T33" s="1576" t="s">
        <v>11</v>
      </c>
      <c r="U33" s="1577">
        <f t="shared" si="13"/>
        <v>104</v>
      </c>
      <c r="V33" s="1576" t="s">
        <v>11</v>
      </c>
      <c r="W33" s="1577">
        <f t="shared" si="14"/>
        <v>104</v>
      </c>
      <c r="X33" s="1578"/>
      <c r="Y33" s="3441"/>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41"/>
      <c r="Q34" s="1571" t="str">
        <f t="shared" si="11"/>
        <v>建筑结构</v>
      </c>
      <c r="R34" s="1572" t="s">
        <v>11</v>
      </c>
      <c r="S34" s="1573">
        <f t="shared" si="12"/>
        <v>100</v>
      </c>
      <c r="T34" s="1572" t="s">
        <v>11</v>
      </c>
      <c r="U34" s="1573">
        <f t="shared" si="13"/>
        <v>100</v>
      </c>
      <c r="V34" s="1572" t="s">
        <v>11</v>
      </c>
      <c r="W34" s="1573">
        <f t="shared" si="14"/>
        <v>100</v>
      </c>
      <c r="X34" s="1566"/>
      <c r="Y34" s="3441"/>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41"/>
      <c r="Q35" s="1571" t="str">
        <f t="shared" si="11"/>
        <v>建筑品质</v>
      </c>
      <c r="R35" s="1572" t="s">
        <v>11</v>
      </c>
      <c r="S35" s="1573">
        <f t="shared" si="12"/>
        <v>100</v>
      </c>
      <c r="T35" s="1572" t="s">
        <v>11</v>
      </c>
      <c r="U35" s="1573">
        <f t="shared" si="13"/>
        <v>100</v>
      </c>
      <c r="V35" s="1572" t="s">
        <v>11</v>
      </c>
      <c r="W35" s="1573">
        <f t="shared" si="14"/>
        <v>100</v>
      </c>
      <c r="X35" s="1566"/>
      <c r="Y35" s="3441"/>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41"/>
      <c r="Q36" s="1571" t="str">
        <f t="shared" si="11"/>
        <v>公共部分装修</v>
      </c>
      <c r="R36" s="1572" t="s">
        <v>11</v>
      </c>
      <c r="S36" s="1573">
        <f t="shared" si="12"/>
        <v>100</v>
      </c>
      <c r="T36" s="1572" t="s">
        <v>11</v>
      </c>
      <c r="U36" s="1573">
        <f t="shared" si="13"/>
        <v>100</v>
      </c>
      <c r="V36" s="1572" t="s">
        <v>11</v>
      </c>
      <c r="W36" s="1573">
        <f t="shared" si="14"/>
        <v>100</v>
      </c>
      <c r="X36" s="1566"/>
      <c r="Y36" s="3441"/>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41"/>
      <c r="Q37" s="1151" t="str">
        <f t="shared" si="11"/>
        <v>成新度</v>
      </c>
      <c r="R37" s="1567" t="s">
        <v>11</v>
      </c>
      <c r="S37" s="1568">
        <f t="shared" si="12"/>
        <v>100</v>
      </c>
      <c r="T37" s="1567" t="s">
        <v>11</v>
      </c>
      <c r="U37" s="1568">
        <f t="shared" si="13"/>
        <v>100</v>
      </c>
      <c r="V37" s="1567" t="s">
        <v>11</v>
      </c>
      <c r="W37" s="1568">
        <f t="shared" si="14"/>
        <v>100</v>
      </c>
      <c r="X37" s="1569"/>
      <c r="Y37" s="3441"/>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41" t="s">
        <v>549</v>
      </c>
      <c r="Q38" s="1571" t="str">
        <f t="shared" si="11"/>
        <v>物业管理</v>
      </c>
      <c r="R38" s="1572" t="s">
        <v>11</v>
      </c>
      <c r="S38" s="1573">
        <f t="shared" si="12"/>
        <v>100</v>
      </c>
      <c r="T38" s="1572" t="s">
        <v>11</v>
      </c>
      <c r="U38" s="1573">
        <f t="shared" si="13"/>
        <v>100</v>
      </c>
      <c r="V38" s="1572" t="s">
        <v>11</v>
      </c>
      <c r="W38" s="1573">
        <f t="shared" si="14"/>
        <v>100</v>
      </c>
      <c r="X38" s="1566"/>
      <c r="Y38" s="3441"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41"/>
      <c r="Q39" s="1571" t="str">
        <f t="shared" si="11"/>
        <v>市政基础设施</v>
      </c>
      <c r="R39" s="1572" t="s">
        <v>11</v>
      </c>
      <c r="S39" s="1573">
        <f t="shared" si="12"/>
        <v>100</v>
      </c>
      <c r="T39" s="1572" t="s">
        <v>11</v>
      </c>
      <c r="U39" s="1573">
        <f t="shared" si="13"/>
        <v>100</v>
      </c>
      <c r="V39" s="1572" t="s">
        <v>11</v>
      </c>
      <c r="W39" s="1573">
        <f t="shared" si="14"/>
        <v>100</v>
      </c>
      <c r="X39" s="1566"/>
      <c r="Y39" s="3441"/>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41"/>
      <c r="Q40" s="1571" t="str">
        <f t="shared" si="11"/>
        <v>房型</v>
      </c>
      <c r="R40" s="1572" t="s">
        <v>11</v>
      </c>
      <c r="S40" s="1573">
        <f t="shared" si="12"/>
        <v>100</v>
      </c>
      <c r="T40" s="1572" t="s">
        <v>11</v>
      </c>
      <c r="U40" s="1573">
        <f t="shared" si="13"/>
        <v>100</v>
      </c>
      <c r="V40" s="1572" t="s">
        <v>11</v>
      </c>
      <c r="W40" s="1573">
        <f t="shared" si="14"/>
        <v>100</v>
      </c>
      <c r="X40" s="1566"/>
      <c r="Y40" s="3441"/>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41"/>
      <c r="Q41" s="1604" t="str">
        <f t="shared" si="11"/>
        <v>单套/主力户型建筑面积</v>
      </c>
      <c r="R41" s="1576" t="s">
        <v>11</v>
      </c>
      <c r="S41" s="1577">
        <f t="shared" si="12"/>
        <v>100</v>
      </c>
      <c r="T41" s="1576" t="s">
        <v>11</v>
      </c>
      <c r="U41" s="1577">
        <f t="shared" si="13"/>
        <v>100</v>
      </c>
      <c r="V41" s="1576" t="s">
        <v>11</v>
      </c>
      <c r="W41" s="1577">
        <f t="shared" si="14"/>
        <v>100</v>
      </c>
      <c r="X41" s="1578"/>
      <c r="Y41" s="3441"/>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41"/>
      <c r="Q42" s="1571" t="str">
        <f t="shared" si="11"/>
        <v>内部装修</v>
      </c>
      <c r="R42" s="1572" t="s">
        <v>11</v>
      </c>
      <c r="S42" s="1573">
        <f t="shared" si="12"/>
        <v>91</v>
      </c>
      <c r="T42" s="1572" t="s">
        <v>11</v>
      </c>
      <c r="U42" s="1573">
        <f t="shared" si="13"/>
        <v>91</v>
      </c>
      <c r="V42" s="1572" t="s">
        <v>11</v>
      </c>
      <c r="W42" s="1573">
        <f t="shared" si="14"/>
        <v>91</v>
      </c>
      <c r="X42" s="1566"/>
      <c r="Y42" s="3441"/>
      <c r="Z42" s="1574" t="str">
        <f t="shared" si="15"/>
        <v>内部装修</v>
      </c>
      <c r="AA42" s="1575">
        <f t="shared" si="3"/>
        <v>1.098901098901099</v>
      </c>
      <c r="AB42" s="1575">
        <f t="shared" si="4"/>
        <v>1.098901098901099</v>
      </c>
      <c r="AC42" s="1575">
        <f t="shared" si="5"/>
        <v>1.098901098901099</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41"/>
      <c r="Q43" s="1571" t="str">
        <f t="shared" si="11"/>
        <v>内部装修维护情况</v>
      </c>
      <c r="R43" s="1572" t="s">
        <v>11</v>
      </c>
      <c r="S43" s="1573">
        <f t="shared" si="12"/>
        <v>100</v>
      </c>
      <c r="T43" s="1572" t="s">
        <v>11</v>
      </c>
      <c r="U43" s="1573">
        <f t="shared" si="13"/>
        <v>100</v>
      </c>
      <c r="V43" s="1572" t="s">
        <v>11</v>
      </c>
      <c r="W43" s="1573">
        <f t="shared" si="14"/>
        <v>100</v>
      </c>
      <c r="X43" s="1566"/>
      <c r="Y43" s="3441"/>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41"/>
      <c r="Q44" s="1151" t="str">
        <f t="shared" si="11"/>
        <v>特殊修正</v>
      </c>
      <c r="R44" s="1567" t="s">
        <v>11</v>
      </c>
      <c r="S44" s="1568">
        <f t="shared" si="12"/>
        <v>100</v>
      </c>
      <c r="T44" s="1567" t="s">
        <v>11</v>
      </c>
      <c r="U44" s="1568">
        <f t="shared" si="13"/>
        <v>100</v>
      </c>
      <c r="V44" s="1567" t="s">
        <v>11</v>
      </c>
      <c r="W44" s="1568">
        <f t="shared" si="14"/>
        <v>100</v>
      </c>
      <c r="X44" s="1569"/>
      <c r="Y44" s="3441"/>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41"/>
      <c r="Q45" s="1571">
        <f t="shared" si="11"/>
        <v>111</v>
      </c>
      <c r="R45" s="1572" t="s">
        <v>11</v>
      </c>
      <c r="S45" s="1573">
        <f t="shared" si="12"/>
        <v>100</v>
      </c>
      <c r="T45" s="1572" t="s">
        <v>11</v>
      </c>
      <c r="U45" s="1573">
        <f t="shared" si="13"/>
        <v>100</v>
      </c>
      <c r="V45" s="1572" t="s">
        <v>11</v>
      </c>
      <c r="W45" s="1573">
        <f t="shared" si="14"/>
        <v>100</v>
      </c>
      <c r="X45" s="1566"/>
      <c r="Y45" s="3441"/>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8"/>
      <c r="Q46" s="1571">
        <f t="shared" si="11"/>
        <v>111</v>
      </c>
      <c r="R46" s="1572" t="s">
        <v>10</v>
      </c>
      <c r="S46" s="1573">
        <f t="shared" si="12"/>
        <v>100</v>
      </c>
      <c r="T46" s="1572" t="s">
        <v>10</v>
      </c>
      <c r="U46" s="1573">
        <f t="shared" si="13"/>
        <v>100</v>
      </c>
      <c r="V46" s="1572" t="s">
        <v>10</v>
      </c>
      <c r="W46" s="1573">
        <f t="shared" si="14"/>
        <v>100</v>
      </c>
      <c r="X46" s="1566"/>
      <c r="Y46" s="3498"/>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02" t="str">
        <f>A47</f>
        <v>成交单价（元/平方米）</v>
      </c>
      <c r="Q47" s="3402"/>
      <c r="R47" s="3496">
        <f>E47</f>
        <v>5800</v>
      </c>
      <c r="S47" s="3496"/>
      <c r="T47" s="3496">
        <f>G47</f>
        <v>5980</v>
      </c>
      <c r="U47" s="3496"/>
      <c r="V47" s="3496">
        <f>I47</f>
        <v>5800</v>
      </c>
      <c r="W47" s="3496"/>
      <c r="X47" s="1558"/>
      <c r="Y47" s="1580"/>
      <c r="Z47" s="1558"/>
      <c r="AA47" s="1558"/>
      <c r="AB47" s="1558"/>
      <c r="AC47" s="1558"/>
    </row>
    <row r="48" spans="1:29" ht="1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02" t="str">
        <f>A48</f>
        <v>比较价格（元/平方米）</v>
      </c>
      <c r="Q48" s="3402"/>
      <c r="R48" s="3496">
        <f>IF(F1="售价",ROUND(PRODUCT(R47,AA7:AA46),0),ROUND(PRODUCT(R47,AA7:AA46),1))</f>
        <v>6470</v>
      </c>
      <c r="S48" s="3496"/>
      <c r="T48" s="3496">
        <f>IF(F1="售价",ROUND(PRODUCT(T47,AB7:AB46),0),ROUND(PRODUCT(T47,AB7:AB46),1))</f>
        <v>6383</v>
      </c>
      <c r="U48" s="3496"/>
      <c r="V48" s="3496">
        <f>IF(F1="售价",ROUND(PRODUCT(V47,AC7:AC46),0),ROUND(PRODUCT(V47,AC7:AC46),1))</f>
        <v>6159</v>
      </c>
      <c r="W48" s="3496"/>
      <c r="X48" s="1558"/>
      <c r="Y48" s="1558"/>
      <c r="Z48" s="1558"/>
      <c r="AA48" s="1558"/>
      <c r="AB48" s="1558"/>
      <c r="AC48" s="1558"/>
    </row>
    <row r="49" spans="1:29" ht="15" thickBot="1">
      <c r="A49" s="621" t="s">
        <v>2930</v>
      </c>
      <c r="B49" s="622"/>
      <c r="C49" s="2636">
        <f>R49</f>
        <v>6364</v>
      </c>
      <c r="D49" s="2636"/>
      <c r="E49" s="2636"/>
      <c r="F49" s="2636"/>
      <c r="G49" s="2636"/>
      <c r="H49" s="2636"/>
      <c r="I49" s="2636"/>
      <c r="J49" s="2636"/>
      <c r="K49" s="1607"/>
      <c r="L49" s="2144"/>
      <c r="M49" s="2145"/>
      <c r="N49" s="2145"/>
      <c r="O49" s="2145"/>
      <c r="P49" s="3399" t="str">
        <f>A49</f>
        <v>估价对象XX用房的比较价格（楼面单价，元/平方米）</v>
      </c>
      <c r="Q49" s="3400"/>
      <c r="R49" s="3497">
        <f>ROUND(R48*R50+T48*T50+V48*V50,0)</f>
        <v>6364</v>
      </c>
      <c r="S49" s="3497"/>
      <c r="T49" s="3497"/>
      <c r="U49" s="3497"/>
      <c r="V49" s="3497"/>
      <c r="W49" s="3497"/>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0" t="s">
        <v>2461</v>
      </c>
      <c r="C6" s="783" t="e">
        <f ca="1">ROUND(F6*F8*F7*(1-F9)/10000,0)</f>
        <v>#N/A</v>
      </c>
      <c r="D6" s="2497" t="s">
        <v>2460</v>
      </c>
      <c r="E6" s="784" t="s">
        <v>636</v>
      </c>
      <c r="F6" s="785" t="e">
        <f ca="1">INDIRECT("'数据-取费表'!u"&amp;$G$1)</f>
        <v>#N/A</v>
      </c>
      <c r="G6" s="1591"/>
      <c r="H6" s="2504" t="s">
        <v>1823</v>
      </c>
      <c r="I6" s="3480" t="s">
        <v>2461</v>
      </c>
      <c r="J6" s="783" t="e">
        <f ca="1">ROUND(M6*M8*M7*(1-M9)/10000,0)</f>
        <v>#N/A</v>
      </c>
      <c r="K6" s="341" t="s">
        <v>635</v>
      </c>
      <c r="L6" s="784" t="s">
        <v>636</v>
      </c>
      <c r="M6" s="785" t="e">
        <f ca="1">INDIRECT("'数据-取费表'!z"&amp;$G$1)</f>
        <v>#N/A</v>
      </c>
    </row>
    <row r="7" spans="1:33" ht="18" customHeight="1">
      <c r="A7" s="2500"/>
      <c r="B7" s="3481"/>
      <c r="C7" s="788"/>
      <c r="D7" s="789"/>
      <c r="E7" s="784" t="s">
        <v>637</v>
      </c>
      <c r="F7" s="785" t="e">
        <f ca="1">IF(INDIRECT("'数据-取费表'!ah"&amp;$G$1)="",INDIRECT("'数据-取费表'!k"&amp;$G$1),INDIRECT("'数据-取费表'!ah"&amp;$G$1))</f>
        <v>#N/A</v>
      </c>
      <c r="G7" s="1591"/>
      <c r="H7" s="2489"/>
      <c r="I7" s="3481"/>
      <c r="J7" s="788"/>
      <c r="K7" s="789"/>
      <c r="L7" s="784" t="s">
        <v>637</v>
      </c>
      <c r="M7" s="785" t="e">
        <f ca="1">F7</f>
        <v>#N/A</v>
      </c>
    </row>
    <row r="8" spans="1:33" ht="18" customHeight="1">
      <c r="A8" s="2493"/>
      <c r="B8" s="3482"/>
      <c r="C8" s="788"/>
      <c r="D8" s="789"/>
      <c r="E8" s="784" t="s">
        <v>638</v>
      </c>
      <c r="F8" s="785" t="e">
        <f ca="1">INDIRECT("'数据-取费表'!ai"&amp;$G$1)</f>
        <v>#N/A</v>
      </c>
      <c r="G8" s="1591"/>
      <c r="H8" s="2489"/>
      <c r="I8" s="3482"/>
      <c r="J8" s="788"/>
      <c r="K8" s="789"/>
      <c r="L8" s="784" t="s">
        <v>638</v>
      </c>
      <c r="M8" s="785" t="e">
        <f ca="1">INDIRECT("'数据-取费表'!ai"&amp;$G$1)</f>
        <v>#N/A</v>
      </c>
    </row>
    <row r="9" spans="1:33" ht="18" customHeight="1">
      <c r="A9" s="786"/>
      <c r="B9" s="3483"/>
      <c r="C9" s="788"/>
      <c r="D9" s="789"/>
      <c r="E9" s="784" t="s">
        <v>639</v>
      </c>
      <c r="F9" s="794" t="e">
        <f ca="1">INDIRECT("'数据-取费表'!w"&amp;$G$1)</f>
        <v>#N/A</v>
      </c>
      <c r="G9" s="1591"/>
      <c r="H9" s="2505"/>
      <c r="I9" s="3482"/>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2</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2" t="s">
        <v>2962</v>
      </c>
      <c r="L53" s="3503"/>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5" zoomScaleNormal="85" workbookViewId="0">
      <selection activeCell="D46" sqref="D46"/>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3024</v>
      </c>
      <c r="D1" s="3122" t="s">
        <v>3069</v>
      </c>
      <c r="E1" s="2387" t="s">
        <v>2374</v>
      </c>
      <c r="F1" s="2388">
        <f ca="1">J53</f>
        <v>33.07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14713</v>
      </c>
      <c r="C2" s="2057"/>
      <c r="D2" s="2055"/>
      <c r="E2" s="2056"/>
      <c r="F2" s="2056"/>
      <c r="G2" s="1589"/>
      <c r="H2" s="2057"/>
      <c r="I2" s="2057"/>
      <c r="J2" s="2057"/>
      <c r="K2" s="2058"/>
      <c r="L2" s="2057"/>
      <c r="M2" s="2057"/>
    </row>
    <row r="3" spans="1:33" ht="18" customHeight="1" thickBot="1">
      <c r="A3" s="833" t="s">
        <v>1726</v>
      </c>
      <c r="B3" s="834">
        <f ca="1">IF(ISERROR(B2*10000/F43),0,ROUND(B2*10000/F43,0))</f>
        <v>11875</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1019</v>
      </c>
      <c r="D5" s="2496" t="s">
        <v>2459</v>
      </c>
      <c r="E5" s="2490"/>
      <c r="F5" s="2491"/>
      <c r="G5" s="1591"/>
      <c r="H5" s="781">
        <v>1</v>
      </c>
      <c r="I5" s="782" t="s">
        <v>2456</v>
      </c>
      <c r="J5" s="55">
        <f ca="1">J6+J10+J12</f>
        <v>0</v>
      </c>
      <c r="K5" s="2496" t="s">
        <v>2459</v>
      </c>
      <c r="L5" s="2490"/>
      <c r="M5" s="2491"/>
    </row>
    <row r="6" spans="1:33" ht="18" customHeight="1">
      <c r="A6" s="1830" t="s">
        <v>1823</v>
      </c>
      <c r="B6" s="3480" t="s">
        <v>2461</v>
      </c>
      <c r="C6" s="783">
        <f ca="1">ROUND(F6*F8*F7*(1-F9)/10000,0)</f>
        <v>1018</v>
      </c>
      <c r="D6" s="2497" t="s">
        <v>2460</v>
      </c>
      <c r="E6" s="784" t="s">
        <v>1737</v>
      </c>
      <c r="F6" s="785">
        <f ca="1">INDIRECT("'数据-取费表'!u"&amp;$G$1)</f>
        <v>2.5</v>
      </c>
      <c r="G6" s="1591"/>
      <c r="H6" s="2504" t="s">
        <v>2466</v>
      </c>
      <c r="I6" s="3480" t="s">
        <v>2461</v>
      </c>
      <c r="J6" s="783">
        <f ca="1">ROUND(M6*M8*M7*(1-M9)/10000,0)</f>
        <v>0</v>
      </c>
      <c r="K6" s="341" t="s">
        <v>1736</v>
      </c>
      <c r="L6" s="784" t="s">
        <v>1737</v>
      </c>
      <c r="M6" s="785">
        <f ca="1">INDIRECT("'数据-取费表'!z"&amp;$G$1)</f>
        <v>0</v>
      </c>
    </row>
    <row r="7" spans="1:33" ht="18" customHeight="1">
      <c r="A7" s="2500"/>
      <c r="B7" s="3481"/>
      <c r="C7" s="788"/>
      <c r="D7" s="789"/>
      <c r="E7" s="784" t="s">
        <v>1738</v>
      </c>
      <c r="F7" s="785">
        <f ca="1">IF(INDIRECT("'数据-取费表'!ah"&amp;$G$1)="",INDIRECT("'数据-取费表'!k"&amp;$G$1),INDIRECT("'数据-取费表'!ah"&amp;$G$1))</f>
        <v>12389.7</v>
      </c>
      <c r="G7" s="1591"/>
      <c r="H7" s="2489"/>
      <c r="I7" s="3481"/>
      <c r="J7" s="788"/>
      <c r="K7" s="789"/>
      <c r="L7" s="784" t="s">
        <v>1738</v>
      </c>
      <c r="M7" s="785">
        <f ca="1">F7</f>
        <v>12389.7</v>
      </c>
    </row>
    <row r="8" spans="1:33" ht="18" customHeight="1">
      <c r="A8" s="2493"/>
      <c r="B8" s="3482"/>
      <c r="C8" s="788"/>
      <c r="D8" s="789"/>
      <c r="E8" s="784" t="s">
        <v>1739</v>
      </c>
      <c r="F8" s="785">
        <f ca="1">INDIRECT("'数据-取费表'!ai"&amp;$G$1)</f>
        <v>365</v>
      </c>
      <c r="G8" s="1591"/>
      <c r="H8" s="2489"/>
      <c r="I8" s="3482"/>
      <c r="J8" s="788"/>
      <c r="K8" s="789"/>
      <c r="L8" s="784" t="s">
        <v>1739</v>
      </c>
      <c r="M8" s="785">
        <f ca="1">INDIRECT("'数据-取费表'!ai"&amp;$G$1)</f>
        <v>365</v>
      </c>
    </row>
    <row r="9" spans="1:33" ht="18" customHeight="1">
      <c r="A9" s="786"/>
      <c r="B9" s="3483"/>
      <c r="C9" s="788"/>
      <c r="D9" s="789"/>
      <c r="E9" s="784" t="s">
        <v>1740</v>
      </c>
      <c r="F9" s="794">
        <f ca="1">INDIRECT("'数据-取费表'!w"&amp;$G$1)</f>
        <v>0.1</v>
      </c>
      <c r="G9" s="1591"/>
      <c r="H9" s="2505"/>
      <c r="I9" s="3482"/>
      <c r="J9" s="788"/>
      <c r="K9" s="789"/>
      <c r="L9" s="795" t="s">
        <v>1740</v>
      </c>
      <c r="M9" s="796">
        <f ca="1">INDIRECT("'数据-取费表'!ab"&amp;$G$1)</f>
        <v>0</v>
      </c>
    </row>
    <row r="10" spans="1:33" ht="18" customHeight="1">
      <c r="A10" s="1830" t="s">
        <v>2464</v>
      </c>
      <c r="B10" s="2494" t="s">
        <v>2457</v>
      </c>
      <c r="C10" s="799">
        <f ca="1">ROUND(IF(F10="押一",C6/12*F11,IF(F10="押二",C6/12*2*F11,IF(F10="押三",C6/12*3*F11,C11*F11))),0)</f>
        <v>1</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5808</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3717</v>
      </c>
      <c r="D14" s="1979" t="s">
        <v>1744</v>
      </c>
      <c r="E14" s="1980"/>
      <c r="F14" s="805"/>
      <c r="G14" s="1591"/>
      <c r="H14" s="1648" t="s">
        <v>1829</v>
      </c>
      <c r="I14" s="2231" t="s">
        <v>2823</v>
      </c>
      <c r="J14" s="53">
        <f ca="1">C29</f>
        <v>5808</v>
      </c>
      <c r="K14" s="26"/>
      <c r="L14" s="801"/>
      <c r="M14" s="802"/>
    </row>
    <row r="15" spans="1:33" s="2064" customFormat="1" ht="18" customHeight="1" thickBot="1">
      <c r="A15" s="1647" t="s">
        <v>1884</v>
      </c>
      <c r="B15" s="784" t="s">
        <v>646</v>
      </c>
      <c r="C15" s="53">
        <f ca="1">ROUND(C14*F15,0)</f>
        <v>186</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592</v>
      </c>
      <c r="K16" s="1821" t="s">
        <v>1749</v>
      </c>
      <c r="L16" s="2486"/>
      <c r="M16" s="2491"/>
    </row>
    <row r="17" spans="1:33" s="2064" customFormat="1" ht="18" customHeight="1">
      <c r="A17" s="1647" t="s">
        <v>1886</v>
      </c>
      <c r="B17" s="784" t="s">
        <v>652</v>
      </c>
      <c r="C17" s="53">
        <f ca="1">ROUND(F17*(F43+INDIRECT("'数据-取费表'!S"&amp;$G$1))/10000,0)</f>
        <v>248</v>
      </c>
      <c r="D17" s="784" t="s">
        <v>1750</v>
      </c>
      <c r="E17" s="784" t="s">
        <v>1751</v>
      </c>
      <c r="F17" s="56">
        <f>'数据-取费表'!B35</f>
        <v>200</v>
      </c>
      <c r="G17" s="1592"/>
      <c r="H17" s="1648" t="s">
        <v>1829</v>
      </c>
      <c r="I17" s="784" t="s">
        <v>655</v>
      </c>
      <c r="J17" s="53">
        <f ca="1">ROUND(IF(项目基本情况!B11="自然人",J5*M17,J18+J19+J20),0)</f>
        <v>505</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56</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4207</v>
      </c>
      <c r="D19" s="261" t="s">
        <v>1756</v>
      </c>
      <c r="E19" s="1982"/>
      <c r="F19" s="56"/>
      <c r="G19" s="1591"/>
      <c r="H19" s="1647" t="s">
        <v>1884</v>
      </c>
      <c r="I19" s="784" t="s">
        <v>1757</v>
      </c>
      <c r="J19" s="53">
        <f ca="1">IF(K19="按租金收入计税",ROUND(J5*M19,1),ROUND(C29*F33*0.7,1))</f>
        <v>487.9</v>
      </c>
      <c r="K19" s="811" t="s">
        <v>664</v>
      </c>
      <c r="L19" s="784" t="s">
        <v>1746</v>
      </c>
      <c r="M19" s="809">
        <f>IF(K19="按租金收入计税",'数据-取费表'!B51,'数据-取费表'!B50)</f>
        <v>1.2E-2</v>
      </c>
    </row>
    <row r="20" spans="1:33" s="2064" customFormat="1" ht="18" customHeight="1">
      <c r="A20" s="1648" t="s">
        <v>1888</v>
      </c>
      <c r="B20" s="784" t="s">
        <v>665</v>
      </c>
      <c r="C20" s="53">
        <f ca="1">ROUND(C19*F20,0)</f>
        <v>84</v>
      </c>
      <c r="D20" s="812" t="s">
        <v>1758</v>
      </c>
      <c r="E20" s="784" t="s">
        <v>1746</v>
      </c>
      <c r="F20" s="809">
        <f>'数据-取费表'!B37</f>
        <v>0.02</v>
      </c>
      <c r="G20" s="1592"/>
      <c r="H20" s="1650" t="s">
        <v>1879</v>
      </c>
      <c r="I20" s="341" t="s">
        <v>1759</v>
      </c>
      <c r="J20" s="54">
        <f ca="1">ROUND(M20*M21/10000,0)</f>
        <v>17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8259.7999999999993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87</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204</v>
      </c>
      <c r="D23" s="2571" t="str">
        <f>IF(F23&lt;=1,"(建造成本+管理费用)×利率×(建设周期÷2)","(建造成本+管理费用)×((1+利率)^(建设周期÷2)-1)")</f>
        <v>(建造成本+管理费用)×((1+利率)^(建设周期÷2)-1)</v>
      </c>
      <c r="E23" s="784" t="s">
        <v>1769</v>
      </c>
      <c r="F23" s="640">
        <f>'数据-取费表'!B20</f>
        <v>2</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-592</v>
      </c>
      <c r="K25" s="2548" t="s">
        <v>1776</v>
      </c>
      <c r="L25" s="2549"/>
      <c r="M25" s="2550"/>
    </row>
    <row r="26" spans="1:33" ht="18" customHeight="1">
      <c r="A26" s="1647" t="s">
        <v>1830</v>
      </c>
      <c r="B26" s="784" t="s">
        <v>2438</v>
      </c>
      <c r="C26" s="53">
        <f ca="1">ROUND((C19+C20)*F26,0)</f>
        <v>858</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5808</v>
      </c>
      <c r="D29" s="2545"/>
      <c r="E29" s="2546"/>
      <c r="F29" s="2547"/>
      <c r="G29" s="1592"/>
      <c r="H29" s="823" t="s">
        <v>1786</v>
      </c>
      <c r="I29" s="824" t="s">
        <v>1787</v>
      </c>
      <c r="J29" s="825">
        <f ca="1">ROUND(J26/(1+F40)^F41,0)</f>
        <v>0</v>
      </c>
      <c r="K29" s="826" t="s">
        <v>1788</v>
      </c>
      <c r="L29" s="827"/>
      <c r="M29" s="828">
        <f ca="1">INDIRECT("'数据-取费表'!k"&amp;$G$1)</f>
        <v>12389.7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299</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193.1</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54.3</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122.3</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16.5</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8259.7999999999993</v>
      </c>
      <c r="G35" s="2062"/>
      <c r="H35" s="2065"/>
      <c r="I35" s="837" t="s">
        <v>1813</v>
      </c>
      <c r="J35" s="838">
        <f ca="1">ROUND(C13*J36,0)</f>
        <v>494</v>
      </c>
      <c r="K35" s="2078"/>
      <c r="L35" s="2077"/>
      <c r="M35" s="2077"/>
    </row>
    <row r="36" spans="1:18" ht="18" customHeight="1">
      <c r="A36" s="1648" t="s">
        <v>1888</v>
      </c>
      <c r="B36" s="784" t="s">
        <v>1801</v>
      </c>
      <c r="C36" s="53">
        <f ca="1">ROUND(C29*F36,1)</f>
        <v>87.1</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8.6999999999999993</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10.199999999999999</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720</v>
      </c>
      <c r="D39" s="2548" t="s">
        <v>1805</v>
      </c>
      <c r="E39" s="2549"/>
      <c r="F39" s="2550"/>
      <c r="G39" s="2062"/>
      <c r="H39" s="2077"/>
      <c r="I39" s="837" t="s">
        <v>1817</v>
      </c>
      <c r="J39" s="845">
        <f ca="1">ROUND(J35/C39,3)</f>
        <v>0.68600000000000005</v>
      </c>
      <c r="K39" s="2083"/>
      <c r="L39" s="2077"/>
      <c r="M39" s="2077"/>
    </row>
    <row r="40" spans="1:18" ht="18" customHeight="1">
      <c r="A40" s="781" t="s">
        <v>1894</v>
      </c>
      <c r="B40" s="2232" t="s">
        <v>2301</v>
      </c>
      <c r="C40" s="783">
        <f ca="1">ROUND(C39*(1-((1+F42)/(1+F40))^F41)/(F40-F42),0)</f>
        <v>14713</v>
      </c>
      <c r="D40" s="814" t="s">
        <v>1806</v>
      </c>
      <c r="E40" s="784" t="s">
        <v>2419</v>
      </c>
      <c r="F40" s="794">
        <f ca="1">INDIRECT("'数据-取费表'!I"&amp;$G$1)</f>
        <v>0.06</v>
      </c>
      <c r="G40" s="2062"/>
      <c r="H40" s="2062"/>
      <c r="I40" s="837" t="s">
        <v>1818</v>
      </c>
      <c r="J40" s="845">
        <f ca="1">1-J39</f>
        <v>0.31399999999999995</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33.07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0.39500000000000002</v>
      </c>
      <c r="K42" s="2082"/>
      <c r="L42" s="1988"/>
      <c r="M42" s="1988"/>
    </row>
    <row r="43" spans="1:18" ht="18" customHeight="1" thickBot="1">
      <c r="A43" s="823" t="s">
        <v>1786</v>
      </c>
      <c r="B43" s="824" t="s">
        <v>1809</v>
      </c>
      <c r="C43" s="825">
        <f ca="1">ROUND(C40*10000/F43,0)</f>
        <v>11875</v>
      </c>
      <c r="D43" s="826" t="s">
        <v>1810</v>
      </c>
      <c r="E43" s="827" t="s">
        <v>1811</v>
      </c>
      <c r="F43" s="828">
        <f ca="1">INDIRECT("'数据-取费表'!k"&amp;$G$1)</f>
        <v>12389.7</v>
      </c>
      <c r="G43" s="2062"/>
      <c r="H43" s="1988"/>
      <c r="I43" s="847" t="s">
        <v>1821</v>
      </c>
      <c r="J43" s="848">
        <f ca="1">1-J42</f>
        <v>0.60499999999999998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-16308</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14713</v>
      </c>
      <c r="R48" s="2399" t="s">
        <v>2380</v>
      </c>
    </row>
    <row r="49" spans="1:18" s="2059" customFormat="1" ht="18" customHeight="1" thickBot="1">
      <c r="A49" s="786"/>
      <c r="B49" s="787"/>
      <c r="C49" s="788"/>
      <c r="D49" s="789"/>
      <c r="E49" s="784" t="s">
        <v>1738</v>
      </c>
      <c r="F49" s="785">
        <f ca="1">F7</f>
        <v>12389.7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5808</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3486</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33.07</v>
      </c>
      <c r="K53" s="3502" t="s">
        <v>2962</v>
      </c>
      <c r="L53" s="3503"/>
      <c r="O53" s="2401" t="s">
        <v>2388</v>
      </c>
      <c r="P53" s="2399" t="s">
        <v>2389</v>
      </c>
      <c r="Q53" s="2400">
        <f ca="1">J53</f>
        <v>33.07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14713</v>
      </c>
      <c r="R54" s="2403" t="s">
        <v>2392</v>
      </c>
    </row>
    <row r="55" spans="1:18" s="2059" customFormat="1" ht="18" customHeight="1" thickTop="1" thickBot="1">
      <c r="A55" s="797">
        <v>2</v>
      </c>
      <c r="B55" s="798" t="s">
        <v>643</v>
      </c>
      <c r="C55" s="799">
        <f ca="1">C13</f>
        <v>5808</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5808</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112</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14713</v>
      </c>
      <c r="R57" s="2399" t="s">
        <v>2380</v>
      </c>
    </row>
    <row r="58" spans="1:18" s="2059" customFormat="1" ht="28.5" customHeight="1" thickBot="1">
      <c r="A58" s="1648" t="s">
        <v>1823</v>
      </c>
      <c r="B58" s="784" t="s">
        <v>655</v>
      </c>
      <c r="C58" s="53">
        <f ca="1">ROUND(IF(项目基本情况!B11="自然人",C47*F58,C59+C60+C61),1)</f>
        <v>16.5</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16.5</v>
      </c>
      <c r="D61" s="814" t="s">
        <v>668</v>
      </c>
      <c r="E61" s="784" t="s">
        <v>669</v>
      </c>
      <c r="F61" s="640">
        <f t="shared" si="0"/>
        <v>20</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8259.7999999999993</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87.1</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14713</v>
      </c>
      <c r="R63" s="2403" t="s">
        <v>2392</v>
      </c>
    </row>
    <row r="64" spans="1:18" s="2059" customFormat="1" ht="16.2" thickBot="1">
      <c r="A64" s="1648" t="s">
        <v>1889</v>
      </c>
      <c r="B64" s="784" t="s">
        <v>678</v>
      </c>
      <c r="C64" s="53">
        <f ca="1">ROUND(C55*F64,1)</f>
        <v>8.6999999999999993</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-112</v>
      </c>
      <c r="D66" s="2638" t="s">
        <v>699</v>
      </c>
      <c r="E66" s="2637"/>
      <c r="F66" s="820"/>
      <c r="K66" s="2086"/>
      <c r="O66" s="2398" t="s">
        <v>2379</v>
      </c>
      <c r="P66" s="2399" t="s">
        <v>2409</v>
      </c>
      <c r="Q66" s="2400">
        <f ca="1">C40+J29</f>
        <v>14713</v>
      </c>
      <c r="R66" s="2399" t="s">
        <v>2380</v>
      </c>
    </row>
    <row r="67" spans="1:18" s="2059" customFormat="1" ht="19.2" thickBot="1">
      <c r="A67" s="781" t="s">
        <v>1779</v>
      </c>
      <c r="B67" s="2232" t="s">
        <v>2301</v>
      </c>
      <c r="C67" s="783">
        <f ca="1">ROUND(C66*(1-((1+F69)/(1+F67))^F68)/(F67-F69),0)</f>
        <v>-1595</v>
      </c>
      <c r="D67" s="814" t="s">
        <v>703</v>
      </c>
      <c r="E67" s="784" t="s">
        <v>704</v>
      </c>
      <c r="F67" s="794">
        <f ca="1">F40</f>
        <v>0.06</v>
      </c>
      <c r="K67" s="2086"/>
      <c r="O67" s="2398" t="s">
        <v>2381</v>
      </c>
      <c r="P67" s="2399" t="s">
        <v>2412</v>
      </c>
      <c r="Q67" s="2400">
        <f ca="1">L60</f>
        <v>0</v>
      </c>
      <c r="R67" s="2403" t="s">
        <v>2414</v>
      </c>
    </row>
    <row r="68" spans="1:18" ht="20.399999999999999" thickBot="1">
      <c r="A68" s="786"/>
      <c r="B68" s="787"/>
      <c r="C68" s="788"/>
      <c r="D68" s="821" t="s">
        <v>1807</v>
      </c>
      <c r="E68" s="784" t="s">
        <v>1783</v>
      </c>
      <c r="F68" s="822">
        <f ca="1">F41</f>
        <v>33.07</v>
      </c>
      <c r="O68" s="2401" t="s">
        <v>2383</v>
      </c>
      <c r="P68" s="2399" t="s">
        <v>2413</v>
      </c>
      <c r="Q68" s="2405">
        <f ca="1">L51</f>
        <v>3486</v>
      </c>
      <c r="R68" s="2406" t="s">
        <v>2416</v>
      </c>
    </row>
    <row r="69" spans="1:18" ht="19.2" thickBot="1">
      <c r="A69" s="790"/>
      <c r="B69" s="791"/>
      <c r="C69" s="792"/>
      <c r="D69" s="816"/>
      <c r="E69" s="784" t="s">
        <v>709</v>
      </c>
      <c r="F69" s="2371"/>
      <c r="O69" s="2401" t="s">
        <v>2384</v>
      </c>
      <c r="P69" s="2407" t="s">
        <v>2398</v>
      </c>
      <c r="Q69" s="2400">
        <f ca="1">ROUND(Q70-Q71*Q72,0)</f>
        <v>226</v>
      </c>
      <c r="R69" s="2403"/>
    </row>
    <row r="70" spans="1:18" ht="16.2" thickBot="1">
      <c r="A70" s="823" t="s">
        <v>1786</v>
      </c>
      <c r="B70" s="824" t="s">
        <v>1809</v>
      </c>
      <c r="C70" s="825">
        <f ca="1">ROUND(C67*10000/F70,0)</f>
        <v>-1287</v>
      </c>
      <c r="D70" s="826" t="s">
        <v>1810</v>
      </c>
      <c r="E70" s="827" t="s">
        <v>1811</v>
      </c>
      <c r="F70" s="828">
        <f ca="1">F43</f>
        <v>12389.7</v>
      </c>
      <c r="O70" s="2401" t="s">
        <v>2399</v>
      </c>
      <c r="P70" s="2407" t="s">
        <v>2400</v>
      </c>
      <c r="Q70" s="2400">
        <f ca="1">C39</f>
        <v>720</v>
      </c>
      <c r="R70" s="2399" t="s">
        <v>2380</v>
      </c>
    </row>
    <row r="71" spans="1:18" ht="16.2" thickBot="1">
      <c r="O71" s="2401" t="s">
        <v>2401</v>
      </c>
      <c r="P71" s="2407" t="s">
        <v>2402</v>
      </c>
      <c r="Q71" s="2400">
        <f ca="1">C13</f>
        <v>5808</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14713</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04" t="s">
        <v>2469</v>
      </c>
      <c r="B1" s="3505"/>
      <c r="C1" s="3506"/>
      <c r="D1" s="3507">
        <f>SUM(I10,I15,I20,I21,I23)</f>
        <v>0</v>
      </c>
      <c r="E1" s="3507"/>
      <c r="F1" s="3507"/>
      <c r="G1" s="3507"/>
      <c r="H1" s="3507"/>
      <c r="I1" s="3508"/>
    </row>
    <row r="2" spans="1:9">
      <c r="A2" s="3509" t="s">
        <v>2470</v>
      </c>
      <c r="B2" s="3510" t="s">
        <v>2471</v>
      </c>
      <c r="C2" s="3510"/>
      <c r="D2" s="2507" t="s">
        <v>2472</v>
      </c>
      <c r="E2" s="2507" t="s">
        <v>2473</v>
      </c>
      <c r="F2" s="2507" t="s">
        <v>2474</v>
      </c>
      <c r="G2" s="2507" t="s">
        <v>2475</v>
      </c>
      <c r="H2" s="2507" t="s">
        <v>2476</v>
      </c>
      <c r="I2" s="2508" t="s">
        <v>2477</v>
      </c>
    </row>
    <row r="3" spans="1:9">
      <c r="A3" s="3509"/>
      <c r="B3" s="3510" t="s">
        <v>2478</v>
      </c>
      <c r="C3" s="3510"/>
      <c r="D3" s="2509"/>
      <c r="E3" s="2507"/>
      <c r="F3" s="2510"/>
      <c r="G3" s="2510"/>
      <c r="H3" s="2511"/>
      <c r="I3" s="2512">
        <f>ROUND(D3*E3*F3*G3*H3/10000,0)</f>
        <v>0</v>
      </c>
    </row>
    <row r="4" spans="1:9">
      <c r="A4" s="3509"/>
      <c r="B4" s="3510" t="s">
        <v>2479</v>
      </c>
      <c r="C4" s="3510"/>
      <c r="D4" s="2509"/>
      <c r="E4" s="2507"/>
      <c r="F4" s="2510"/>
      <c r="G4" s="2510"/>
      <c r="H4" s="2511"/>
      <c r="I4" s="2512">
        <f t="shared" ref="I4:I9" si="0">ROUND(D4*E4*F4*G4*H4/10000,0)</f>
        <v>0</v>
      </c>
    </row>
    <row r="5" spans="1:9">
      <c r="A5" s="3509"/>
      <c r="B5" s="3510" t="s">
        <v>2480</v>
      </c>
      <c r="C5" s="3510"/>
      <c r="D5" s="2509"/>
      <c r="E5" s="2507"/>
      <c r="F5" s="2510"/>
      <c r="G5" s="2510"/>
      <c r="H5" s="2511"/>
      <c r="I5" s="2512">
        <f t="shared" si="0"/>
        <v>0</v>
      </c>
    </row>
    <row r="6" spans="1:9">
      <c r="A6" s="3509"/>
      <c r="B6" s="3510" t="s">
        <v>2481</v>
      </c>
      <c r="C6" s="3510"/>
      <c r="D6" s="2509"/>
      <c r="E6" s="2507"/>
      <c r="F6" s="2510"/>
      <c r="G6" s="2510"/>
      <c r="H6" s="2511"/>
      <c r="I6" s="2512">
        <f t="shared" si="0"/>
        <v>0</v>
      </c>
    </row>
    <row r="7" spans="1:9">
      <c r="A7" s="3509"/>
      <c r="B7" s="3510" t="s">
        <v>2482</v>
      </c>
      <c r="C7" s="3510"/>
      <c r="D7" s="2509"/>
      <c r="E7" s="2507"/>
      <c r="F7" s="2510"/>
      <c r="G7" s="2510"/>
      <c r="H7" s="2511"/>
      <c r="I7" s="2512">
        <f t="shared" si="0"/>
        <v>0</v>
      </c>
    </row>
    <row r="8" spans="1:9">
      <c r="A8" s="3509"/>
      <c r="B8" s="3510" t="s">
        <v>2483</v>
      </c>
      <c r="C8" s="3510"/>
      <c r="D8" s="2509"/>
      <c r="E8" s="2507"/>
      <c r="F8" s="2510"/>
      <c r="G8" s="2510"/>
      <c r="H8" s="2511"/>
      <c r="I8" s="2512">
        <f t="shared" si="0"/>
        <v>0</v>
      </c>
    </row>
    <row r="9" spans="1:9">
      <c r="A9" s="3509"/>
      <c r="B9" s="3510" t="s">
        <v>2484</v>
      </c>
      <c r="C9" s="3510"/>
      <c r="D9" s="2509"/>
      <c r="E9" s="2507"/>
      <c r="F9" s="2510"/>
      <c r="G9" s="2510"/>
      <c r="H9" s="2511"/>
      <c r="I9" s="2512">
        <f t="shared" si="0"/>
        <v>0</v>
      </c>
    </row>
    <row r="10" spans="1:9">
      <c r="A10" s="3509"/>
      <c r="B10" s="3511" t="s">
        <v>2485</v>
      </c>
      <c r="C10" s="3511"/>
      <c r="D10" s="2513">
        <v>527</v>
      </c>
      <c r="E10" s="2513" t="e">
        <f>ROUND(D1*10000/D10/H9,0)</f>
        <v>#DIV/0!</v>
      </c>
      <c r="F10" s="2514"/>
      <c r="G10" s="2514"/>
      <c r="H10" s="2515"/>
      <c r="I10" s="2516">
        <f>SUM(I3:I9)</f>
        <v>0</v>
      </c>
    </row>
    <row r="11" spans="1:9" ht="15.6">
      <c r="A11" s="3509" t="s">
        <v>2486</v>
      </c>
      <c r="B11" s="3510" t="s">
        <v>2487</v>
      </c>
      <c r="C11" s="3510"/>
      <c r="D11" s="2509" t="s">
        <v>2488</v>
      </c>
      <c r="E11" s="2509" t="s">
        <v>2489</v>
      </c>
      <c r="F11" s="2510" t="s">
        <v>2490</v>
      </c>
      <c r="G11" s="2510" t="s">
        <v>2491</v>
      </c>
      <c r="H11" s="2517" t="s">
        <v>2492</v>
      </c>
      <c r="I11" s="2508" t="s">
        <v>2493</v>
      </c>
    </row>
    <row r="12" spans="1:9">
      <c r="A12" s="3509"/>
      <c r="B12" s="3510" t="s">
        <v>2494</v>
      </c>
      <c r="C12" s="3510"/>
      <c r="D12" s="2509"/>
      <c r="E12" s="2509"/>
      <c r="F12" s="2510"/>
      <c r="G12" s="2511"/>
      <c r="H12" s="2518"/>
      <c r="I12" s="2508">
        <f>ROUND(D12*E12*F12*G12/10000,0)</f>
        <v>0</v>
      </c>
    </row>
    <row r="13" spans="1:9">
      <c r="A13" s="3509"/>
      <c r="B13" s="3510" t="s">
        <v>2495</v>
      </c>
      <c r="C13" s="3510"/>
      <c r="D13" s="2509"/>
      <c r="E13" s="2509"/>
      <c r="F13" s="2510"/>
      <c r="G13" s="2511"/>
      <c r="H13" s="2518"/>
      <c r="I13" s="2508">
        <f>ROUND(D13*E13*F13*G13/10000,0)</f>
        <v>0</v>
      </c>
    </row>
    <row r="14" spans="1:9">
      <c r="A14" s="3509"/>
      <c r="B14" s="3510" t="s">
        <v>2496</v>
      </c>
      <c r="C14" s="3510"/>
      <c r="D14" s="2509"/>
      <c r="E14" s="2509"/>
      <c r="F14" s="2510"/>
      <c r="G14" s="2511"/>
      <c r="H14" s="2518"/>
      <c r="I14" s="2508">
        <f>ROUND(D14*E14*F14*G14/10000,0)</f>
        <v>0</v>
      </c>
    </row>
    <row r="15" spans="1:9">
      <c r="A15" s="3509"/>
      <c r="B15" s="3511" t="s">
        <v>2485</v>
      </c>
      <c r="C15" s="3511"/>
      <c r="D15" s="2513"/>
      <c r="E15" s="2513">
        <f>SUM(E12:E14)</f>
        <v>0</v>
      </c>
      <c r="F15" s="2514"/>
      <c r="G15" s="2511"/>
      <c r="H15" s="2518"/>
      <c r="I15" s="2519">
        <f>SUM(I12:I14)</f>
        <v>0</v>
      </c>
    </row>
    <row r="16" spans="1:9" ht="24">
      <c r="A16" s="3509" t="s">
        <v>2497</v>
      </c>
      <c r="B16" s="3510" t="s">
        <v>2498</v>
      </c>
      <c r="C16" s="3510"/>
      <c r="D16" s="2509" t="s">
        <v>2499</v>
      </c>
      <c r="E16" s="2520" t="s">
        <v>2500</v>
      </c>
      <c r="F16" s="2510" t="s">
        <v>2501</v>
      </c>
      <c r="G16" s="2511" t="s">
        <v>2491</v>
      </c>
      <c r="H16" s="2517" t="s">
        <v>2492</v>
      </c>
      <c r="I16" s="2508" t="s">
        <v>2493</v>
      </c>
    </row>
    <row r="17" spans="1:9" ht="15.6">
      <c r="A17" s="3509"/>
      <c r="B17" s="3510" t="s">
        <v>2502</v>
      </c>
      <c r="C17" s="3510"/>
      <c r="D17" s="2509"/>
      <c r="E17" s="2509"/>
      <c r="F17" s="2510"/>
      <c r="G17" s="2511"/>
      <c r="H17" s="2521"/>
      <c r="I17" s="2522">
        <f>ROUND(D17*E17*F17*G17/10000,0)</f>
        <v>0</v>
      </c>
    </row>
    <row r="18" spans="1:9" ht="15.6">
      <c r="A18" s="3509"/>
      <c r="B18" s="3510" t="s">
        <v>2503</v>
      </c>
      <c r="C18" s="3510"/>
      <c r="D18" s="2509"/>
      <c r="E18" s="2509"/>
      <c r="F18" s="2510"/>
      <c r="G18" s="2511"/>
      <c r="H18" s="2521"/>
      <c r="I18" s="2522">
        <f>ROUND(D18*E18*F18*G18/10000,0)</f>
        <v>0</v>
      </c>
    </row>
    <row r="19" spans="1:9" ht="15.6">
      <c r="A19" s="3509"/>
      <c r="B19" s="3510" t="s">
        <v>2504</v>
      </c>
      <c r="C19" s="3510"/>
      <c r="D19" s="2509"/>
      <c r="E19" s="2509"/>
      <c r="F19" s="2510"/>
      <c r="G19" s="2511"/>
      <c r="H19" s="2521"/>
      <c r="I19" s="2522">
        <f>ROUND(D19*E19*F19*G19/10000,0)</f>
        <v>0</v>
      </c>
    </row>
    <row r="20" spans="1:9">
      <c r="A20" s="3509"/>
      <c r="B20" s="3511" t="s">
        <v>2485</v>
      </c>
      <c r="C20" s="3511"/>
      <c r="D20" s="2513">
        <f>SUM(D17:D19)</f>
        <v>0</v>
      </c>
      <c r="E20" s="2513"/>
      <c r="F20" s="2514"/>
      <c r="G20" s="2511"/>
      <c r="H20" s="2518"/>
      <c r="I20" s="2519">
        <f>SUM(I17:I19)</f>
        <v>0</v>
      </c>
    </row>
    <row r="21" spans="1:9">
      <c r="A21" s="3509" t="s">
        <v>2505</v>
      </c>
      <c r="B21" s="3513"/>
      <c r="C21" s="3513"/>
      <c r="D21" s="3513"/>
      <c r="E21" s="3513"/>
      <c r="F21" s="3513"/>
      <c r="G21" s="3513"/>
      <c r="H21" s="2523">
        <v>0.1</v>
      </c>
      <c r="I21" s="2516">
        <f>ROUND(I10*H21,0)</f>
        <v>0</v>
      </c>
    </row>
    <row r="22" spans="1:9" ht="15.6">
      <c r="A22" s="3514" t="s">
        <v>2506</v>
      </c>
      <c r="B22" s="3515"/>
      <c r="C22" s="3516"/>
      <c r="D22" s="2524" t="s">
        <v>2507</v>
      </c>
      <c r="E22" s="2524" t="s">
        <v>2508</v>
      </c>
      <c r="F22" s="2525" t="s">
        <v>2509</v>
      </c>
      <c r="G22" s="2525" t="s">
        <v>2510</v>
      </c>
      <c r="H22" s="2517" t="s">
        <v>2511</v>
      </c>
      <c r="I22" s="2508" t="s">
        <v>2512</v>
      </c>
    </row>
    <row r="23" spans="1:9" ht="15" thickBot="1">
      <c r="A23" s="3517"/>
      <c r="B23" s="3518"/>
      <c r="C23" s="3519"/>
      <c r="D23" s="2526"/>
      <c r="E23" s="2526"/>
      <c r="F23" s="2526"/>
      <c r="G23" s="2527"/>
      <c r="H23" s="2528"/>
      <c r="I23" s="2529">
        <f>ROUND(E23*D23*F23*(1-G23)/10000,0)</f>
        <v>0</v>
      </c>
    </row>
    <row r="26" spans="1:9">
      <c r="A26" s="2530" t="s">
        <v>2513</v>
      </c>
      <c r="B26" s="2530"/>
      <c r="C26" s="2530"/>
      <c r="D26" s="2530"/>
      <c r="E26" s="3520">
        <f>C27-C30-C31-C32</f>
        <v>0</v>
      </c>
      <c r="F26" s="3520"/>
      <c r="G26" s="3520"/>
      <c r="H26" s="3042" t="s">
        <v>2840</v>
      </c>
    </row>
    <row r="27" spans="1:9">
      <c r="A27" s="2531">
        <v>1</v>
      </c>
      <c r="B27" s="2532" t="s">
        <v>2514</v>
      </c>
      <c r="C27" s="2532"/>
      <c r="D27" s="2532"/>
      <c r="E27" s="3521"/>
      <c r="F27" s="3521"/>
      <c r="G27" s="3521"/>
    </row>
    <row r="28" spans="1:9">
      <c r="A28" s="2533" t="s">
        <v>2515</v>
      </c>
      <c r="B28" s="2532" t="s">
        <v>2516</v>
      </c>
      <c r="C28" s="2532"/>
      <c r="D28" s="2532"/>
      <c r="E28" s="3521"/>
      <c r="F28" s="3521"/>
      <c r="G28" s="3521"/>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12"/>
      <c r="F32" s="3512"/>
      <c r="G32" s="3512"/>
    </row>
    <row r="33" spans="1:7" hidden="1">
      <c r="A33" s="3522" t="s">
        <v>2524</v>
      </c>
      <c r="B33" s="3523"/>
      <c r="C33" s="3523"/>
      <c r="D33" s="3524"/>
      <c r="E33" s="3520"/>
      <c r="F33" s="3520"/>
      <c r="G33" s="3520"/>
    </row>
    <row r="34" spans="1:7" hidden="1">
      <c r="A34" s="2535">
        <v>1</v>
      </c>
      <c r="B34" s="2532" t="s">
        <v>2525</v>
      </c>
      <c r="C34" s="2532"/>
      <c r="D34" s="2532"/>
      <c r="E34" s="3521"/>
      <c r="F34" s="3521"/>
      <c r="G34" s="3521"/>
    </row>
    <row r="35" spans="1:7" hidden="1">
      <c r="A35" s="2535">
        <v>2</v>
      </c>
      <c r="B35" s="2532" t="s">
        <v>2526</v>
      </c>
      <c r="C35" s="2532"/>
      <c r="D35" s="2532"/>
      <c r="E35" s="3521"/>
      <c r="F35" s="3521"/>
      <c r="G35" s="3521"/>
    </row>
    <row r="36" spans="1:7" hidden="1">
      <c r="A36" s="2535">
        <v>3</v>
      </c>
      <c r="B36" s="2532" t="s">
        <v>2527</v>
      </c>
      <c r="C36" s="2532"/>
      <c r="D36" s="2532"/>
      <c r="E36" s="3521"/>
      <c r="F36" s="3521"/>
      <c r="G36" s="3521"/>
    </row>
    <row r="37" spans="1:7" hidden="1">
      <c r="A37" s="2535">
        <v>4</v>
      </c>
      <c r="B37" s="2532" t="s">
        <v>2528</v>
      </c>
      <c r="C37" s="2532"/>
      <c r="D37" s="2532"/>
      <c r="E37" s="3521"/>
      <c r="F37" s="3521"/>
      <c r="G37" s="3521"/>
    </row>
    <row r="38" spans="1:7" hidden="1">
      <c r="A38" s="3522" t="s">
        <v>2529</v>
      </c>
      <c r="B38" s="3523"/>
      <c r="C38" s="3523"/>
      <c r="D38" s="3524"/>
      <c r="E38" s="3520"/>
      <c r="F38" s="3520"/>
      <c r="G38" s="35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61948.5</v>
      </c>
      <c r="E10" s="749">
        <f>'数据-取费表'!B31</f>
        <v>140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1437</v>
      </c>
      <c r="D12" s="758">
        <f>'数据-汇总表'!E5</f>
        <v>49558.8</v>
      </c>
      <c r="E12" s="757">
        <f>'数据-取费表'!B27</f>
        <v>290</v>
      </c>
      <c r="F12" s="755"/>
      <c r="G12" s="759"/>
    </row>
    <row r="13" spans="1:25" s="2183" customFormat="1" ht="13.5" customHeight="1">
      <c r="A13" s="2476" t="s">
        <v>2446</v>
      </c>
      <c r="B13" s="756" t="s">
        <v>611</v>
      </c>
      <c r="C13" s="757">
        <f>ROUND(D13*E13/10000,0)</f>
        <v>359</v>
      </c>
      <c r="D13" s="758">
        <f>'数据-汇总表'!E6</f>
        <v>12389.699999999997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0" t="s">
        <v>2461</v>
      </c>
      <c r="C6" s="783" t="e">
        <f ca="1">ROUND(F6*F8*F7*(1-F9)/10000,0)</f>
        <v>#N/A</v>
      </c>
      <c r="D6" s="2497" t="s">
        <v>2460</v>
      </c>
      <c r="E6" s="784" t="s">
        <v>1737</v>
      </c>
      <c r="F6" s="785" t="e">
        <f ca="1">INDIRECT("'数据-取费表'!u"&amp;$G$1)</f>
        <v>#N/A</v>
      </c>
      <c r="G6" s="1591"/>
      <c r="H6" s="2504" t="s">
        <v>1823</v>
      </c>
      <c r="I6" s="3480" t="s">
        <v>2461</v>
      </c>
      <c r="J6" s="783" t="e">
        <f ca="1">ROUND(M6*M8*M7*(1-M9)/10000,0)</f>
        <v>#N/A</v>
      </c>
      <c r="K6" s="341" t="s">
        <v>1736</v>
      </c>
      <c r="L6" s="784" t="s">
        <v>1737</v>
      </c>
      <c r="M6" s="785" t="e">
        <f ca="1">INDIRECT("'数据-取费表'!z"&amp;$G$1)</f>
        <v>#N/A</v>
      </c>
    </row>
    <row r="7" spans="1:33" ht="18" customHeight="1">
      <c r="A7" s="2500"/>
      <c r="B7" s="3481"/>
      <c r="C7" s="788"/>
      <c r="D7" s="789"/>
      <c r="E7" s="784" t="s">
        <v>1738</v>
      </c>
      <c r="F7" s="785" t="e">
        <f ca="1">IF(INDIRECT("'数据-取费表'!ah"&amp;$G$1)="",INDIRECT("'数据-取费表'!k"&amp;$G$1),INDIRECT("'数据-取费表'!ah"&amp;$G$1))</f>
        <v>#N/A</v>
      </c>
      <c r="G7" s="1591"/>
      <c r="H7" s="2489"/>
      <c r="I7" s="3481"/>
      <c r="J7" s="788"/>
      <c r="K7" s="789"/>
      <c r="L7" s="784" t="s">
        <v>1738</v>
      </c>
      <c r="M7" s="785" t="e">
        <f ca="1">F7</f>
        <v>#N/A</v>
      </c>
    </row>
    <row r="8" spans="1:33" ht="18" customHeight="1">
      <c r="A8" s="2493"/>
      <c r="B8" s="3482"/>
      <c r="C8" s="788"/>
      <c r="D8" s="789"/>
      <c r="E8" s="784" t="s">
        <v>1739</v>
      </c>
      <c r="F8" s="785" t="e">
        <f ca="1">INDIRECT("'数据-取费表'!ai"&amp;$G$1)</f>
        <v>#N/A</v>
      </c>
      <c r="G8" s="1591"/>
      <c r="H8" s="2489"/>
      <c r="I8" s="3482"/>
      <c r="J8" s="788"/>
      <c r="K8" s="789"/>
      <c r="L8" s="784" t="s">
        <v>1739</v>
      </c>
      <c r="M8" s="785" t="e">
        <f ca="1">INDIRECT("'数据-取费表'!ai"&amp;$G$1)</f>
        <v>#N/A</v>
      </c>
    </row>
    <row r="9" spans="1:33" ht="18" customHeight="1">
      <c r="A9" s="786"/>
      <c r="B9" s="3483"/>
      <c r="C9" s="788"/>
      <c r="D9" s="789"/>
      <c r="E9" s="784" t="s">
        <v>1740</v>
      </c>
      <c r="F9" s="794" t="e">
        <f ca="1">INDIRECT("'数据-取费表'!w"&amp;$G$1)</f>
        <v>#N/A</v>
      </c>
      <c r="G9" s="1591"/>
      <c r="H9" s="2505"/>
      <c r="I9" s="3482"/>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2</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2" t="s">
        <v>2962</v>
      </c>
      <c r="L53" s="3503"/>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根据《国有土地使用证》[]，估价对象（分摊）出让国有建设用地使用权面积为41299平方米。根据《建设工程规划许可证》[]、《出让合同》[]，估价对象规划建筑面积为61948.5平方米。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08" t="s">
        <v>521</v>
      </c>
      <c r="D4" s="3409"/>
      <c r="E4" s="3447" t="s">
        <v>522</v>
      </c>
      <c r="F4" s="3448"/>
      <c r="G4" s="3408" t="s">
        <v>523</v>
      </c>
      <c r="H4" s="3409"/>
      <c r="I4" s="3408" t="s">
        <v>524</v>
      </c>
      <c r="J4" s="3409"/>
      <c r="K4" s="514" t="s">
        <v>525</v>
      </c>
      <c r="L4" s="2133"/>
      <c r="M4" s="2134"/>
      <c r="N4" s="2134"/>
      <c r="O4" s="2134"/>
      <c r="P4" s="3410" t="s">
        <v>526</v>
      </c>
      <c r="Q4" s="3411"/>
      <c r="R4" s="3416" t="s">
        <v>522</v>
      </c>
      <c r="S4" s="3417"/>
      <c r="T4" s="3416" t="s">
        <v>523</v>
      </c>
      <c r="U4" s="3417"/>
      <c r="V4" s="3403" t="s">
        <v>524</v>
      </c>
      <c r="W4" s="3403"/>
      <c r="X4" s="1566"/>
      <c r="Y4" s="3416" t="s">
        <v>526</v>
      </c>
      <c r="Z4" s="3417"/>
      <c r="AA4" s="3405" t="s">
        <v>522</v>
      </c>
      <c r="AB4" s="3403" t="s">
        <v>523</v>
      </c>
      <c r="AC4" s="3405" t="s">
        <v>524</v>
      </c>
    </row>
    <row r="5" spans="1:29">
      <c r="A5" s="515"/>
      <c r="B5" s="516"/>
      <c r="C5" s="3424" t="s">
        <v>2924</v>
      </c>
      <c r="D5" s="3425"/>
      <c r="E5" s="3449" t="s">
        <v>2925</v>
      </c>
      <c r="F5" s="3450"/>
      <c r="G5" s="3424" t="s">
        <v>2926</v>
      </c>
      <c r="H5" s="3425"/>
      <c r="I5" s="3424" t="s">
        <v>2927</v>
      </c>
      <c r="J5" s="3425"/>
      <c r="K5" s="514"/>
      <c r="L5" s="2133"/>
      <c r="M5" s="2134"/>
      <c r="N5" s="2134"/>
      <c r="O5" s="2134"/>
      <c r="P5" s="3412"/>
      <c r="Q5" s="3413"/>
      <c r="R5" s="3418"/>
      <c r="S5" s="3419"/>
      <c r="T5" s="3418"/>
      <c r="U5" s="3419"/>
      <c r="V5" s="3403"/>
      <c r="W5" s="3403"/>
      <c r="X5" s="1566"/>
      <c r="Y5" s="3418"/>
      <c r="Z5" s="3419"/>
      <c r="AA5" s="3406"/>
      <c r="AB5" s="3403"/>
      <c r="AC5" s="3406"/>
    </row>
    <row r="6" spans="1:29" ht="15" thickBot="1">
      <c r="A6" s="517"/>
      <c r="B6" s="518"/>
      <c r="C6" s="3422" t="s">
        <v>2928</v>
      </c>
      <c r="D6" s="3423"/>
      <c r="E6" s="3445" t="s">
        <v>2928</v>
      </c>
      <c r="F6" s="3446"/>
      <c r="G6" s="3422" t="s">
        <v>2928</v>
      </c>
      <c r="H6" s="3423"/>
      <c r="I6" s="3422" t="s">
        <v>2928</v>
      </c>
      <c r="J6" s="3423"/>
      <c r="K6" s="514" t="s">
        <v>527</v>
      </c>
      <c r="L6" s="2133"/>
      <c r="M6" s="2134"/>
      <c r="N6" s="2134"/>
      <c r="O6" s="2134"/>
      <c r="P6" s="3414"/>
      <c r="Q6" s="3415"/>
      <c r="R6" s="3418"/>
      <c r="S6" s="3419"/>
      <c r="T6" s="3420"/>
      <c r="U6" s="3421"/>
      <c r="V6" s="3403"/>
      <c r="W6" s="3403"/>
      <c r="X6" s="1566"/>
      <c r="Y6" s="3420"/>
      <c r="Z6" s="3421"/>
      <c r="AA6" s="3407"/>
      <c r="AB6" s="3403"/>
      <c r="AC6" s="3407"/>
    </row>
    <row r="7" spans="1:29" s="1220" customFormat="1" ht="1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35" t="s">
        <v>529</v>
      </c>
      <c r="Q7" s="3437"/>
      <c r="R7" s="1567" t="s">
        <v>8</v>
      </c>
      <c r="S7" s="1568">
        <f t="shared" ref="S7:S15" si="0">F7</f>
        <v>0</v>
      </c>
      <c r="T7" s="1567" t="s">
        <v>8</v>
      </c>
      <c r="U7" s="1568">
        <f t="shared" ref="U7:U15" si="1">H7</f>
        <v>0</v>
      </c>
      <c r="V7" s="1567" t="s">
        <v>8</v>
      </c>
      <c r="W7" s="1568">
        <f t="shared" ref="W7:W15"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35" t="s">
        <v>532</v>
      </c>
      <c r="Q8" s="3436"/>
      <c r="R8" s="1567" t="s">
        <v>8</v>
      </c>
      <c r="S8" s="1568">
        <f t="shared" si="0"/>
        <v>0</v>
      </c>
      <c r="T8" s="1567" t="s">
        <v>8</v>
      </c>
      <c r="U8" s="1568">
        <f t="shared" si="1"/>
        <v>0</v>
      </c>
      <c r="V8" s="1567" t="s">
        <v>8</v>
      </c>
      <c r="W8" s="1568">
        <f t="shared" si="2"/>
        <v>0</v>
      </c>
      <c r="X8" s="1569"/>
      <c r="Y8" s="3435" t="s">
        <v>532</v>
      </c>
      <c r="Z8" s="3436"/>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02" t="s">
        <v>534</v>
      </c>
      <c r="Q9" s="1151" t="str">
        <f t="shared" ref="Q9:Q15" si="6">B9</f>
        <v>用途</v>
      </c>
      <c r="R9" s="1567" t="s">
        <v>8</v>
      </c>
      <c r="S9" s="1568">
        <f t="shared" si="0"/>
        <v>100</v>
      </c>
      <c r="T9" s="1567" t="s">
        <v>8</v>
      </c>
      <c r="U9" s="1568">
        <f t="shared" si="1"/>
        <v>100</v>
      </c>
      <c r="V9" s="1567" t="s">
        <v>8</v>
      </c>
      <c r="W9" s="1568">
        <f t="shared" si="2"/>
        <v>100</v>
      </c>
      <c r="X9" s="1569"/>
      <c r="Y9" s="3348"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02"/>
      <c r="Q11" s="1151" t="str">
        <f t="shared" si="6"/>
        <v>容积率</v>
      </c>
      <c r="R11" s="1567" t="s">
        <v>8</v>
      </c>
      <c r="S11" s="1568" t="e">
        <f t="shared" si="0"/>
        <v>#N/A</v>
      </c>
      <c r="T11" s="1567" t="s">
        <v>8</v>
      </c>
      <c r="U11" s="1568" t="e">
        <f t="shared" si="1"/>
        <v>#N/A</v>
      </c>
      <c r="V11" s="1567" t="s">
        <v>8</v>
      </c>
      <c r="W11" s="1568" t="e">
        <f t="shared" si="2"/>
        <v>#N/A</v>
      </c>
      <c r="X11" s="1569"/>
      <c r="Y11" s="3348"/>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2"/>
      <c r="Q14" s="1151">
        <f t="shared" si="6"/>
        <v>111</v>
      </c>
      <c r="R14" s="1567" t="s">
        <v>8</v>
      </c>
      <c r="S14" s="1568">
        <f t="shared" si="0"/>
        <v>100</v>
      </c>
      <c r="T14" s="1567" t="s">
        <v>8</v>
      </c>
      <c r="U14" s="1568">
        <f t="shared" si="1"/>
        <v>100</v>
      </c>
      <c r="V14" s="1567" t="s">
        <v>8</v>
      </c>
      <c r="W14" s="1568">
        <f t="shared" si="2"/>
        <v>100</v>
      </c>
      <c r="X14" s="1569"/>
      <c r="Y14" s="3348"/>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38" t="s">
        <v>539</v>
      </c>
      <c r="Q15" s="1571" t="str">
        <f t="shared" si="6"/>
        <v>商业繁华度</v>
      </c>
      <c r="R15" s="1572" t="s">
        <v>8</v>
      </c>
      <c r="S15" s="1573">
        <f t="shared" si="0"/>
        <v>100</v>
      </c>
      <c r="T15" s="1572" t="s">
        <v>8</v>
      </c>
      <c r="U15" s="1573">
        <f t="shared" si="1"/>
        <v>100</v>
      </c>
      <c r="V15" s="1572" t="s">
        <v>8</v>
      </c>
      <c r="W15" s="1573">
        <f t="shared" si="2"/>
        <v>100</v>
      </c>
      <c r="X15" s="1566"/>
      <c r="Y15" s="3438"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9"/>
      <c r="Q16" s="1571"/>
      <c r="R16" s="1572"/>
      <c r="S16" s="1573"/>
      <c r="T16" s="1572"/>
      <c r="U16" s="1573"/>
      <c r="V16" s="1572"/>
      <c r="W16" s="1573"/>
      <c r="X16" s="1566"/>
      <c r="Y16" s="3439"/>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39"/>
      <c r="Q17" s="1571" t="str">
        <f>B17</f>
        <v>交通便捷度</v>
      </c>
      <c r="R17" s="1572" t="s">
        <v>8</v>
      </c>
      <c r="S17" s="1573">
        <f>F17</f>
        <v>100</v>
      </c>
      <c r="T17" s="1572" t="s">
        <v>8</v>
      </c>
      <c r="U17" s="1573">
        <f>H17</f>
        <v>100</v>
      </c>
      <c r="V17" s="1572" t="s">
        <v>8</v>
      </c>
      <c r="W17" s="1573">
        <f>J17</f>
        <v>100</v>
      </c>
      <c r="X17" s="1566"/>
      <c r="Y17" s="343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9"/>
      <c r="Q18" s="1571"/>
      <c r="R18" s="1572"/>
      <c r="S18" s="1573"/>
      <c r="T18" s="1572"/>
      <c r="U18" s="1573"/>
      <c r="V18" s="1572"/>
      <c r="W18" s="1573"/>
      <c r="X18" s="1566"/>
      <c r="Y18" s="3439"/>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39"/>
      <c r="Q19" s="1571" t="str">
        <f>B19</f>
        <v>公共配套设施</v>
      </c>
      <c r="R19" s="1572" t="s">
        <v>8</v>
      </c>
      <c r="S19" s="1573">
        <f>F19</f>
        <v>100</v>
      </c>
      <c r="T19" s="1572" t="s">
        <v>8</v>
      </c>
      <c r="U19" s="1573">
        <f>H19</f>
        <v>100</v>
      </c>
      <c r="V19" s="1572" t="s">
        <v>8</v>
      </c>
      <c r="W19" s="1573">
        <f>J19</f>
        <v>100</v>
      </c>
      <c r="X19" s="1566"/>
      <c r="Y19" s="343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39"/>
      <c r="Q20" s="1571"/>
      <c r="R20" s="1572"/>
      <c r="S20" s="1573"/>
      <c r="T20" s="1572"/>
      <c r="U20" s="1573"/>
      <c r="V20" s="1572"/>
      <c r="W20" s="1573"/>
      <c r="X20" s="1566"/>
      <c r="Y20" s="3439"/>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39"/>
      <c r="Q21" s="2579" t="str">
        <f>B21</f>
        <v>基础设施水平</v>
      </c>
      <c r="R21" s="1572" t="s">
        <v>8</v>
      </c>
      <c r="S21" s="1573">
        <f>F21</f>
        <v>100</v>
      </c>
      <c r="T21" s="1572" t="s">
        <v>8</v>
      </c>
      <c r="U21" s="1573">
        <f>H21</f>
        <v>100</v>
      </c>
      <c r="V21" s="1572" t="s">
        <v>8</v>
      </c>
      <c r="W21" s="1573">
        <f>J21</f>
        <v>100</v>
      </c>
      <c r="X21" s="2581"/>
      <c r="Y21" s="3439"/>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39"/>
      <c r="Q22" s="2579"/>
      <c r="R22" s="1572"/>
      <c r="S22" s="1573"/>
      <c r="T22" s="1572"/>
      <c r="U22" s="1573"/>
      <c r="V22" s="1572"/>
      <c r="W22" s="1573"/>
      <c r="X22" s="2581"/>
      <c r="Y22" s="3439"/>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39"/>
      <c r="Q23" s="1571" t="str">
        <f>B23</f>
        <v>自然及人文环境</v>
      </c>
      <c r="R23" s="1572" t="s">
        <v>8</v>
      </c>
      <c r="S23" s="1573">
        <f>F23</f>
        <v>100</v>
      </c>
      <c r="T23" s="1572" t="s">
        <v>8</v>
      </c>
      <c r="U23" s="1573">
        <f>H23</f>
        <v>100</v>
      </c>
      <c r="V23" s="1572" t="s">
        <v>8</v>
      </c>
      <c r="W23" s="1573">
        <f>J23</f>
        <v>100</v>
      </c>
      <c r="X23" s="1566"/>
      <c r="Y23" s="343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39"/>
      <c r="Q24" s="1571"/>
      <c r="R24" s="1572"/>
      <c r="S24" s="1573"/>
      <c r="T24" s="1572"/>
      <c r="U24" s="1573"/>
      <c r="V24" s="1572"/>
      <c r="W24" s="1573"/>
      <c r="X24" s="1566"/>
      <c r="Y24" s="3439"/>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9"/>
      <c r="Q25" s="1571" t="str">
        <f t="shared" ref="Q25:Q46" si="11">B25</f>
        <v>临街状况</v>
      </c>
      <c r="R25" s="1572" t="s">
        <v>8</v>
      </c>
      <c r="S25" s="1573">
        <f>F25</f>
        <v>100</v>
      </c>
      <c r="T25" s="1572" t="s">
        <v>8</v>
      </c>
      <c r="U25" s="1573">
        <f>H25</f>
        <v>100</v>
      </c>
      <c r="V25" s="1572" t="s">
        <v>8</v>
      </c>
      <c r="W25" s="1573">
        <f>J25</f>
        <v>100</v>
      </c>
      <c r="X25" s="1566"/>
      <c r="Y25" s="3439"/>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39"/>
      <c r="Q26" s="1571" t="str">
        <f t="shared" si="11"/>
        <v>平面位置/可视性</v>
      </c>
      <c r="R26" s="1572" t="s">
        <v>8</v>
      </c>
      <c r="S26" s="1573">
        <f>F26</f>
        <v>100</v>
      </c>
      <c r="T26" s="1572" t="s">
        <v>8</v>
      </c>
      <c r="U26" s="1573">
        <f>H26</f>
        <v>100</v>
      </c>
      <c r="V26" s="1572" t="s">
        <v>8</v>
      </c>
      <c r="W26" s="1573">
        <f>J26</f>
        <v>100</v>
      </c>
      <c r="X26" s="1566"/>
      <c r="Y26" s="3439"/>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39"/>
      <c r="Q27" s="1151" t="str">
        <f t="shared" si="11"/>
        <v>人流量</v>
      </c>
      <c r="R27" s="1567" t="s">
        <v>8</v>
      </c>
      <c r="S27" s="1568">
        <f>F27</f>
        <v>100</v>
      </c>
      <c r="T27" s="1567" t="s">
        <v>8</v>
      </c>
      <c r="U27" s="1568">
        <f>H27</f>
        <v>100</v>
      </c>
      <c r="V27" s="1567" t="s">
        <v>8</v>
      </c>
      <c r="W27" s="1568">
        <f>J27</f>
        <v>100</v>
      </c>
      <c r="X27" s="1569"/>
      <c r="Y27" s="3439"/>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3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9"/>
      <c r="Q29" s="1571">
        <f t="shared" si="11"/>
        <v>111</v>
      </c>
      <c r="R29" s="1572" t="s">
        <v>8</v>
      </c>
      <c r="S29" s="1573">
        <f t="shared" si="12"/>
        <v>100</v>
      </c>
      <c r="T29" s="1572" t="s">
        <v>8</v>
      </c>
      <c r="U29" s="1573">
        <f t="shared" si="13"/>
        <v>100</v>
      </c>
      <c r="V29" s="1572" t="s">
        <v>8</v>
      </c>
      <c r="W29" s="1573">
        <f t="shared" si="14"/>
        <v>100</v>
      </c>
      <c r="X29" s="1566"/>
      <c r="Y29" s="343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9"/>
      <c r="Q30" s="1571">
        <f t="shared" si="11"/>
        <v>111</v>
      </c>
      <c r="R30" s="1572" t="s">
        <v>8</v>
      </c>
      <c r="S30" s="1573">
        <f t="shared" si="12"/>
        <v>100</v>
      </c>
      <c r="T30" s="1572" t="s">
        <v>8</v>
      </c>
      <c r="U30" s="1573">
        <f t="shared" si="13"/>
        <v>100</v>
      </c>
      <c r="V30" s="1572" t="s">
        <v>8</v>
      </c>
      <c r="W30" s="1573">
        <f t="shared" si="14"/>
        <v>100</v>
      </c>
      <c r="X30" s="1566"/>
      <c r="Y30" s="3439"/>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39"/>
      <c r="Q31" s="1571">
        <f t="shared" si="11"/>
        <v>111</v>
      </c>
      <c r="R31" s="1572" t="s">
        <v>8</v>
      </c>
      <c r="S31" s="1573">
        <f t="shared" si="12"/>
        <v>100</v>
      </c>
      <c r="T31" s="1572" t="s">
        <v>8</v>
      </c>
      <c r="U31" s="1573">
        <f t="shared" si="13"/>
        <v>100</v>
      </c>
      <c r="V31" s="1572" t="s">
        <v>8</v>
      </c>
      <c r="W31" s="1573">
        <f t="shared" si="14"/>
        <v>100</v>
      </c>
      <c r="X31" s="1566"/>
      <c r="Y31" s="3439"/>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40" t="s">
        <v>549</v>
      </c>
      <c r="Q32" s="1571" t="str">
        <f t="shared" si="11"/>
        <v>商业类型</v>
      </c>
      <c r="R32" s="1572" t="s">
        <v>8</v>
      </c>
      <c r="S32" s="1573">
        <f t="shared" si="12"/>
        <v>100</v>
      </c>
      <c r="T32" s="1572" t="s">
        <v>8</v>
      </c>
      <c r="U32" s="1573">
        <f t="shared" si="13"/>
        <v>100</v>
      </c>
      <c r="V32" s="1572" t="s">
        <v>8</v>
      </c>
      <c r="W32" s="1573">
        <f t="shared" si="14"/>
        <v>100</v>
      </c>
      <c r="X32" s="1566"/>
      <c r="Y32" s="3441"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41"/>
      <c r="Q33" s="1604" t="str">
        <f t="shared" si="11"/>
        <v>项目建筑规模</v>
      </c>
      <c r="R33" s="1576" t="s">
        <v>8</v>
      </c>
      <c r="S33" s="1577" t="e">
        <f t="shared" si="12"/>
        <v>#N/A</v>
      </c>
      <c r="T33" s="1576" t="s">
        <v>8</v>
      </c>
      <c r="U33" s="1577" t="e">
        <f t="shared" si="13"/>
        <v>#N/A</v>
      </c>
      <c r="V33" s="1576" t="s">
        <v>8</v>
      </c>
      <c r="W33" s="1577" t="e">
        <f t="shared" si="14"/>
        <v>#N/A</v>
      </c>
      <c r="X33" s="1578"/>
      <c r="Y33" s="3441"/>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41"/>
      <c r="Q34" s="1571" t="str">
        <f t="shared" si="11"/>
        <v>建筑结构</v>
      </c>
      <c r="R34" s="1572" t="s">
        <v>8</v>
      </c>
      <c r="S34" s="1573">
        <f t="shared" si="12"/>
        <v>100</v>
      </c>
      <c r="T34" s="1572" t="s">
        <v>8</v>
      </c>
      <c r="U34" s="1573">
        <f t="shared" si="13"/>
        <v>100</v>
      </c>
      <c r="V34" s="1572" t="s">
        <v>8</v>
      </c>
      <c r="W34" s="1573">
        <f t="shared" si="14"/>
        <v>100</v>
      </c>
      <c r="X34" s="1566"/>
      <c r="Y34" s="3441"/>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41"/>
      <c r="Q35" s="1571" t="str">
        <f t="shared" si="11"/>
        <v>公共部分装修</v>
      </c>
      <c r="R35" s="1572" t="s">
        <v>8</v>
      </c>
      <c r="S35" s="1573">
        <f t="shared" si="12"/>
        <v>100</v>
      </c>
      <c r="T35" s="1572" t="s">
        <v>8</v>
      </c>
      <c r="U35" s="1573">
        <f t="shared" si="13"/>
        <v>100</v>
      </c>
      <c r="V35" s="1572" t="s">
        <v>8</v>
      </c>
      <c r="W35" s="1573">
        <f t="shared" si="14"/>
        <v>100</v>
      </c>
      <c r="X35" s="1566"/>
      <c r="Y35" s="3441"/>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41"/>
      <c r="Q36" s="1571" t="str">
        <f t="shared" si="11"/>
        <v>成新度</v>
      </c>
      <c r="R36" s="1572" t="s">
        <v>8</v>
      </c>
      <c r="S36" s="1573" t="e">
        <f t="shared" si="12"/>
        <v>#N/A</v>
      </c>
      <c r="T36" s="1572" t="s">
        <v>8</v>
      </c>
      <c r="U36" s="1573" t="e">
        <f t="shared" si="13"/>
        <v>#N/A</v>
      </c>
      <c r="V36" s="1572" t="s">
        <v>8</v>
      </c>
      <c r="W36" s="1573" t="e">
        <f t="shared" si="14"/>
        <v>#N/A</v>
      </c>
      <c r="X36" s="1566"/>
      <c r="Y36" s="3441"/>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41"/>
      <c r="Q37" s="1151" t="str">
        <f t="shared" si="11"/>
        <v>市政基础设施</v>
      </c>
      <c r="R37" s="1567" t="s">
        <v>8</v>
      </c>
      <c r="S37" s="1568">
        <f t="shared" si="12"/>
        <v>100</v>
      </c>
      <c r="T37" s="1567" t="s">
        <v>8</v>
      </c>
      <c r="U37" s="1568">
        <f t="shared" si="13"/>
        <v>100</v>
      </c>
      <c r="V37" s="1567" t="s">
        <v>8</v>
      </c>
      <c r="W37" s="1568">
        <f t="shared" si="14"/>
        <v>100</v>
      </c>
      <c r="X37" s="1569"/>
      <c r="Y37" s="3441"/>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41" t="s">
        <v>765</v>
      </c>
      <c r="Q38" s="1571" t="str">
        <f t="shared" si="11"/>
        <v>业态</v>
      </c>
      <c r="R38" s="1572" t="s">
        <v>8</v>
      </c>
      <c r="S38" s="1573">
        <f t="shared" si="12"/>
        <v>100</v>
      </c>
      <c r="T38" s="1572" t="s">
        <v>8</v>
      </c>
      <c r="U38" s="1573">
        <f t="shared" si="13"/>
        <v>100</v>
      </c>
      <c r="V38" s="1572" t="s">
        <v>8</v>
      </c>
      <c r="W38" s="1573">
        <f t="shared" si="14"/>
        <v>100</v>
      </c>
      <c r="X38" s="1566"/>
      <c r="Y38" s="3441"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1"/>
      <c r="Q39" s="1571" t="str">
        <f t="shared" si="11"/>
        <v>层高</v>
      </c>
      <c r="R39" s="1572" t="s">
        <v>8</v>
      </c>
      <c r="S39" s="1573">
        <f t="shared" si="12"/>
        <v>100</v>
      </c>
      <c r="T39" s="1572" t="s">
        <v>8</v>
      </c>
      <c r="U39" s="1573">
        <f t="shared" si="13"/>
        <v>100</v>
      </c>
      <c r="V39" s="1572" t="s">
        <v>8</v>
      </c>
      <c r="W39" s="1573">
        <f t="shared" si="14"/>
        <v>100</v>
      </c>
      <c r="X39" s="1566"/>
      <c r="Y39" s="3441"/>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41"/>
      <c r="Q40" s="1571" t="str">
        <f t="shared" si="11"/>
        <v>单套建筑面积</v>
      </c>
      <c r="R40" s="1572" t="s">
        <v>8</v>
      </c>
      <c r="S40" s="1573">
        <f t="shared" si="12"/>
        <v>100</v>
      </c>
      <c r="T40" s="1572" t="s">
        <v>8</v>
      </c>
      <c r="U40" s="1573">
        <f t="shared" si="13"/>
        <v>100</v>
      </c>
      <c r="V40" s="1572" t="s">
        <v>8</v>
      </c>
      <c r="W40" s="1573">
        <f t="shared" si="14"/>
        <v>100</v>
      </c>
      <c r="X40" s="1566"/>
      <c r="Y40" s="3441"/>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41"/>
      <c r="Q41" s="1604" t="str">
        <f t="shared" si="11"/>
        <v>进深比</v>
      </c>
      <c r="R41" s="1576" t="s">
        <v>8</v>
      </c>
      <c r="S41" s="1577">
        <f t="shared" si="12"/>
        <v>100</v>
      </c>
      <c r="T41" s="1576" t="s">
        <v>8</v>
      </c>
      <c r="U41" s="1577">
        <f t="shared" si="13"/>
        <v>100</v>
      </c>
      <c r="V41" s="1576" t="s">
        <v>8</v>
      </c>
      <c r="W41" s="1577">
        <f t="shared" si="14"/>
        <v>100</v>
      </c>
      <c r="X41" s="1578"/>
      <c r="Y41" s="3441"/>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41"/>
      <c r="Q42" s="1571" t="str">
        <f t="shared" si="11"/>
        <v>内部装修</v>
      </c>
      <c r="R42" s="1572" t="s">
        <v>8</v>
      </c>
      <c r="S42" s="1573">
        <f t="shared" si="12"/>
        <v>100</v>
      </c>
      <c r="T42" s="1572" t="s">
        <v>8</v>
      </c>
      <c r="U42" s="1573">
        <f t="shared" si="13"/>
        <v>100</v>
      </c>
      <c r="V42" s="1572" t="s">
        <v>8</v>
      </c>
      <c r="W42" s="1573">
        <f t="shared" si="14"/>
        <v>100</v>
      </c>
      <c r="X42" s="1566"/>
      <c r="Y42" s="3441"/>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41"/>
      <c r="Q43" s="1571" t="str">
        <f t="shared" si="11"/>
        <v>内部装修维护情况</v>
      </c>
      <c r="R43" s="1572" t="s">
        <v>8</v>
      </c>
      <c r="S43" s="1573">
        <f t="shared" si="12"/>
        <v>100</v>
      </c>
      <c r="T43" s="1572" t="s">
        <v>8</v>
      </c>
      <c r="U43" s="1573">
        <f t="shared" si="13"/>
        <v>100</v>
      </c>
      <c r="V43" s="1572" t="s">
        <v>8</v>
      </c>
      <c r="W43" s="1573">
        <f t="shared" si="14"/>
        <v>100</v>
      </c>
      <c r="X43" s="1566"/>
      <c r="Y43" s="3441"/>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41"/>
      <c r="Q44" s="1151">
        <f t="shared" si="11"/>
        <v>111</v>
      </c>
      <c r="R44" s="1567" t="s">
        <v>8</v>
      </c>
      <c r="S44" s="1568">
        <f t="shared" si="12"/>
        <v>100</v>
      </c>
      <c r="T44" s="1567" t="s">
        <v>8</v>
      </c>
      <c r="U44" s="1568">
        <f t="shared" si="13"/>
        <v>100</v>
      </c>
      <c r="V44" s="1567" t="s">
        <v>8</v>
      </c>
      <c r="W44" s="1568">
        <f t="shared" si="14"/>
        <v>100</v>
      </c>
      <c r="X44" s="1569"/>
      <c r="Y44" s="3441"/>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41"/>
      <c r="Q45" s="1571">
        <f t="shared" si="11"/>
        <v>111</v>
      </c>
      <c r="R45" s="1572" t="s">
        <v>8</v>
      </c>
      <c r="S45" s="1573">
        <f t="shared" si="12"/>
        <v>100</v>
      </c>
      <c r="T45" s="1572" t="s">
        <v>8</v>
      </c>
      <c r="U45" s="1573">
        <f t="shared" si="13"/>
        <v>100</v>
      </c>
      <c r="V45" s="1572" t="s">
        <v>8</v>
      </c>
      <c r="W45" s="1573">
        <f t="shared" si="14"/>
        <v>100</v>
      </c>
      <c r="X45" s="1566"/>
      <c r="Y45" s="3441"/>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8"/>
      <c r="Q46" s="1571">
        <f t="shared" si="11"/>
        <v>111</v>
      </c>
      <c r="R46" s="1572" t="s">
        <v>8</v>
      </c>
      <c r="S46" s="1573">
        <f t="shared" si="12"/>
        <v>100</v>
      </c>
      <c r="T46" s="1572" t="s">
        <v>8</v>
      </c>
      <c r="U46" s="1573">
        <f t="shared" si="13"/>
        <v>100</v>
      </c>
      <c r="V46" s="1572" t="s">
        <v>8</v>
      </c>
      <c r="W46" s="1573">
        <f t="shared" si="14"/>
        <v>100</v>
      </c>
      <c r="X46" s="1566"/>
      <c r="Y46" s="3498"/>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02" t="str">
        <f>A47</f>
        <v>成交单价（元/平方米）</v>
      </c>
      <c r="Q47" s="3402"/>
      <c r="R47" s="3496">
        <f>E47</f>
        <v>0</v>
      </c>
      <c r="S47" s="3496"/>
      <c r="T47" s="3496">
        <f>G47</f>
        <v>0</v>
      </c>
      <c r="U47" s="3496"/>
      <c r="V47" s="3496">
        <f>I47</f>
        <v>0</v>
      </c>
      <c r="W47" s="3496"/>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02" t="str">
        <f>A48</f>
        <v>比较价格（元/平方米）</v>
      </c>
      <c r="Q48" s="340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399" t="str">
        <f>A49</f>
        <v>估价对象XX用房的比较价格（楼面单价，元/平方米）</v>
      </c>
      <c r="Q49" s="3400"/>
      <c r="R49" s="3497" t="e">
        <f>IF(F1="售价",ROUND(AVERAGE(R48:V48),0),ROUND(AVERAGE(R48:V48),1))</f>
        <v>#DIV/0!</v>
      </c>
      <c r="S49" s="3497"/>
      <c r="T49" s="3497"/>
      <c r="U49" s="3497"/>
      <c r="V49" s="3497"/>
      <c r="W49" s="349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08" t="s">
        <v>521</v>
      </c>
      <c r="D4" s="3409"/>
      <c r="E4" s="3447" t="s">
        <v>522</v>
      </c>
      <c r="F4" s="3448"/>
      <c r="G4" s="3408" t="s">
        <v>523</v>
      </c>
      <c r="H4" s="3409"/>
      <c r="I4" s="3408" t="s">
        <v>524</v>
      </c>
      <c r="J4" s="3409"/>
      <c r="K4" s="514" t="s">
        <v>525</v>
      </c>
      <c r="L4" s="2133"/>
      <c r="M4" s="2134"/>
      <c r="N4" s="2134"/>
      <c r="O4" s="2134"/>
      <c r="P4" s="3526" t="s">
        <v>526</v>
      </c>
      <c r="Q4" s="3411"/>
      <c r="R4" s="3416" t="s">
        <v>522</v>
      </c>
      <c r="S4" s="3417"/>
      <c r="T4" s="3416" t="s">
        <v>523</v>
      </c>
      <c r="U4" s="3417"/>
      <c r="V4" s="3403" t="s">
        <v>524</v>
      </c>
      <c r="W4" s="3403"/>
      <c r="X4" s="1566"/>
      <c r="Y4" s="3416" t="s">
        <v>526</v>
      </c>
      <c r="Z4" s="3417"/>
      <c r="AA4" s="3405" t="s">
        <v>522</v>
      </c>
      <c r="AB4" s="3405" t="s">
        <v>523</v>
      </c>
      <c r="AC4" s="3405" t="s">
        <v>524</v>
      </c>
    </row>
    <row r="5" spans="1:29">
      <c r="A5" s="515"/>
      <c r="B5" s="516"/>
      <c r="C5" s="3424" t="s">
        <v>2924</v>
      </c>
      <c r="D5" s="3425"/>
      <c r="E5" s="3449" t="s">
        <v>2925</v>
      </c>
      <c r="F5" s="3450"/>
      <c r="G5" s="3424" t="s">
        <v>2926</v>
      </c>
      <c r="H5" s="3425"/>
      <c r="I5" s="3424" t="s">
        <v>2927</v>
      </c>
      <c r="J5" s="3425"/>
      <c r="K5" s="514"/>
      <c r="L5" s="2133"/>
      <c r="M5" s="2134"/>
      <c r="N5" s="2134"/>
      <c r="O5" s="2134"/>
      <c r="P5" s="3527"/>
      <c r="Q5" s="3413"/>
      <c r="R5" s="3418"/>
      <c r="S5" s="3419"/>
      <c r="T5" s="3418"/>
      <c r="U5" s="3419"/>
      <c r="V5" s="3403"/>
      <c r="W5" s="3403"/>
      <c r="X5" s="1566"/>
      <c r="Y5" s="3418"/>
      <c r="Z5" s="3419"/>
      <c r="AA5" s="3406"/>
      <c r="AB5" s="3406"/>
      <c r="AC5" s="3406"/>
    </row>
    <row r="6" spans="1:29" ht="15" thickBot="1">
      <c r="A6" s="517"/>
      <c r="B6" s="518"/>
      <c r="C6" s="3422" t="s">
        <v>2928</v>
      </c>
      <c r="D6" s="3423"/>
      <c r="E6" s="3445" t="s">
        <v>2928</v>
      </c>
      <c r="F6" s="3446"/>
      <c r="G6" s="3422" t="s">
        <v>2928</v>
      </c>
      <c r="H6" s="3423"/>
      <c r="I6" s="3422" t="s">
        <v>2928</v>
      </c>
      <c r="J6" s="3423"/>
      <c r="K6" s="514" t="s">
        <v>527</v>
      </c>
      <c r="L6" s="2133"/>
      <c r="M6" s="2134"/>
      <c r="N6" s="2134"/>
      <c r="O6" s="2134"/>
      <c r="P6" s="3528"/>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37" t="s">
        <v>529</v>
      </c>
      <c r="Q7" s="3437"/>
      <c r="R7" s="1567" t="s">
        <v>8</v>
      </c>
      <c r="S7" s="1568">
        <f t="shared" ref="S7:S15" si="0">F7</f>
        <v>0</v>
      </c>
      <c r="T7" s="1567" t="s">
        <v>8</v>
      </c>
      <c r="U7" s="1568">
        <f t="shared" ref="U7:U15" si="1">H7</f>
        <v>0</v>
      </c>
      <c r="V7" s="1567" t="s">
        <v>8</v>
      </c>
      <c r="W7" s="1568">
        <f t="shared" ref="W7:W15"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37" t="s">
        <v>532</v>
      </c>
      <c r="Q8" s="3436"/>
      <c r="R8" s="1567" t="s">
        <v>8</v>
      </c>
      <c r="S8" s="1568">
        <f t="shared" si="0"/>
        <v>0</v>
      </c>
      <c r="T8" s="1567" t="s">
        <v>8</v>
      </c>
      <c r="U8" s="1568">
        <f t="shared" si="1"/>
        <v>0</v>
      </c>
      <c r="V8" s="1567" t="s">
        <v>8</v>
      </c>
      <c r="W8" s="1568">
        <f t="shared" si="2"/>
        <v>0</v>
      </c>
      <c r="X8" s="1569"/>
      <c r="Y8" s="3435" t="s">
        <v>532</v>
      </c>
      <c r="Z8" s="3436"/>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2" t="s">
        <v>534</v>
      </c>
      <c r="Q9" s="1151" t="str">
        <f t="shared" ref="Q9:Q15" si="6">B9</f>
        <v>用途</v>
      </c>
      <c r="R9" s="1567" t="s">
        <v>8</v>
      </c>
      <c r="S9" s="1568">
        <f t="shared" si="0"/>
        <v>100</v>
      </c>
      <c r="T9" s="1567" t="s">
        <v>8</v>
      </c>
      <c r="U9" s="1568">
        <f t="shared" si="1"/>
        <v>100</v>
      </c>
      <c r="V9" s="1567" t="s">
        <v>8</v>
      </c>
      <c r="W9" s="1568">
        <f t="shared" si="2"/>
        <v>100</v>
      </c>
      <c r="X9" s="1569"/>
      <c r="Y9" s="3348"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2"/>
      <c r="Q11" s="1151" t="str">
        <f t="shared" si="6"/>
        <v>容积率</v>
      </c>
      <c r="R11" s="1567" t="s">
        <v>8</v>
      </c>
      <c r="S11" s="1568" t="e">
        <f t="shared" si="0"/>
        <v>#N/A</v>
      </c>
      <c r="T11" s="1567" t="s">
        <v>8</v>
      </c>
      <c r="U11" s="1568" t="e">
        <f t="shared" si="1"/>
        <v>#N/A</v>
      </c>
      <c r="V11" s="1567" t="s">
        <v>8</v>
      </c>
      <c r="W11" s="1568" t="e">
        <f t="shared" si="2"/>
        <v>#N/A</v>
      </c>
      <c r="X11" s="1569"/>
      <c r="Y11" s="3348"/>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2"/>
      <c r="Q14" s="1151">
        <f t="shared" si="6"/>
        <v>111</v>
      </c>
      <c r="R14" s="1567" t="s">
        <v>8</v>
      </c>
      <c r="S14" s="1568">
        <f t="shared" si="0"/>
        <v>100</v>
      </c>
      <c r="T14" s="1567" t="s">
        <v>8</v>
      </c>
      <c r="U14" s="1568">
        <f t="shared" si="1"/>
        <v>100</v>
      </c>
      <c r="V14" s="1567" t="s">
        <v>8</v>
      </c>
      <c r="W14" s="1568">
        <f t="shared" si="2"/>
        <v>100</v>
      </c>
      <c r="X14" s="1569"/>
      <c r="Y14" s="3348"/>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38" t="s">
        <v>539</v>
      </c>
      <c r="Q15" s="1571" t="str">
        <f t="shared" si="6"/>
        <v>办公集聚程度</v>
      </c>
      <c r="R15" s="1572" t="s">
        <v>8</v>
      </c>
      <c r="S15" s="1573">
        <f t="shared" si="0"/>
        <v>100</v>
      </c>
      <c r="T15" s="1572" t="s">
        <v>8</v>
      </c>
      <c r="U15" s="1573">
        <f t="shared" si="1"/>
        <v>100</v>
      </c>
      <c r="V15" s="1572" t="s">
        <v>8</v>
      </c>
      <c r="W15" s="1573">
        <f t="shared" si="2"/>
        <v>100</v>
      </c>
      <c r="X15" s="1566"/>
      <c r="Y15" s="3438"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39"/>
      <c r="Q16" s="1571"/>
      <c r="R16" s="1572"/>
      <c r="S16" s="1573"/>
      <c r="T16" s="1572"/>
      <c r="U16" s="1573"/>
      <c r="V16" s="1572"/>
      <c r="W16" s="1573"/>
      <c r="X16" s="1566"/>
      <c r="Y16" s="3439"/>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39"/>
      <c r="Q17" s="1571" t="str">
        <f>B17</f>
        <v>交通便捷度</v>
      </c>
      <c r="R17" s="1572" t="s">
        <v>8</v>
      </c>
      <c r="S17" s="1573">
        <f>F17</f>
        <v>100</v>
      </c>
      <c r="T17" s="1572" t="s">
        <v>8</v>
      </c>
      <c r="U17" s="1573">
        <f>H17</f>
        <v>100</v>
      </c>
      <c r="V17" s="1572" t="s">
        <v>8</v>
      </c>
      <c r="W17" s="1573">
        <f>J17</f>
        <v>100</v>
      </c>
      <c r="X17" s="1566"/>
      <c r="Y17" s="343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39"/>
      <c r="Q18" s="1571"/>
      <c r="R18" s="1572"/>
      <c r="S18" s="1573"/>
      <c r="T18" s="1572"/>
      <c r="U18" s="1573"/>
      <c r="V18" s="1572"/>
      <c r="W18" s="1573"/>
      <c r="X18" s="1566"/>
      <c r="Y18" s="3439"/>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39"/>
      <c r="Q19" s="1571" t="str">
        <f>B19</f>
        <v>公共配套设施</v>
      </c>
      <c r="R19" s="1572" t="s">
        <v>8</v>
      </c>
      <c r="S19" s="1573">
        <f>F19</f>
        <v>100</v>
      </c>
      <c r="T19" s="1572" t="s">
        <v>8</v>
      </c>
      <c r="U19" s="1573">
        <f>H19</f>
        <v>100</v>
      </c>
      <c r="V19" s="1572" t="s">
        <v>8</v>
      </c>
      <c r="W19" s="1573">
        <f>J19</f>
        <v>100</v>
      </c>
      <c r="X19" s="1566"/>
      <c r="Y19" s="343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39"/>
      <c r="Q20" s="1571"/>
      <c r="R20" s="1572"/>
      <c r="S20" s="1573"/>
      <c r="T20" s="1572"/>
      <c r="U20" s="1573"/>
      <c r="V20" s="1572"/>
      <c r="W20" s="1573"/>
      <c r="X20" s="1566"/>
      <c r="Y20" s="3439"/>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39"/>
      <c r="Q21" s="2579" t="str">
        <f>B21</f>
        <v>基础设施水平</v>
      </c>
      <c r="R21" s="1572" t="s">
        <v>8</v>
      </c>
      <c r="S21" s="1573">
        <f>F21</f>
        <v>100</v>
      </c>
      <c r="T21" s="1572" t="s">
        <v>8</v>
      </c>
      <c r="U21" s="1573">
        <f>H21</f>
        <v>100</v>
      </c>
      <c r="V21" s="1572" t="s">
        <v>8</v>
      </c>
      <c r="W21" s="1573">
        <f>J21</f>
        <v>100</v>
      </c>
      <c r="X21" s="2581"/>
      <c r="Y21" s="3439"/>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39"/>
      <c r="Q22" s="2579"/>
      <c r="R22" s="1572"/>
      <c r="S22" s="1573"/>
      <c r="T22" s="1572"/>
      <c r="U22" s="1573"/>
      <c r="V22" s="1572"/>
      <c r="W22" s="1573"/>
      <c r="X22" s="2581"/>
      <c r="Y22" s="3439"/>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39"/>
      <c r="Q23" s="1571" t="str">
        <f>B23</f>
        <v>环境质量</v>
      </c>
      <c r="R23" s="1572" t="s">
        <v>8</v>
      </c>
      <c r="S23" s="1573">
        <f>F23</f>
        <v>100</v>
      </c>
      <c r="T23" s="1572" t="s">
        <v>8</v>
      </c>
      <c r="U23" s="1573">
        <f>H23</f>
        <v>100</v>
      </c>
      <c r="V23" s="1572" t="s">
        <v>8</v>
      </c>
      <c r="W23" s="1573">
        <f>J23</f>
        <v>100</v>
      </c>
      <c r="X23" s="1566"/>
      <c r="Y23" s="343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39"/>
      <c r="Q24" s="1571"/>
      <c r="R24" s="1572"/>
      <c r="S24" s="1573"/>
      <c r="T24" s="1572"/>
      <c r="U24" s="1573"/>
      <c r="V24" s="1572"/>
      <c r="W24" s="1573"/>
      <c r="X24" s="1566"/>
      <c r="Y24" s="3439"/>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39"/>
      <c r="Q25" s="1571" t="str">
        <f>B25</f>
        <v>毗邻道路的类型与等级</v>
      </c>
      <c r="R25" s="1572" t="s">
        <v>8</v>
      </c>
      <c r="S25" s="1573">
        <f>F25</f>
        <v>100</v>
      </c>
      <c r="T25" s="1572" t="s">
        <v>8</v>
      </c>
      <c r="U25" s="1573">
        <f>H25</f>
        <v>100</v>
      </c>
      <c r="V25" s="1572" t="s">
        <v>8</v>
      </c>
      <c r="W25" s="1573">
        <f>J25</f>
        <v>100</v>
      </c>
      <c r="X25" s="1566"/>
      <c r="Y25" s="343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39"/>
      <c r="Q26" s="1571"/>
      <c r="R26" s="1572"/>
      <c r="S26" s="1573"/>
      <c r="T26" s="1572"/>
      <c r="U26" s="1573"/>
      <c r="V26" s="1572"/>
      <c r="W26" s="1573"/>
      <c r="X26" s="1566"/>
      <c r="Y26" s="343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39"/>
      <c r="Q27" s="1571" t="str">
        <f t="shared" ref="Q27:Q47" si="11">B27</f>
        <v>楼层</v>
      </c>
      <c r="R27" s="1572" t="s">
        <v>8</v>
      </c>
      <c r="S27" s="1573">
        <f>F27</f>
        <v>100</v>
      </c>
      <c r="T27" s="1572" t="s">
        <v>8</v>
      </c>
      <c r="U27" s="1573">
        <f>H27</f>
        <v>100</v>
      </c>
      <c r="V27" s="1572" t="s">
        <v>8</v>
      </c>
      <c r="W27" s="1573">
        <f>J27</f>
        <v>100</v>
      </c>
      <c r="X27" s="1566"/>
      <c r="Y27" s="3439"/>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39"/>
      <c r="Q28" s="1151" t="str">
        <f t="shared" si="11"/>
        <v>朝向</v>
      </c>
      <c r="R28" s="1567" t="s">
        <v>8</v>
      </c>
      <c r="S28" s="1568">
        <f>F28</f>
        <v>100</v>
      </c>
      <c r="T28" s="1567" t="s">
        <v>8</v>
      </c>
      <c r="U28" s="1568">
        <f>H28</f>
        <v>100</v>
      </c>
      <c r="V28" s="1567" t="s">
        <v>8</v>
      </c>
      <c r="W28" s="1568">
        <f>J28</f>
        <v>100</v>
      </c>
      <c r="X28" s="1569"/>
      <c r="Y28" s="3439"/>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39"/>
      <c r="Q29" s="1571">
        <f t="shared" si="11"/>
        <v>111</v>
      </c>
      <c r="R29" s="1572" t="s">
        <v>8</v>
      </c>
      <c r="S29" s="1573">
        <f t="shared" ref="S29:S47" si="12">F29</f>
        <v>100</v>
      </c>
      <c r="T29" s="1572" t="s">
        <v>8</v>
      </c>
      <c r="U29" s="1573">
        <f t="shared" ref="U29:U47" si="13">H29</f>
        <v>100</v>
      </c>
      <c r="V29" s="1572" t="s">
        <v>8</v>
      </c>
      <c r="W29" s="1573">
        <f t="shared" ref="W29:W47" si="14">J29</f>
        <v>100</v>
      </c>
      <c r="X29" s="1566"/>
      <c r="Y29" s="3439"/>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39"/>
      <c r="Q30" s="1571">
        <f t="shared" si="11"/>
        <v>111</v>
      </c>
      <c r="R30" s="1572" t="s">
        <v>8</v>
      </c>
      <c r="S30" s="1573">
        <f t="shared" si="12"/>
        <v>100</v>
      </c>
      <c r="T30" s="1572" t="s">
        <v>8</v>
      </c>
      <c r="U30" s="1573">
        <f t="shared" si="13"/>
        <v>100</v>
      </c>
      <c r="V30" s="1572" t="s">
        <v>8</v>
      </c>
      <c r="W30" s="1573">
        <f t="shared" si="14"/>
        <v>100</v>
      </c>
      <c r="X30" s="1566"/>
      <c r="Y30" s="3439"/>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39"/>
      <c r="Q31" s="1571">
        <f t="shared" si="11"/>
        <v>111</v>
      </c>
      <c r="R31" s="1572" t="s">
        <v>8</v>
      </c>
      <c r="S31" s="1573">
        <f t="shared" si="12"/>
        <v>100</v>
      </c>
      <c r="T31" s="1572" t="s">
        <v>8</v>
      </c>
      <c r="U31" s="1573">
        <f t="shared" si="13"/>
        <v>100</v>
      </c>
      <c r="V31" s="1572" t="s">
        <v>8</v>
      </c>
      <c r="W31" s="1573">
        <f t="shared" si="14"/>
        <v>100</v>
      </c>
      <c r="X31" s="1566"/>
      <c r="Y31" s="3439"/>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39"/>
      <c r="Q32" s="1571">
        <f t="shared" si="11"/>
        <v>111</v>
      </c>
      <c r="R32" s="1572" t="s">
        <v>8</v>
      </c>
      <c r="S32" s="1573">
        <f t="shared" si="12"/>
        <v>100</v>
      </c>
      <c r="T32" s="1572" t="s">
        <v>8</v>
      </c>
      <c r="U32" s="1573">
        <f t="shared" si="13"/>
        <v>100</v>
      </c>
      <c r="V32" s="1572" t="s">
        <v>8</v>
      </c>
      <c r="W32" s="1573">
        <f t="shared" si="14"/>
        <v>100</v>
      </c>
      <c r="X32" s="1566"/>
      <c r="Y32" s="3439"/>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40" t="s">
        <v>549</v>
      </c>
      <c r="Q33" s="1571" t="str">
        <f t="shared" si="11"/>
        <v>建筑类型</v>
      </c>
      <c r="R33" s="1572" t="s">
        <v>8</v>
      </c>
      <c r="S33" s="1573">
        <f t="shared" si="12"/>
        <v>100</v>
      </c>
      <c r="T33" s="1572" t="s">
        <v>8</v>
      </c>
      <c r="U33" s="1573">
        <f t="shared" si="13"/>
        <v>100</v>
      </c>
      <c r="V33" s="1572" t="s">
        <v>8</v>
      </c>
      <c r="W33" s="1573">
        <f t="shared" si="14"/>
        <v>100</v>
      </c>
      <c r="X33" s="1566"/>
      <c r="Y33" s="3441"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41"/>
      <c r="Q34" s="1604" t="str">
        <f t="shared" si="11"/>
        <v>项目建筑规模</v>
      </c>
      <c r="R34" s="1576" t="s">
        <v>8</v>
      </c>
      <c r="S34" s="1577" t="e">
        <f t="shared" si="12"/>
        <v>#N/A</v>
      </c>
      <c r="T34" s="1576" t="s">
        <v>8</v>
      </c>
      <c r="U34" s="1577" t="e">
        <f t="shared" si="13"/>
        <v>#N/A</v>
      </c>
      <c r="V34" s="1576" t="s">
        <v>8</v>
      </c>
      <c r="W34" s="1577" t="e">
        <f t="shared" si="14"/>
        <v>#N/A</v>
      </c>
      <c r="X34" s="1578"/>
      <c r="Y34" s="3441"/>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41"/>
      <c r="Q35" s="1571" t="str">
        <f t="shared" si="11"/>
        <v>建筑结构</v>
      </c>
      <c r="R35" s="1572" t="s">
        <v>8</v>
      </c>
      <c r="S35" s="1573">
        <f t="shared" si="12"/>
        <v>100</v>
      </c>
      <c r="T35" s="1572" t="s">
        <v>8</v>
      </c>
      <c r="U35" s="1573">
        <f t="shared" si="13"/>
        <v>100</v>
      </c>
      <c r="V35" s="1572" t="s">
        <v>8</v>
      </c>
      <c r="W35" s="1573">
        <f t="shared" si="14"/>
        <v>100</v>
      </c>
      <c r="X35" s="1566"/>
      <c r="Y35" s="3441"/>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41"/>
      <c r="Q36" s="1571" t="str">
        <f t="shared" si="11"/>
        <v>公共部分装修</v>
      </c>
      <c r="R36" s="1572" t="s">
        <v>8</v>
      </c>
      <c r="S36" s="1573">
        <f t="shared" si="12"/>
        <v>100</v>
      </c>
      <c r="T36" s="1572" t="s">
        <v>8</v>
      </c>
      <c r="U36" s="1573">
        <f t="shared" si="13"/>
        <v>100</v>
      </c>
      <c r="V36" s="1572" t="s">
        <v>8</v>
      </c>
      <c r="W36" s="1573">
        <f t="shared" si="14"/>
        <v>100</v>
      </c>
      <c r="X36" s="1566"/>
      <c r="Y36" s="3441"/>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41"/>
      <c r="Q37" s="1571" t="str">
        <f t="shared" si="11"/>
        <v>成新度</v>
      </c>
      <c r="R37" s="1572" t="s">
        <v>8</v>
      </c>
      <c r="S37" s="1573" t="e">
        <f t="shared" si="12"/>
        <v>#N/A</v>
      </c>
      <c r="T37" s="1572" t="s">
        <v>8</v>
      </c>
      <c r="U37" s="1573" t="e">
        <f t="shared" si="13"/>
        <v>#N/A</v>
      </c>
      <c r="V37" s="1572" t="s">
        <v>8</v>
      </c>
      <c r="W37" s="1573" t="e">
        <f t="shared" si="14"/>
        <v>#N/A</v>
      </c>
      <c r="X37" s="1566"/>
      <c r="Y37" s="3441"/>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41"/>
      <c r="Q38" s="1151" t="str">
        <f t="shared" si="11"/>
        <v>写字楼等级</v>
      </c>
      <c r="R38" s="1567" t="s">
        <v>8</v>
      </c>
      <c r="S38" s="1568">
        <f t="shared" si="12"/>
        <v>100</v>
      </c>
      <c r="T38" s="1567" t="s">
        <v>8</v>
      </c>
      <c r="U38" s="1568">
        <f t="shared" si="13"/>
        <v>100</v>
      </c>
      <c r="V38" s="1567" t="s">
        <v>8</v>
      </c>
      <c r="W38" s="1568">
        <f t="shared" si="14"/>
        <v>100</v>
      </c>
      <c r="X38" s="1569"/>
      <c r="Y38" s="3441"/>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41" t="s">
        <v>549</v>
      </c>
      <c r="Q39" s="1571" t="str">
        <f t="shared" si="11"/>
        <v>物业管理</v>
      </c>
      <c r="R39" s="1572" t="s">
        <v>8</v>
      </c>
      <c r="S39" s="1573">
        <f t="shared" si="12"/>
        <v>100</v>
      </c>
      <c r="T39" s="1572" t="s">
        <v>8</v>
      </c>
      <c r="U39" s="1573">
        <f t="shared" si="13"/>
        <v>100</v>
      </c>
      <c r="V39" s="1572" t="s">
        <v>8</v>
      </c>
      <c r="W39" s="1573">
        <f t="shared" si="14"/>
        <v>100</v>
      </c>
      <c r="X39" s="1566"/>
      <c r="Y39" s="3441"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41"/>
      <c r="Q40" s="1571" t="str">
        <f t="shared" si="11"/>
        <v>市政基础设施</v>
      </c>
      <c r="R40" s="1572" t="s">
        <v>8</v>
      </c>
      <c r="S40" s="1573">
        <f t="shared" si="12"/>
        <v>100</v>
      </c>
      <c r="T40" s="1572" t="s">
        <v>8</v>
      </c>
      <c r="U40" s="1573">
        <f t="shared" si="13"/>
        <v>100</v>
      </c>
      <c r="V40" s="1572" t="s">
        <v>8</v>
      </c>
      <c r="W40" s="1573">
        <f t="shared" si="14"/>
        <v>100</v>
      </c>
      <c r="X40" s="1566"/>
      <c r="Y40" s="3441"/>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41"/>
      <c r="Q41" s="1571" t="str">
        <f t="shared" si="11"/>
        <v>层高</v>
      </c>
      <c r="R41" s="1572" t="s">
        <v>8</v>
      </c>
      <c r="S41" s="1573">
        <f t="shared" si="12"/>
        <v>100</v>
      </c>
      <c r="T41" s="1572" t="s">
        <v>8</v>
      </c>
      <c r="U41" s="1573">
        <f t="shared" si="13"/>
        <v>100</v>
      </c>
      <c r="V41" s="1572" t="s">
        <v>8</v>
      </c>
      <c r="W41" s="1573">
        <f t="shared" si="14"/>
        <v>100</v>
      </c>
      <c r="X41" s="1566"/>
      <c r="Y41" s="3441"/>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41"/>
      <c r="Q42" s="1604" t="str">
        <f t="shared" si="11"/>
        <v>单套建筑面积</v>
      </c>
      <c r="R42" s="1576" t="s">
        <v>8</v>
      </c>
      <c r="S42" s="1577">
        <f t="shared" si="12"/>
        <v>100</v>
      </c>
      <c r="T42" s="1576" t="s">
        <v>8</v>
      </c>
      <c r="U42" s="1577">
        <f t="shared" si="13"/>
        <v>100</v>
      </c>
      <c r="V42" s="1576" t="s">
        <v>8</v>
      </c>
      <c r="W42" s="1577">
        <f t="shared" si="14"/>
        <v>100</v>
      </c>
      <c r="X42" s="1578"/>
      <c r="Y42" s="3441"/>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41"/>
      <c r="Q43" s="1571" t="str">
        <f t="shared" si="11"/>
        <v>内部装修</v>
      </c>
      <c r="R43" s="1572" t="s">
        <v>8</v>
      </c>
      <c r="S43" s="1573">
        <f t="shared" si="12"/>
        <v>100</v>
      </c>
      <c r="T43" s="1572" t="s">
        <v>8</v>
      </c>
      <c r="U43" s="1573">
        <f t="shared" si="13"/>
        <v>100</v>
      </c>
      <c r="V43" s="1572" t="s">
        <v>8</v>
      </c>
      <c r="W43" s="1573">
        <f t="shared" si="14"/>
        <v>100</v>
      </c>
      <c r="X43" s="1566"/>
      <c r="Y43" s="3441"/>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41"/>
      <c r="Q44" s="1571" t="str">
        <f t="shared" si="11"/>
        <v>内部装修维护情况</v>
      </c>
      <c r="R44" s="1572" t="s">
        <v>8</v>
      </c>
      <c r="S44" s="1573">
        <f t="shared" si="12"/>
        <v>100</v>
      </c>
      <c r="T44" s="1572" t="s">
        <v>8</v>
      </c>
      <c r="U44" s="1573">
        <f t="shared" si="13"/>
        <v>100</v>
      </c>
      <c r="V44" s="1572" t="s">
        <v>8</v>
      </c>
      <c r="W44" s="1573">
        <f t="shared" si="14"/>
        <v>100</v>
      </c>
      <c r="X44" s="1566"/>
      <c r="Y44" s="3441"/>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41"/>
      <c r="Q45" s="1151">
        <f t="shared" si="11"/>
        <v>111</v>
      </c>
      <c r="R45" s="1567" t="s">
        <v>8</v>
      </c>
      <c r="S45" s="1568">
        <f t="shared" si="12"/>
        <v>100</v>
      </c>
      <c r="T45" s="1567" t="s">
        <v>8</v>
      </c>
      <c r="U45" s="1568">
        <f t="shared" si="13"/>
        <v>100</v>
      </c>
      <c r="V45" s="1567" t="s">
        <v>8</v>
      </c>
      <c r="W45" s="1568">
        <f t="shared" si="14"/>
        <v>100</v>
      </c>
      <c r="X45" s="1569"/>
      <c r="Y45" s="3441"/>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41"/>
      <c r="Q46" s="1571">
        <f t="shared" si="11"/>
        <v>111</v>
      </c>
      <c r="R46" s="1572" t="s">
        <v>8</v>
      </c>
      <c r="S46" s="1573">
        <f t="shared" si="12"/>
        <v>100</v>
      </c>
      <c r="T46" s="1572" t="s">
        <v>8</v>
      </c>
      <c r="U46" s="1573">
        <f t="shared" si="13"/>
        <v>100</v>
      </c>
      <c r="V46" s="1572" t="s">
        <v>8</v>
      </c>
      <c r="W46" s="1573">
        <f t="shared" si="14"/>
        <v>100</v>
      </c>
      <c r="X46" s="1566"/>
      <c r="Y46" s="3441"/>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8"/>
      <c r="Q47" s="1571">
        <f t="shared" si="11"/>
        <v>111</v>
      </c>
      <c r="R47" s="1572" t="s">
        <v>8</v>
      </c>
      <c r="S47" s="1573">
        <f t="shared" si="12"/>
        <v>100</v>
      </c>
      <c r="T47" s="1572" t="s">
        <v>8</v>
      </c>
      <c r="U47" s="1573">
        <f t="shared" si="13"/>
        <v>100</v>
      </c>
      <c r="V47" s="1572" t="s">
        <v>8</v>
      </c>
      <c r="W47" s="1573">
        <f t="shared" si="14"/>
        <v>100</v>
      </c>
      <c r="X47" s="1566"/>
      <c r="Y47" s="3498"/>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00" t="str">
        <f>A48</f>
        <v>成交单价（元/平方米）</v>
      </c>
      <c r="Q48" s="3402"/>
      <c r="R48" s="3496">
        <f>E48</f>
        <v>0</v>
      </c>
      <c r="S48" s="3496"/>
      <c r="T48" s="3496">
        <f>G48</f>
        <v>0</v>
      </c>
      <c r="U48" s="3496"/>
      <c r="V48" s="3496">
        <f>I48</f>
        <v>0</v>
      </c>
      <c r="W48" s="3496"/>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00" t="str">
        <f>A49</f>
        <v>比较价格（元/平方米）</v>
      </c>
      <c r="Q49" s="340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25" t="str">
        <f>A50</f>
        <v>估价对象XX用房的比较价格（楼面单价，元/平方米）</v>
      </c>
      <c r="Q50" s="3400"/>
      <c r="R50" s="3497" t="e">
        <f>IF(F1="售价",ROUND(AVERAGE(R49:V49),0),ROUND(AVERAGE(R49:V49),1))</f>
        <v>#DIV/0!</v>
      </c>
      <c r="S50" s="3497"/>
      <c r="T50" s="3497"/>
      <c r="U50" s="3497"/>
      <c r="V50" s="3497"/>
      <c r="W50" s="349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08" t="s">
        <v>521</v>
      </c>
      <c r="D4" s="3409"/>
      <c r="E4" s="3447" t="s">
        <v>522</v>
      </c>
      <c r="F4" s="3448"/>
      <c r="G4" s="3408" t="s">
        <v>523</v>
      </c>
      <c r="H4" s="3409"/>
      <c r="I4" s="3408" t="s">
        <v>524</v>
      </c>
      <c r="J4" s="3409"/>
      <c r="K4" s="514" t="s">
        <v>525</v>
      </c>
      <c r="L4" s="2133"/>
      <c r="M4" s="2134"/>
      <c r="N4" s="2134"/>
      <c r="O4" s="2134"/>
      <c r="P4" s="3410" t="s">
        <v>526</v>
      </c>
      <c r="Q4" s="3411"/>
      <c r="R4" s="3416" t="s">
        <v>522</v>
      </c>
      <c r="S4" s="3417"/>
      <c r="T4" s="3416" t="s">
        <v>523</v>
      </c>
      <c r="U4" s="3417"/>
      <c r="V4" s="3403" t="s">
        <v>524</v>
      </c>
      <c r="W4" s="3403"/>
      <c r="X4" s="1566"/>
      <c r="Y4" s="3416" t="s">
        <v>526</v>
      </c>
      <c r="Z4" s="3417"/>
      <c r="AA4" s="3405" t="s">
        <v>522</v>
      </c>
      <c r="AB4" s="3406" t="s">
        <v>523</v>
      </c>
      <c r="AC4" s="3405" t="s">
        <v>524</v>
      </c>
    </row>
    <row r="5" spans="1:29">
      <c r="A5" s="515"/>
      <c r="B5" s="516"/>
      <c r="C5" s="3424" t="s">
        <v>2924</v>
      </c>
      <c r="D5" s="3425"/>
      <c r="E5" s="3449" t="s">
        <v>2925</v>
      </c>
      <c r="F5" s="3450"/>
      <c r="G5" s="3424" t="s">
        <v>2926</v>
      </c>
      <c r="H5" s="3425"/>
      <c r="I5" s="3424" t="s">
        <v>2927</v>
      </c>
      <c r="J5" s="3425"/>
      <c r="K5" s="514"/>
      <c r="L5" s="2133"/>
      <c r="M5" s="2134"/>
      <c r="N5" s="2134"/>
      <c r="O5" s="2134"/>
      <c r="P5" s="3412"/>
      <c r="Q5" s="3413"/>
      <c r="R5" s="3418"/>
      <c r="S5" s="3419"/>
      <c r="T5" s="3418"/>
      <c r="U5" s="3419"/>
      <c r="V5" s="3403"/>
      <c r="W5" s="3403"/>
      <c r="X5" s="1566"/>
      <c r="Y5" s="3418"/>
      <c r="Z5" s="3419"/>
      <c r="AA5" s="3406"/>
      <c r="AB5" s="3406"/>
      <c r="AC5" s="3406"/>
    </row>
    <row r="6" spans="1:29" ht="15" thickBot="1">
      <c r="A6" s="517"/>
      <c r="B6" s="518"/>
      <c r="C6" s="3422" t="s">
        <v>2928</v>
      </c>
      <c r="D6" s="3423"/>
      <c r="E6" s="3445" t="s">
        <v>2928</v>
      </c>
      <c r="F6" s="3446"/>
      <c r="G6" s="3422" t="s">
        <v>2928</v>
      </c>
      <c r="H6" s="3423"/>
      <c r="I6" s="3422" t="s">
        <v>2928</v>
      </c>
      <c r="J6" s="3423"/>
      <c r="K6" s="514" t="s">
        <v>527</v>
      </c>
      <c r="L6" s="2133"/>
      <c r="M6" s="2134"/>
      <c r="N6" s="2134"/>
      <c r="O6" s="2134"/>
      <c r="P6" s="3414"/>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35" t="s">
        <v>529</v>
      </c>
      <c r="Q7" s="3437"/>
      <c r="R7" s="1567" t="s">
        <v>8</v>
      </c>
      <c r="S7" s="1568">
        <f t="shared" ref="S7:S15" si="0">F7</f>
        <v>0</v>
      </c>
      <c r="T7" s="1567" t="s">
        <v>8</v>
      </c>
      <c r="U7" s="1568">
        <f t="shared" ref="U7:U15" si="1">H7</f>
        <v>0</v>
      </c>
      <c r="V7" s="1567" t="s">
        <v>8</v>
      </c>
      <c r="W7" s="1568">
        <f t="shared" ref="W7:W15"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35" t="s">
        <v>532</v>
      </c>
      <c r="Q8" s="3436"/>
      <c r="R8" s="1567" t="s">
        <v>8</v>
      </c>
      <c r="S8" s="1568">
        <f t="shared" si="0"/>
        <v>0</v>
      </c>
      <c r="T8" s="1567" t="s">
        <v>8</v>
      </c>
      <c r="U8" s="1568">
        <f t="shared" si="1"/>
        <v>0</v>
      </c>
      <c r="V8" s="1567" t="s">
        <v>8</v>
      </c>
      <c r="W8" s="1568">
        <f t="shared" si="2"/>
        <v>0</v>
      </c>
      <c r="X8" s="1569"/>
      <c r="Y8" s="3435" t="s">
        <v>532</v>
      </c>
      <c r="Z8" s="3436"/>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2" t="s">
        <v>534</v>
      </c>
      <c r="Q9" s="1151" t="str">
        <f t="shared" ref="Q9:Q15" si="6">B9</f>
        <v>用途</v>
      </c>
      <c r="R9" s="1567" t="s">
        <v>8</v>
      </c>
      <c r="S9" s="1568">
        <f t="shared" si="0"/>
        <v>100</v>
      </c>
      <c r="T9" s="1567" t="s">
        <v>8</v>
      </c>
      <c r="U9" s="1568">
        <f t="shared" si="1"/>
        <v>100</v>
      </c>
      <c r="V9" s="1567" t="s">
        <v>8</v>
      </c>
      <c r="W9" s="1568">
        <f t="shared" si="2"/>
        <v>100</v>
      </c>
      <c r="X9" s="1569"/>
      <c r="Y9" s="3348"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2"/>
      <c r="Q11" s="1151" t="str">
        <f t="shared" si="6"/>
        <v>容积率</v>
      </c>
      <c r="R11" s="1567" t="s">
        <v>8</v>
      </c>
      <c r="S11" s="1568" t="e">
        <f t="shared" si="0"/>
        <v>#N/A</v>
      </c>
      <c r="T11" s="1567" t="s">
        <v>8</v>
      </c>
      <c r="U11" s="1568" t="e">
        <f t="shared" si="1"/>
        <v>#N/A</v>
      </c>
      <c r="V11" s="1567" t="s">
        <v>8</v>
      </c>
      <c r="W11" s="1568" t="e">
        <f t="shared" si="2"/>
        <v>#N/A</v>
      </c>
      <c r="X11" s="1569"/>
      <c r="Y11" s="3348"/>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2"/>
      <c r="Q14" s="1151">
        <f t="shared" si="6"/>
        <v>111</v>
      </c>
      <c r="R14" s="1567" t="s">
        <v>8</v>
      </c>
      <c r="S14" s="1568">
        <f t="shared" si="0"/>
        <v>100</v>
      </c>
      <c r="T14" s="1567" t="s">
        <v>8</v>
      </c>
      <c r="U14" s="1568">
        <f t="shared" si="1"/>
        <v>100</v>
      </c>
      <c r="V14" s="1567" t="s">
        <v>8</v>
      </c>
      <c r="W14" s="1568">
        <f t="shared" si="2"/>
        <v>100</v>
      </c>
      <c r="X14" s="1569"/>
      <c r="Y14" s="3348"/>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38" t="s">
        <v>539</v>
      </c>
      <c r="Q15" s="1571" t="str">
        <f t="shared" si="6"/>
        <v>产业集聚程度</v>
      </c>
      <c r="R15" s="1572" t="s">
        <v>8</v>
      </c>
      <c r="S15" s="1573">
        <f t="shared" si="0"/>
        <v>100</v>
      </c>
      <c r="T15" s="1572" t="s">
        <v>8</v>
      </c>
      <c r="U15" s="1573">
        <f t="shared" si="1"/>
        <v>100</v>
      </c>
      <c r="V15" s="1572" t="s">
        <v>8</v>
      </c>
      <c r="W15" s="1573">
        <f t="shared" si="2"/>
        <v>100</v>
      </c>
      <c r="X15" s="1566"/>
      <c r="Y15" s="3438"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9"/>
      <c r="Q16" s="1571"/>
      <c r="R16" s="1572"/>
      <c r="S16" s="1573"/>
      <c r="T16" s="1572"/>
      <c r="U16" s="1573"/>
      <c r="V16" s="1572"/>
      <c r="W16" s="1573"/>
      <c r="X16" s="1566"/>
      <c r="Y16" s="3439"/>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39"/>
      <c r="Q17" s="1571" t="str">
        <f>B17</f>
        <v>交通便捷度</v>
      </c>
      <c r="R17" s="1572" t="s">
        <v>8</v>
      </c>
      <c r="S17" s="1573">
        <f>F17</f>
        <v>100</v>
      </c>
      <c r="T17" s="1572" t="s">
        <v>8</v>
      </c>
      <c r="U17" s="1573">
        <f>H17</f>
        <v>100</v>
      </c>
      <c r="V17" s="1572" t="s">
        <v>8</v>
      </c>
      <c r="W17" s="1573">
        <f>J17</f>
        <v>100</v>
      </c>
      <c r="X17" s="1566"/>
      <c r="Y17" s="343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9"/>
      <c r="Q18" s="1571"/>
      <c r="R18" s="1572"/>
      <c r="S18" s="1573"/>
      <c r="T18" s="1572"/>
      <c r="U18" s="1573"/>
      <c r="V18" s="1572"/>
      <c r="W18" s="1573"/>
      <c r="X18" s="1566"/>
      <c r="Y18" s="3439"/>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39"/>
      <c r="Q19" s="1571" t="str">
        <f>B19</f>
        <v>公共配套设施</v>
      </c>
      <c r="R19" s="1572" t="s">
        <v>8</v>
      </c>
      <c r="S19" s="1573">
        <f>F19</f>
        <v>100</v>
      </c>
      <c r="T19" s="1572" t="s">
        <v>8</v>
      </c>
      <c r="U19" s="1573">
        <f>H19</f>
        <v>100</v>
      </c>
      <c r="V19" s="1572" t="s">
        <v>8</v>
      </c>
      <c r="W19" s="1573">
        <f>J19</f>
        <v>100</v>
      </c>
      <c r="X19" s="1566"/>
      <c r="Y19" s="343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39"/>
      <c r="Q20" s="1571"/>
      <c r="R20" s="1572"/>
      <c r="S20" s="1573"/>
      <c r="T20" s="1572"/>
      <c r="U20" s="1573"/>
      <c r="V20" s="1572"/>
      <c r="W20" s="1573"/>
      <c r="X20" s="1566"/>
      <c r="Y20" s="3439"/>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39"/>
      <c r="Q21" s="2579" t="str">
        <f>B21</f>
        <v>基础设施水平</v>
      </c>
      <c r="R21" s="1572" t="s">
        <v>8</v>
      </c>
      <c r="S21" s="1573">
        <f>F21</f>
        <v>100</v>
      </c>
      <c r="T21" s="1572" t="s">
        <v>8</v>
      </c>
      <c r="U21" s="1573">
        <f>H21</f>
        <v>100</v>
      </c>
      <c r="V21" s="1572" t="s">
        <v>8</v>
      </c>
      <c r="W21" s="1573">
        <f>J21</f>
        <v>100</v>
      </c>
      <c r="X21" s="2581"/>
      <c r="Y21" s="3439"/>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39"/>
      <c r="Q22" s="2579"/>
      <c r="R22" s="1572"/>
      <c r="S22" s="1573"/>
      <c r="T22" s="1572"/>
      <c r="U22" s="1573"/>
      <c r="V22" s="1572"/>
      <c r="W22" s="1573"/>
      <c r="X22" s="2581"/>
      <c r="Y22" s="3439"/>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39"/>
      <c r="Q23" s="1571" t="str">
        <f>B23</f>
        <v>环境质量</v>
      </c>
      <c r="R23" s="1572" t="s">
        <v>8</v>
      </c>
      <c r="S23" s="1573">
        <f>F23</f>
        <v>100</v>
      </c>
      <c r="T23" s="1572" t="s">
        <v>8</v>
      </c>
      <c r="U23" s="1573">
        <f>H23</f>
        <v>100</v>
      </c>
      <c r="V23" s="1572" t="s">
        <v>8</v>
      </c>
      <c r="W23" s="1573">
        <f>J23</f>
        <v>100</v>
      </c>
      <c r="X23" s="1566"/>
      <c r="Y23" s="3439"/>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39"/>
      <c r="Q24" s="1571"/>
      <c r="R24" s="1572"/>
      <c r="S24" s="1573"/>
      <c r="T24" s="1572"/>
      <c r="U24" s="1573"/>
      <c r="V24" s="1572"/>
      <c r="W24" s="1573"/>
      <c r="X24" s="1566"/>
      <c r="Y24" s="343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9"/>
      <c r="Q25" s="1571">
        <f>B25</f>
        <v>111</v>
      </c>
      <c r="R25" s="1572" t="s">
        <v>8</v>
      </c>
      <c r="S25" s="1573">
        <f>F25</f>
        <v>100</v>
      </c>
      <c r="T25" s="1572" t="s">
        <v>8</v>
      </c>
      <c r="U25" s="1573">
        <f>H25</f>
        <v>100</v>
      </c>
      <c r="V25" s="1572" t="s">
        <v>8</v>
      </c>
      <c r="W25" s="1573">
        <f>J25</f>
        <v>100</v>
      </c>
      <c r="X25" s="1566"/>
      <c r="Y25" s="343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9"/>
      <c r="Q26" s="1571">
        <f t="shared" ref="Q26:Q40" si="11">B26</f>
        <v>111</v>
      </c>
      <c r="R26" s="1572" t="s">
        <v>8</v>
      </c>
      <c r="S26" s="1573">
        <f>F26</f>
        <v>100</v>
      </c>
      <c r="T26" s="1572" t="s">
        <v>8</v>
      </c>
      <c r="U26" s="1573">
        <f>H26</f>
        <v>100</v>
      </c>
      <c r="V26" s="1572" t="s">
        <v>8</v>
      </c>
      <c r="W26" s="1573">
        <f>J26</f>
        <v>100</v>
      </c>
      <c r="X26" s="1566"/>
      <c r="Y26" s="3439"/>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39"/>
      <c r="Q27" s="1151">
        <f t="shared" si="11"/>
        <v>111</v>
      </c>
      <c r="R27" s="1567" t="s">
        <v>8</v>
      </c>
      <c r="S27" s="1568">
        <f>F27</f>
        <v>100</v>
      </c>
      <c r="T27" s="1567" t="s">
        <v>8</v>
      </c>
      <c r="U27" s="1568">
        <f>H27</f>
        <v>100</v>
      </c>
      <c r="V27" s="1567" t="s">
        <v>8</v>
      </c>
      <c r="W27" s="1568">
        <f>J27</f>
        <v>100</v>
      </c>
      <c r="X27" s="1569"/>
      <c r="Y27" s="3439"/>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39"/>
      <c r="Q28" s="1571">
        <f t="shared" si="11"/>
        <v>111</v>
      </c>
      <c r="R28" s="1572" t="s">
        <v>8</v>
      </c>
      <c r="S28" s="1573">
        <f t="shared" ref="S28:S40" si="12">F28</f>
        <v>100</v>
      </c>
      <c r="T28" s="1572" t="s">
        <v>8</v>
      </c>
      <c r="U28" s="1573">
        <f t="shared" ref="U28:U40" si="13">H28</f>
        <v>100</v>
      </c>
      <c r="V28" s="1572" t="s">
        <v>8</v>
      </c>
      <c r="W28" s="1573">
        <f t="shared" ref="W28:W40" si="14">J28</f>
        <v>100</v>
      </c>
      <c r="X28" s="1566"/>
      <c r="Y28" s="3439"/>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40" t="s">
        <v>549</v>
      </c>
      <c r="Q29" s="1571" t="str">
        <f t="shared" si="11"/>
        <v>建筑类型</v>
      </c>
      <c r="R29" s="1572" t="s">
        <v>8</v>
      </c>
      <c r="S29" s="1573">
        <f t="shared" si="12"/>
        <v>100</v>
      </c>
      <c r="T29" s="1572" t="s">
        <v>8</v>
      </c>
      <c r="U29" s="1573">
        <f t="shared" si="13"/>
        <v>100</v>
      </c>
      <c r="V29" s="1572" t="s">
        <v>8</v>
      </c>
      <c r="W29" s="1573">
        <f t="shared" si="14"/>
        <v>100</v>
      </c>
      <c r="X29" s="1566"/>
      <c r="Y29" s="3441"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41"/>
      <c r="Q30" s="1604" t="str">
        <f t="shared" si="11"/>
        <v>项目建筑规模</v>
      </c>
      <c r="R30" s="1576" t="s">
        <v>8</v>
      </c>
      <c r="S30" s="1577" t="e">
        <f t="shared" si="12"/>
        <v>#N/A</v>
      </c>
      <c r="T30" s="1576" t="s">
        <v>8</v>
      </c>
      <c r="U30" s="1577" t="e">
        <f t="shared" si="13"/>
        <v>#N/A</v>
      </c>
      <c r="V30" s="1576" t="s">
        <v>8</v>
      </c>
      <c r="W30" s="1577" t="e">
        <f t="shared" si="14"/>
        <v>#N/A</v>
      </c>
      <c r="X30" s="1578"/>
      <c r="Y30" s="3441"/>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41"/>
      <c r="Q31" s="1571" t="str">
        <f t="shared" si="11"/>
        <v>建筑结构</v>
      </c>
      <c r="R31" s="1572" t="s">
        <v>8</v>
      </c>
      <c r="S31" s="1573">
        <f t="shared" si="12"/>
        <v>100</v>
      </c>
      <c r="T31" s="1572" t="s">
        <v>8</v>
      </c>
      <c r="U31" s="1573">
        <f t="shared" si="13"/>
        <v>100</v>
      </c>
      <c r="V31" s="1572" t="s">
        <v>8</v>
      </c>
      <c r="W31" s="1573">
        <f t="shared" si="14"/>
        <v>100</v>
      </c>
      <c r="X31" s="1566"/>
      <c r="Y31" s="3441"/>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41"/>
      <c r="Q32" s="1571" t="str">
        <f t="shared" si="11"/>
        <v>公共部分装修</v>
      </c>
      <c r="R32" s="1572" t="s">
        <v>8</v>
      </c>
      <c r="S32" s="1573">
        <f t="shared" si="12"/>
        <v>100</v>
      </c>
      <c r="T32" s="1572" t="s">
        <v>8</v>
      </c>
      <c r="U32" s="1573">
        <f t="shared" si="13"/>
        <v>100</v>
      </c>
      <c r="V32" s="1572" t="s">
        <v>8</v>
      </c>
      <c r="W32" s="1573">
        <f t="shared" si="14"/>
        <v>100</v>
      </c>
      <c r="X32" s="1566"/>
      <c r="Y32" s="3441"/>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41"/>
      <c r="Q33" s="1571" t="str">
        <f t="shared" si="11"/>
        <v>成新度</v>
      </c>
      <c r="R33" s="1572" t="s">
        <v>8</v>
      </c>
      <c r="S33" s="1573" t="e">
        <f t="shared" si="12"/>
        <v>#N/A</v>
      </c>
      <c r="T33" s="1572" t="s">
        <v>8</v>
      </c>
      <c r="U33" s="1573" t="e">
        <f t="shared" si="13"/>
        <v>#N/A</v>
      </c>
      <c r="V33" s="1572" t="s">
        <v>8</v>
      </c>
      <c r="W33" s="1573" t="e">
        <f t="shared" si="14"/>
        <v>#N/A</v>
      </c>
      <c r="X33" s="1566"/>
      <c r="Y33" s="3441"/>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41"/>
      <c r="Q34" s="1151" t="str">
        <f t="shared" si="11"/>
        <v>物业管理</v>
      </c>
      <c r="R34" s="1567" t="s">
        <v>8</v>
      </c>
      <c r="S34" s="1568">
        <f t="shared" si="12"/>
        <v>100</v>
      </c>
      <c r="T34" s="1567" t="s">
        <v>8</v>
      </c>
      <c r="U34" s="1568">
        <f t="shared" si="13"/>
        <v>100</v>
      </c>
      <c r="V34" s="1567" t="s">
        <v>8</v>
      </c>
      <c r="W34" s="1568">
        <f t="shared" si="14"/>
        <v>100</v>
      </c>
      <c r="X34" s="1569"/>
      <c r="Y34" s="3441"/>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41" t="s">
        <v>549</v>
      </c>
      <c r="Q35" s="1571" t="str">
        <f t="shared" si="11"/>
        <v>市政基础设施</v>
      </c>
      <c r="R35" s="1572" t="s">
        <v>8</v>
      </c>
      <c r="S35" s="1573">
        <f t="shared" si="12"/>
        <v>100</v>
      </c>
      <c r="T35" s="1572" t="s">
        <v>8</v>
      </c>
      <c r="U35" s="1573">
        <f t="shared" si="13"/>
        <v>100</v>
      </c>
      <c r="V35" s="1572" t="s">
        <v>8</v>
      </c>
      <c r="W35" s="1573">
        <f t="shared" si="14"/>
        <v>100</v>
      </c>
      <c r="X35" s="1566"/>
      <c r="Y35" s="3441"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41"/>
      <c r="Q36" s="1571" t="str">
        <f t="shared" si="11"/>
        <v>内部装修</v>
      </c>
      <c r="R36" s="1572" t="s">
        <v>8</v>
      </c>
      <c r="S36" s="1573">
        <f t="shared" si="12"/>
        <v>100</v>
      </c>
      <c r="T36" s="1572" t="s">
        <v>8</v>
      </c>
      <c r="U36" s="1573">
        <f t="shared" si="13"/>
        <v>100</v>
      </c>
      <c r="V36" s="1572" t="s">
        <v>8</v>
      </c>
      <c r="W36" s="1573">
        <f t="shared" si="14"/>
        <v>100</v>
      </c>
      <c r="X36" s="1566"/>
      <c r="Y36" s="3441"/>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41"/>
      <c r="Q37" s="1571" t="str">
        <f t="shared" si="11"/>
        <v>内部装修状况</v>
      </c>
      <c r="R37" s="1572" t="s">
        <v>8</v>
      </c>
      <c r="S37" s="1573">
        <f t="shared" si="12"/>
        <v>100</v>
      </c>
      <c r="T37" s="1572" t="s">
        <v>8</v>
      </c>
      <c r="U37" s="1573">
        <f t="shared" si="13"/>
        <v>100</v>
      </c>
      <c r="V37" s="1572" t="s">
        <v>8</v>
      </c>
      <c r="W37" s="1573">
        <f t="shared" si="14"/>
        <v>100</v>
      </c>
      <c r="X37" s="1566"/>
      <c r="Y37" s="3441"/>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41"/>
      <c r="Q38" s="1604">
        <f t="shared" si="11"/>
        <v>111</v>
      </c>
      <c r="R38" s="1576" t="s">
        <v>8</v>
      </c>
      <c r="S38" s="1577">
        <f t="shared" si="12"/>
        <v>100</v>
      </c>
      <c r="T38" s="1576" t="s">
        <v>8</v>
      </c>
      <c r="U38" s="1577">
        <f t="shared" si="13"/>
        <v>100</v>
      </c>
      <c r="V38" s="1576" t="s">
        <v>8</v>
      </c>
      <c r="W38" s="1577">
        <f t="shared" si="14"/>
        <v>100</v>
      </c>
      <c r="X38" s="1578"/>
      <c r="Y38" s="3441"/>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41"/>
      <c r="Q39" s="1571">
        <f t="shared" si="11"/>
        <v>111</v>
      </c>
      <c r="R39" s="1572" t="s">
        <v>8</v>
      </c>
      <c r="S39" s="1573">
        <f t="shared" si="12"/>
        <v>100</v>
      </c>
      <c r="T39" s="1572" t="s">
        <v>8</v>
      </c>
      <c r="U39" s="1573">
        <f t="shared" si="13"/>
        <v>100</v>
      </c>
      <c r="V39" s="1572" t="s">
        <v>8</v>
      </c>
      <c r="W39" s="1573">
        <f t="shared" si="14"/>
        <v>100</v>
      </c>
      <c r="X39" s="1566"/>
      <c r="Y39" s="3441"/>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8"/>
      <c r="Q40" s="1571">
        <f t="shared" si="11"/>
        <v>111</v>
      </c>
      <c r="R40" s="1572" t="s">
        <v>8</v>
      </c>
      <c r="S40" s="1573">
        <f t="shared" si="12"/>
        <v>100</v>
      </c>
      <c r="T40" s="1572" t="s">
        <v>8</v>
      </c>
      <c r="U40" s="1573">
        <f t="shared" si="13"/>
        <v>100</v>
      </c>
      <c r="V40" s="1572" t="s">
        <v>8</v>
      </c>
      <c r="W40" s="1573">
        <f t="shared" si="14"/>
        <v>100</v>
      </c>
      <c r="X40" s="1566"/>
      <c r="Y40" s="3498"/>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02" t="str">
        <f>A41</f>
        <v>成交单价（元/平方米）</v>
      </c>
      <c r="Q41" s="3402"/>
      <c r="R41" s="3496">
        <f>E41</f>
        <v>0</v>
      </c>
      <c r="S41" s="3496"/>
      <c r="T41" s="3496">
        <f>G41</f>
        <v>0</v>
      </c>
      <c r="U41" s="3496"/>
      <c r="V41" s="3496">
        <f>I41</f>
        <v>0</v>
      </c>
      <c r="W41" s="3496"/>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02" t="str">
        <f>A42</f>
        <v>比较价格（元/平方米）</v>
      </c>
      <c r="Q42" s="340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399" t="str">
        <f>A43</f>
        <v>估价对象XX用房的比较价格（楼面单价，元/平方米）</v>
      </c>
      <c r="Q43" s="3400"/>
      <c r="R43" s="3497" t="e">
        <f>IF(F1="售价",ROUND(AVERAGE(R42:V42),0),ROUND(AVERAGE(R42:V42),1))</f>
        <v>#DIV/0!</v>
      </c>
      <c r="S43" s="3497"/>
      <c r="T43" s="3497"/>
      <c r="U43" s="3497"/>
      <c r="V43" s="3497"/>
      <c r="W43" s="349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08" t="s">
        <v>797</v>
      </c>
      <c r="D4" s="3409"/>
      <c r="E4" s="3408" t="s">
        <v>798</v>
      </c>
      <c r="F4" s="3409"/>
      <c r="G4" s="3408" t="s">
        <v>799</v>
      </c>
      <c r="H4" s="3409"/>
      <c r="I4" s="3408" t="s">
        <v>800</v>
      </c>
      <c r="J4" s="3409"/>
      <c r="K4" s="514" t="s">
        <v>801</v>
      </c>
      <c r="L4" s="2133"/>
      <c r="M4" s="2134"/>
      <c r="N4" s="2134"/>
      <c r="O4" s="2134"/>
      <c r="P4" s="3410" t="s">
        <v>802</v>
      </c>
      <c r="Q4" s="3411"/>
      <c r="R4" s="3416" t="s">
        <v>798</v>
      </c>
      <c r="S4" s="3417"/>
      <c r="T4" s="3416" t="s">
        <v>799</v>
      </c>
      <c r="U4" s="3417"/>
      <c r="V4" s="3403" t="s">
        <v>800</v>
      </c>
      <c r="W4" s="3403"/>
      <c r="X4" s="1566"/>
      <c r="Y4" s="3416" t="s">
        <v>802</v>
      </c>
      <c r="Z4" s="3417"/>
      <c r="AA4" s="3405" t="s">
        <v>798</v>
      </c>
      <c r="AB4" s="3406" t="s">
        <v>799</v>
      </c>
      <c r="AC4" s="3405" t="s">
        <v>800</v>
      </c>
    </row>
    <row r="5" spans="1:29">
      <c r="A5" s="515"/>
      <c r="B5" s="516"/>
      <c r="C5" s="3424" t="s">
        <v>2924</v>
      </c>
      <c r="D5" s="3425"/>
      <c r="E5" s="3424" t="s">
        <v>2925</v>
      </c>
      <c r="F5" s="3425"/>
      <c r="G5" s="3424" t="s">
        <v>2926</v>
      </c>
      <c r="H5" s="3425"/>
      <c r="I5" s="3424" t="s">
        <v>2927</v>
      </c>
      <c r="J5" s="3425"/>
      <c r="K5" s="514"/>
      <c r="L5" s="2133"/>
      <c r="M5" s="2134"/>
      <c r="N5" s="2134"/>
      <c r="O5" s="2134"/>
      <c r="P5" s="3412"/>
      <c r="Q5" s="3413"/>
      <c r="R5" s="3418"/>
      <c r="S5" s="3419"/>
      <c r="T5" s="3418"/>
      <c r="U5" s="3419"/>
      <c r="V5" s="3403"/>
      <c r="W5" s="3403"/>
      <c r="X5" s="1566"/>
      <c r="Y5" s="3418"/>
      <c r="Z5" s="3419"/>
      <c r="AA5" s="3406"/>
      <c r="AB5" s="3406"/>
      <c r="AC5" s="3406"/>
    </row>
    <row r="6" spans="1:29" ht="15" thickBot="1">
      <c r="A6" s="517"/>
      <c r="B6" s="518"/>
      <c r="C6" s="3422" t="s">
        <v>2928</v>
      </c>
      <c r="D6" s="3423"/>
      <c r="E6" s="3429" t="s">
        <v>2928</v>
      </c>
      <c r="F6" s="3428"/>
      <c r="G6" s="3422" t="s">
        <v>2928</v>
      </c>
      <c r="H6" s="3423"/>
      <c r="I6" s="3422" t="s">
        <v>2928</v>
      </c>
      <c r="J6" s="3423"/>
      <c r="K6" s="514" t="s">
        <v>527</v>
      </c>
      <c r="L6" s="2133"/>
      <c r="M6" s="2134"/>
      <c r="N6" s="2134"/>
      <c r="O6" s="2134"/>
      <c r="P6" s="3414"/>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35" t="s">
        <v>529</v>
      </c>
      <c r="Q7" s="3437"/>
      <c r="R7" s="1567" t="s">
        <v>8</v>
      </c>
      <c r="S7" s="1568">
        <f t="shared" ref="S7:S14" si="0">F7</f>
        <v>0</v>
      </c>
      <c r="T7" s="1567" t="s">
        <v>8</v>
      </c>
      <c r="U7" s="1568">
        <f t="shared" ref="U7:U14" si="1">H7</f>
        <v>0</v>
      </c>
      <c r="V7" s="1567" t="s">
        <v>8</v>
      </c>
      <c r="W7" s="1568">
        <f t="shared" ref="W7:W14"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35" t="s">
        <v>532</v>
      </c>
      <c r="Q8" s="3436"/>
      <c r="R8" s="1567" t="s">
        <v>8</v>
      </c>
      <c r="S8" s="1568">
        <f t="shared" si="0"/>
        <v>0</v>
      </c>
      <c r="T8" s="1567" t="s">
        <v>8</v>
      </c>
      <c r="U8" s="1568">
        <f t="shared" si="1"/>
        <v>0</v>
      </c>
      <c r="V8" s="1567" t="s">
        <v>8</v>
      </c>
      <c r="W8" s="1568">
        <f t="shared" si="2"/>
        <v>0</v>
      </c>
      <c r="X8" s="1569"/>
      <c r="Y8" s="3435" t="s">
        <v>532</v>
      </c>
      <c r="Z8" s="3436"/>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02" t="s">
        <v>534</v>
      </c>
      <c r="Q9" s="1151" t="str">
        <f t="shared" ref="Q9:Q14" si="6">B9</f>
        <v>用途</v>
      </c>
      <c r="R9" s="1567" t="s">
        <v>8</v>
      </c>
      <c r="S9" s="1568">
        <f t="shared" si="0"/>
        <v>100</v>
      </c>
      <c r="T9" s="1567" t="s">
        <v>8</v>
      </c>
      <c r="U9" s="1568">
        <f t="shared" si="1"/>
        <v>100</v>
      </c>
      <c r="V9" s="1567" t="s">
        <v>8</v>
      </c>
      <c r="W9" s="1568">
        <f t="shared" si="2"/>
        <v>100</v>
      </c>
      <c r="X9" s="1569"/>
      <c r="Y9" s="3348"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2"/>
      <c r="Q11" s="1151">
        <f t="shared" si="6"/>
        <v>111</v>
      </c>
      <c r="R11" s="1567" t="s">
        <v>8</v>
      </c>
      <c r="S11" s="1568">
        <f t="shared" si="0"/>
        <v>100</v>
      </c>
      <c r="T11" s="1567" t="s">
        <v>8</v>
      </c>
      <c r="U11" s="1568">
        <f t="shared" si="1"/>
        <v>100</v>
      </c>
      <c r="V11" s="1567" t="s">
        <v>8</v>
      </c>
      <c r="W11" s="1568">
        <f t="shared" si="2"/>
        <v>100</v>
      </c>
      <c r="X11" s="1569"/>
      <c r="Y11" s="3348"/>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38" t="s">
        <v>539</v>
      </c>
      <c r="Q14" s="1571" t="str">
        <f t="shared" si="6"/>
        <v>交通便捷度</v>
      </c>
      <c r="R14" s="1572" t="s">
        <v>8</v>
      </c>
      <c r="S14" s="1573">
        <f t="shared" si="0"/>
        <v>100</v>
      </c>
      <c r="T14" s="1572" t="s">
        <v>8</v>
      </c>
      <c r="U14" s="1573">
        <f t="shared" si="1"/>
        <v>100</v>
      </c>
      <c r="V14" s="1572" t="s">
        <v>8</v>
      </c>
      <c r="W14" s="1573">
        <f t="shared" si="2"/>
        <v>100</v>
      </c>
      <c r="X14" s="1566"/>
      <c r="Y14" s="3438"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39"/>
      <c r="Q15" s="1571"/>
      <c r="R15" s="1572"/>
      <c r="S15" s="1573"/>
      <c r="T15" s="1572"/>
      <c r="U15" s="1573"/>
      <c r="V15" s="1572"/>
      <c r="W15" s="1573"/>
      <c r="X15" s="1566"/>
      <c r="Y15" s="3439"/>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39"/>
      <c r="Q16" s="1571" t="str">
        <f>B16</f>
        <v>公共配套设施</v>
      </c>
      <c r="R16" s="1572" t="s">
        <v>8</v>
      </c>
      <c r="S16" s="1573">
        <f>F16</f>
        <v>100</v>
      </c>
      <c r="T16" s="1572" t="s">
        <v>8</v>
      </c>
      <c r="U16" s="1573">
        <f>H16</f>
        <v>100</v>
      </c>
      <c r="V16" s="1572" t="s">
        <v>8</v>
      </c>
      <c r="W16" s="1573">
        <f>J16</f>
        <v>100</v>
      </c>
      <c r="X16" s="1566"/>
      <c r="Y16" s="343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39"/>
      <c r="Q17" s="1571"/>
      <c r="R17" s="1572"/>
      <c r="S17" s="1573"/>
      <c r="T17" s="1572"/>
      <c r="U17" s="1573"/>
      <c r="V17" s="1572"/>
      <c r="W17" s="1573"/>
      <c r="X17" s="1566"/>
      <c r="Y17" s="3439"/>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39"/>
      <c r="Q18" s="2579" t="str">
        <f>B18</f>
        <v>基础设施水平</v>
      </c>
      <c r="R18" s="1572" t="s">
        <v>8</v>
      </c>
      <c r="S18" s="1573">
        <f>F18</f>
        <v>100</v>
      </c>
      <c r="T18" s="1572" t="s">
        <v>8</v>
      </c>
      <c r="U18" s="1573">
        <f>H18</f>
        <v>100</v>
      </c>
      <c r="V18" s="1572" t="s">
        <v>8</v>
      </c>
      <c r="W18" s="1573">
        <f>J18</f>
        <v>100</v>
      </c>
      <c r="X18" s="2581"/>
      <c r="Y18" s="3439"/>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39"/>
      <c r="Q19" s="2579"/>
      <c r="R19" s="1572"/>
      <c r="S19" s="1573"/>
      <c r="T19" s="1572"/>
      <c r="U19" s="1573"/>
      <c r="V19" s="1572"/>
      <c r="W19" s="1573"/>
      <c r="X19" s="2581"/>
      <c r="Y19" s="3439"/>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39"/>
      <c r="Q20" s="1571" t="str">
        <f>B20</f>
        <v>自然及人文环境</v>
      </c>
      <c r="R20" s="1572" t="s">
        <v>8</v>
      </c>
      <c r="S20" s="1573">
        <f>F20</f>
        <v>100</v>
      </c>
      <c r="T20" s="1572" t="s">
        <v>8</v>
      </c>
      <c r="U20" s="1573">
        <f>H20</f>
        <v>100</v>
      </c>
      <c r="V20" s="1572" t="s">
        <v>8</v>
      </c>
      <c r="W20" s="1573">
        <f>J20</f>
        <v>100</v>
      </c>
      <c r="X20" s="1566"/>
      <c r="Y20" s="343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39"/>
      <c r="Q21" s="1571"/>
      <c r="R21" s="1572"/>
      <c r="S21" s="1573"/>
      <c r="T21" s="1572"/>
      <c r="U21" s="1573"/>
      <c r="V21" s="1572"/>
      <c r="W21" s="1573"/>
      <c r="X21" s="1566"/>
      <c r="Y21" s="3439"/>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39"/>
      <c r="Q22" s="1571" t="str">
        <f>B22</f>
        <v>楼层</v>
      </c>
      <c r="R22" s="1572" t="s">
        <v>8</v>
      </c>
      <c r="S22" s="1573">
        <f>F22</f>
        <v>100</v>
      </c>
      <c r="T22" s="1572" t="s">
        <v>8</v>
      </c>
      <c r="U22" s="1573">
        <f>H22</f>
        <v>100</v>
      </c>
      <c r="V22" s="1572" t="s">
        <v>8</v>
      </c>
      <c r="W22" s="1573">
        <f>J22</f>
        <v>100</v>
      </c>
      <c r="X22" s="1566"/>
      <c r="Y22" s="3439"/>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9"/>
      <c r="Q23" s="1571">
        <f>B23</f>
        <v>111</v>
      </c>
      <c r="R23" s="1572" t="s">
        <v>8</v>
      </c>
      <c r="S23" s="1573">
        <f>F23</f>
        <v>100</v>
      </c>
      <c r="T23" s="1572" t="s">
        <v>8</v>
      </c>
      <c r="U23" s="1573">
        <f>H23</f>
        <v>100</v>
      </c>
      <c r="V23" s="1572" t="s">
        <v>8</v>
      </c>
      <c r="W23" s="1573">
        <f>J23</f>
        <v>100</v>
      </c>
      <c r="X23" s="1566"/>
      <c r="Y23" s="3439"/>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9"/>
      <c r="Q24" s="1571">
        <f t="shared" ref="Q24:Q36" si="11">B24</f>
        <v>111</v>
      </c>
      <c r="R24" s="1572" t="s">
        <v>8</v>
      </c>
      <c r="S24" s="1573">
        <f>F24</f>
        <v>100</v>
      </c>
      <c r="T24" s="1572" t="s">
        <v>8</v>
      </c>
      <c r="U24" s="1573">
        <f>H24</f>
        <v>100</v>
      </c>
      <c r="V24" s="1572" t="s">
        <v>8</v>
      </c>
      <c r="W24" s="1573">
        <f>J24</f>
        <v>100</v>
      </c>
      <c r="X24" s="1566"/>
      <c r="Y24" s="3439"/>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39"/>
      <c r="Q25" s="1151">
        <f t="shared" si="11"/>
        <v>111</v>
      </c>
      <c r="R25" s="1567" t="s">
        <v>8</v>
      </c>
      <c r="S25" s="1568">
        <f>F25</f>
        <v>100</v>
      </c>
      <c r="T25" s="1567" t="s">
        <v>8</v>
      </c>
      <c r="U25" s="1568">
        <f>H25</f>
        <v>100</v>
      </c>
      <c r="V25" s="1567" t="s">
        <v>8</v>
      </c>
      <c r="W25" s="1568">
        <f>J25</f>
        <v>100</v>
      </c>
      <c r="X25" s="1569"/>
      <c r="Y25" s="3439"/>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4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1"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41"/>
      <c r="Q27" s="1604" t="str">
        <f t="shared" si="11"/>
        <v>项目停车位配比</v>
      </c>
      <c r="R27" s="1576" t="s">
        <v>8</v>
      </c>
      <c r="S27" s="1577">
        <f t="shared" si="12"/>
        <v>100</v>
      </c>
      <c r="T27" s="1576" t="s">
        <v>8</v>
      </c>
      <c r="U27" s="1577">
        <f t="shared" si="13"/>
        <v>100</v>
      </c>
      <c r="V27" s="1576" t="s">
        <v>8</v>
      </c>
      <c r="W27" s="1577">
        <f t="shared" si="14"/>
        <v>100</v>
      </c>
      <c r="X27" s="1578"/>
      <c r="Y27" s="3441"/>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41"/>
      <c r="Q28" s="1571" t="str">
        <f t="shared" si="11"/>
        <v>公共部分装修</v>
      </c>
      <c r="R28" s="1572" t="s">
        <v>8</v>
      </c>
      <c r="S28" s="1573">
        <f t="shared" si="12"/>
        <v>100</v>
      </c>
      <c r="T28" s="1572" t="s">
        <v>8</v>
      </c>
      <c r="U28" s="1573">
        <f t="shared" si="13"/>
        <v>100</v>
      </c>
      <c r="V28" s="1572" t="s">
        <v>8</v>
      </c>
      <c r="W28" s="1573">
        <f t="shared" si="14"/>
        <v>100</v>
      </c>
      <c r="X28" s="1566"/>
      <c r="Y28" s="3441"/>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41"/>
      <c r="Q29" s="1571" t="str">
        <f t="shared" si="11"/>
        <v>成新率</v>
      </c>
      <c r="R29" s="1572" t="s">
        <v>8</v>
      </c>
      <c r="S29" s="1573" t="e">
        <f t="shared" si="12"/>
        <v>#N/A</v>
      </c>
      <c r="T29" s="1572" t="s">
        <v>8</v>
      </c>
      <c r="U29" s="1573" t="e">
        <f t="shared" si="13"/>
        <v>#N/A</v>
      </c>
      <c r="V29" s="1572" t="s">
        <v>8</v>
      </c>
      <c r="W29" s="1573" t="e">
        <f t="shared" si="14"/>
        <v>#N/A</v>
      </c>
      <c r="X29" s="1566"/>
      <c r="Y29" s="3441"/>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41"/>
      <c r="Q30" s="1571" t="str">
        <f t="shared" si="11"/>
        <v>物业等级</v>
      </c>
      <c r="R30" s="1572" t="s">
        <v>8</v>
      </c>
      <c r="S30" s="1573">
        <f t="shared" si="12"/>
        <v>100</v>
      </c>
      <c r="T30" s="1572" t="s">
        <v>8</v>
      </c>
      <c r="U30" s="1573">
        <f t="shared" si="13"/>
        <v>100</v>
      </c>
      <c r="V30" s="1572" t="s">
        <v>8</v>
      </c>
      <c r="W30" s="1573">
        <f t="shared" si="14"/>
        <v>100</v>
      </c>
      <c r="X30" s="1566"/>
      <c r="Y30" s="3441"/>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41"/>
      <c r="Q31" s="1151" t="str">
        <f t="shared" si="11"/>
        <v>停车位面积</v>
      </c>
      <c r="R31" s="1567" t="s">
        <v>8</v>
      </c>
      <c r="S31" s="1568" t="e">
        <f t="shared" si="12"/>
        <v>#N/A</v>
      </c>
      <c r="T31" s="1567" t="s">
        <v>8</v>
      </c>
      <c r="U31" s="1568" t="e">
        <f t="shared" si="13"/>
        <v>#N/A</v>
      </c>
      <c r="V31" s="1567" t="s">
        <v>8</v>
      </c>
      <c r="W31" s="1568" t="e">
        <f t="shared" si="14"/>
        <v>#N/A</v>
      </c>
      <c r="X31" s="1569"/>
      <c r="Y31" s="3441"/>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41" t="s">
        <v>549</v>
      </c>
      <c r="Q32" s="1571" t="str">
        <f t="shared" si="11"/>
        <v>车位类型</v>
      </c>
      <c r="R32" s="1572" t="s">
        <v>8</v>
      </c>
      <c r="S32" s="1573">
        <f t="shared" si="12"/>
        <v>100</v>
      </c>
      <c r="T32" s="1572" t="s">
        <v>8</v>
      </c>
      <c r="U32" s="1573">
        <f t="shared" si="13"/>
        <v>100</v>
      </c>
      <c r="V32" s="1572" t="s">
        <v>8</v>
      </c>
      <c r="W32" s="1573">
        <f t="shared" si="14"/>
        <v>100</v>
      </c>
      <c r="X32" s="1566"/>
      <c r="Y32" s="3441"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41"/>
      <c r="Q33" s="1571" t="str">
        <f t="shared" si="11"/>
        <v>是否直接入户</v>
      </c>
      <c r="R33" s="1572" t="s">
        <v>8</v>
      </c>
      <c r="S33" s="1573">
        <f t="shared" si="12"/>
        <v>100</v>
      </c>
      <c r="T33" s="1572" t="s">
        <v>8</v>
      </c>
      <c r="U33" s="1573">
        <f t="shared" si="13"/>
        <v>100</v>
      </c>
      <c r="V33" s="1572" t="s">
        <v>8</v>
      </c>
      <c r="W33" s="1573">
        <f t="shared" si="14"/>
        <v>100</v>
      </c>
      <c r="X33" s="1566"/>
      <c r="Y33" s="3441"/>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41"/>
      <c r="Q34" s="1571">
        <f t="shared" si="11"/>
        <v>111</v>
      </c>
      <c r="R34" s="1572" t="s">
        <v>8</v>
      </c>
      <c r="S34" s="1573">
        <f t="shared" si="12"/>
        <v>100</v>
      </c>
      <c r="T34" s="1572" t="s">
        <v>8</v>
      </c>
      <c r="U34" s="1573">
        <f t="shared" si="13"/>
        <v>100</v>
      </c>
      <c r="V34" s="1572" t="s">
        <v>8</v>
      </c>
      <c r="W34" s="1573">
        <f t="shared" si="14"/>
        <v>100</v>
      </c>
      <c r="X34" s="1566"/>
      <c r="Y34" s="3441"/>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41"/>
      <c r="Q35" s="1604">
        <f t="shared" si="11"/>
        <v>111</v>
      </c>
      <c r="R35" s="1576" t="s">
        <v>8</v>
      </c>
      <c r="S35" s="1577">
        <f t="shared" si="12"/>
        <v>100</v>
      </c>
      <c r="T35" s="1576" t="s">
        <v>8</v>
      </c>
      <c r="U35" s="1577">
        <f t="shared" si="13"/>
        <v>100</v>
      </c>
      <c r="V35" s="1576" t="s">
        <v>8</v>
      </c>
      <c r="W35" s="1577">
        <f t="shared" si="14"/>
        <v>100</v>
      </c>
      <c r="X35" s="1578"/>
      <c r="Y35" s="3441"/>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41"/>
      <c r="Q36" s="1571">
        <f t="shared" si="11"/>
        <v>111</v>
      </c>
      <c r="R36" s="1572" t="s">
        <v>8</v>
      </c>
      <c r="S36" s="1573">
        <f t="shared" si="12"/>
        <v>100</v>
      </c>
      <c r="T36" s="1572" t="s">
        <v>8</v>
      </c>
      <c r="U36" s="1573">
        <f t="shared" si="13"/>
        <v>100</v>
      </c>
      <c r="V36" s="1572" t="s">
        <v>8</v>
      </c>
      <c r="W36" s="1573">
        <f t="shared" si="14"/>
        <v>100</v>
      </c>
      <c r="X36" s="1566"/>
      <c r="Y36" s="3441"/>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02" t="str">
        <f>A37</f>
        <v>成交单价</v>
      </c>
      <c r="Q37" s="3402"/>
      <c r="R37" s="3496">
        <f>E37</f>
        <v>0</v>
      </c>
      <c r="S37" s="3496"/>
      <c r="T37" s="3496">
        <f>G37</f>
        <v>0</v>
      </c>
      <c r="U37" s="3496"/>
      <c r="V37" s="3496">
        <f>I37</f>
        <v>0</v>
      </c>
      <c r="W37" s="3496"/>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02" t="str">
        <f>A38</f>
        <v>比较价格（元/平方米）</v>
      </c>
      <c r="Q38" s="340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399" t="str">
        <f>A39</f>
        <v>估价对象XX用房的比较价格（楼面单价，元/平方米）</v>
      </c>
      <c r="Q39" s="3400"/>
      <c r="R39" s="3497" t="e">
        <f>IF(F1="售价",ROUND(AVERAGE(R38:V38),0),ROUND(AVERAGE(R38:V38),1))</f>
        <v>#DIV/0!</v>
      </c>
      <c r="S39" s="3497"/>
      <c r="T39" s="3497"/>
      <c r="U39" s="3497"/>
      <c r="V39" s="3497"/>
      <c r="W39" s="349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08" t="s">
        <v>797</v>
      </c>
      <c r="D4" s="3409"/>
      <c r="E4" s="3447" t="s">
        <v>798</v>
      </c>
      <c r="F4" s="3448"/>
      <c r="G4" s="3408" t="s">
        <v>799</v>
      </c>
      <c r="H4" s="3409"/>
      <c r="I4" s="3408" t="s">
        <v>800</v>
      </c>
      <c r="J4" s="3409"/>
      <c r="K4" s="514" t="s">
        <v>801</v>
      </c>
      <c r="L4" s="2133"/>
      <c r="M4" s="2134"/>
      <c r="N4" s="2134"/>
      <c r="O4" s="2134"/>
      <c r="P4" s="3410" t="s">
        <v>802</v>
      </c>
      <c r="Q4" s="3411"/>
      <c r="R4" s="3416" t="s">
        <v>798</v>
      </c>
      <c r="S4" s="3417"/>
      <c r="T4" s="3416" t="s">
        <v>799</v>
      </c>
      <c r="U4" s="3417"/>
      <c r="V4" s="3403" t="s">
        <v>800</v>
      </c>
      <c r="W4" s="3403"/>
      <c r="X4" s="1566"/>
      <c r="Y4" s="3416" t="s">
        <v>802</v>
      </c>
      <c r="Z4" s="3417"/>
      <c r="AA4" s="3405" t="s">
        <v>798</v>
      </c>
      <c r="AB4" s="3406" t="s">
        <v>799</v>
      </c>
      <c r="AC4" s="3405" t="s">
        <v>800</v>
      </c>
    </row>
    <row r="5" spans="1:29">
      <c r="A5" s="515"/>
      <c r="B5" s="516"/>
      <c r="C5" s="3424" t="s">
        <v>2924</v>
      </c>
      <c r="D5" s="3425"/>
      <c r="E5" s="3449" t="s">
        <v>2925</v>
      </c>
      <c r="F5" s="3450"/>
      <c r="G5" s="3424" t="s">
        <v>2926</v>
      </c>
      <c r="H5" s="3425"/>
      <c r="I5" s="3424" t="s">
        <v>2927</v>
      </c>
      <c r="J5" s="3425"/>
      <c r="K5" s="514"/>
      <c r="L5" s="2133"/>
      <c r="M5" s="2134"/>
      <c r="N5" s="2134"/>
      <c r="O5" s="2134"/>
      <c r="P5" s="3412"/>
      <c r="Q5" s="3413"/>
      <c r="R5" s="3418"/>
      <c r="S5" s="3419"/>
      <c r="T5" s="3418"/>
      <c r="U5" s="3419"/>
      <c r="V5" s="3403"/>
      <c r="W5" s="3403"/>
      <c r="X5" s="1566"/>
      <c r="Y5" s="3418"/>
      <c r="Z5" s="3419"/>
      <c r="AA5" s="3406"/>
      <c r="AB5" s="3406"/>
      <c r="AC5" s="3406"/>
    </row>
    <row r="6" spans="1:29" ht="15" thickBot="1">
      <c r="A6" s="517"/>
      <c r="B6" s="518"/>
      <c r="C6" s="3422" t="s">
        <v>2928</v>
      </c>
      <c r="D6" s="3423"/>
      <c r="E6" s="3445" t="s">
        <v>2928</v>
      </c>
      <c r="F6" s="3446"/>
      <c r="G6" s="3422" t="s">
        <v>2928</v>
      </c>
      <c r="H6" s="3423"/>
      <c r="I6" s="3422" t="s">
        <v>2928</v>
      </c>
      <c r="J6" s="3423"/>
      <c r="K6" s="514" t="s">
        <v>527</v>
      </c>
      <c r="L6" s="2133"/>
      <c r="M6" s="2134"/>
      <c r="N6" s="2134"/>
      <c r="O6" s="2134"/>
      <c r="P6" s="3414"/>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35" t="s">
        <v>529</v>
      </c>
      <c r="Q7" s="3437"/>
      <c r="R7" s="1567" t="s">
        <v>8</v>
      </c>
      <c r="S7" s="1568">
        <f t="shared" ref="S7:S14" si="0">F7</f>
        <v>0</v>
      </c>
      <c r="T7" s="1567" t="s">
        <v>8</v>
      </c>
      <c r="U7" s="1568">
        <f t="shared" ref="U7:U14" si="1">H7</f>
        <v>0</v>
      </c>
      <c r="V7" s="1567" t="s">
        <v>8</v>
      </c>
      <c r="W7" s="1568">
        <f t="shared" ref="W7:W14"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35" t="s">
        <v>532</v>
      </c>
      <c r="Q8" s="3436"/>
      <c r="R8" s="1567" t="s">
        <v>8</v>
      </c>
      <c r="S8" s="1568">
        <f t="shared" si="0"/>
        <v>0</v>
      </c>
      <c r="T8" s="1567" t="s">
        <v>8</v>
      </c>
      <c r="U8" s="1568">
        <f t="shared" si="1"/>
        <v>0</v>
      </c>
      <c r="V8" s="1567" t="s">
        <v>8</v>
      </c>
      <c r="W8" s="1568">
        <f t="shared" si="2"/>
        <v>0</v>
      </c>
      <c r="X8" s="1569"/>
      <c r="Y8" s="3435" t="s">
        <v>532</v>
      </c>
      <c r="Z8" s="3436"/>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2" t="s">
        <v>534</v>
      </c>
      <c r="Q9" s="1151" t="str">
        <f t="shared" ref="Q9:Q14" si="6">B9</f>
        <v>用途</v>
      </c>
      <c r="R9" s="1567" t="s">
        <v>8</v>
      </c>
      <c r="S9" s="1568">
        <f t="shared" si="0"/>
        <v>100</v>
      </c>
      <c r="T9" s="1567" t="s">
        <v>8</v>
      </c>
      <c r="U9" s="1568">
        <f t="shared" si="1"/>
        <v>100</v>
      </c>
      <c r="V9" s="1567" t="s">
        <v>8</v>
      </c>
      <c r="W9" s="1568">
        <f t="shared" si="2"/>
        <v>100</v>
      </c>
      <c r="X9" s="1569"/>
      <c r="Y9" s="3348"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2"/>
      <c r="Q11" s="1151">
        <f t="shared" si="6"/>
        <v>111</v>
      </c>
      <c r="R11" s="1567" t="s">
        <v>8</v>
      </c>
      <c r="S11" s="1568">
        <f t="shared" si="0"/>
        <v>100</v>
      </c>
      <c r="T11" s="1567" t="s">
        <v>8</v>
      </c>
      <c r="U11" s="1568">
        <f t="shared" si="1"/>
        <v>100</v>
      </c>
      <c r="V11" s="1567" t="s">
        <v>8</v>
      </c>
      <c r="W11" s="1568">
        <f t="shared" si="2"/>
        <v>100</v>
      </c>
      <c r="X11" s="1569"/>
      <c r="Y11" s="3348"/>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38" t="s">
        <v>539</v>
      </c>
      <c r="Q14" s="1571" t="str">
        <f t="shared" si="6"/>
        <v>交通便捷度</v>
      </c>
      <c r="R14" s="1572" t="s">
        <v>8</v>
      </c>
      <c r="S14" s="1573">
        <f t="shared" si="0"/>
        <v>100</v>
      </c>
      <c r="T14" s="1572" t="s">
        <v>8</v>
      </c>
      <c r="U14" s="1573">
        <f t="shared" si="1"/>
        <v>100</v>
      </c>
      <c r="V14" s="1572" t="s">
        <v>8</v>
      </c>
      <c r="W14" s="1573">
        <f t="shared" si="2"/>
        <v>100</v>
      </c>
      <c r="X14" s="1566"/>
      <c r="Y14" s="3438"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39"/>
      <c r="Q15" s="1571"/>
      <c r="R15" s="1572"/>
      <c r="S15" s="1573"/>
      <c r="T15" s="1572"/>
      <c r="U15" s="1573"/>
      <c r="V15" s="1572"/>
      <c r="W15" s="1573"/>
      <c r="X15" s="1566"/>
      <c r="Y15" s="3439"/>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39"/>
      <c r="Q16" s="1571" t="str">
        <f>B16</f>
        <v>公共配套设施</v>
      </c>
      <c r="R16" s="1572" t="s">
        <v>8</v>
      </c>
      <c r="S16" s="1573">
        <f>F16</f>
        <v>100</v>
      </c>
      <c r="T16" s="1572" t="s">
        <v>8</v>
      </c>
      <c r="U16" s="1573">
        <f>H16</f>
        <v>100</v>
      </c>
      <c r="V16" s="1572" t="s">
        <v>8</v>
      </c>
      <c r="W16" s="1573">
        <f>J16</f>
        <v>100</v>
      </c>
      <c r="X16" s="1566"/>
      <c r="Y16" s="343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39"/>
      <c r="Q17" s="1571"/>
      <c r="R17" s="1572"/>
      <c r="S17" s="1573"/>
      <c r="T17" s="1572"/>
      <c r="U17" s="1573"/>
      <c r="V17" s="1572"/>
      <c r="W17" s="1573"/>
      <c r="X17" s="1566"/>
      <c r="Y17" s="3439"/>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39"/>
      <c r="Q18" s="2579" t="str">
        <f>B18</f>
        <v>基础设施水平</v>
      </c>
      <c r="R18" s="1572" t="s">
        <v>8</v>
      </c>
      <c r="S18" s="1573">
        <f>F18</f>
        <v>100</v>
      </c>
      <c r="T18" s="1572" t="s">
        <v>8</v>
      </c>
      <c r="U18" s="1573">
        <f>H18</f>
        <v>100</v>
      </c>
      <c r="V18" s="1572" t="s">
        <v>8</v>
      </c>
      <c r="W18" s="1573">
        <f>J18</f>
        <v>100</v>
      </c>
      <c r="X18" s="2581"/>
      <c r="Y18" s="3439"/>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39"/>
      <c r="Q19" s="2579"/>
      <c r="R19" s="1572"/>
      <c r="S19" s="1573"/>
      <c r="T19" s="1572"/>
      <c r="U19" s="1573"/>
      <c r="V19" s="1572"/>
      <c r="W19" s="1573"/>
      <c r="X19" s="2581"/>
      <c r="Y19" s="3439"/>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39"/>
      <c r="Q20" s="1571" t="str">
        <f>B20</f>
        <v>自然及人文环境</v>
      </c>
      <c r="R20" s="1572" t="s">
        <v>8</v>
      </c>
      <c r="S20" s="1573">
        <f>F20</f>
        <v>100</v>
      </c>
      <c r="T20" s="1572" t="s">
        <v>8</v>
      </c>
      <c r="U20" s="1573">
        <f>H20</f>
        <v>100</v>
      </c>
      <c r="V20" s="1572" t="s">
        <v>8</v>
      </c>
      <c r="W20" s="1573">
        <f>J20</f>
        <v>100</v>
      </c>
      <c r="X20" s="1566"/>
      <c r="Y20" s="343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39"/>
      <c r="Q21" s="1571"/>
      <c r="R21" s="1572"/>
      <c r="S21" s="1573"/>
      <c r="T21" s="1572"/>
      <c r="U21" s="1573"/>
      <c r="V21" s="1572"/>
      <c r="W21" s="1573"/>
      <c r="X21" s="1566"/>
      <c r="Y21" s="343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9"/>
      <c r="Q22" s="1571" t="str">
        <f>B22</f>
        <v>楼层</v>
      </c>
      <c r="R22" s="1572" t="s">
        <v>8</v>
      </c>
      <c r="S22" s="1573">
        <f>F22</f>
        <v>100</v>
      </c>
      <c r="T22" s="1572" t="s">
        <v>8</v>
      </c>
      <c r="U22" s="1573">
        <f>H22</f>
        <v>100</v>
      </c>
      <c r="V22" s="1572" t="s">
        <v>8</v>
      </c>
      <c r="W22" s="1573">
        <f>J22</f>
        <v>100</v>
      </c>
      <c r="X22" s="1566"/>
      <c r="Y22" s="343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9"/>
      <c r="Q23" s="1571">
        <f>B23</f>
        <v>111</v>
      </c>
      <c r="R23" s="1572" t="s">
        <v>8</v>
      </c>
      <c r="S23" s="1573">
        <f>F23</f>
        <v>100</v>
      </c>
      <c r="T23" s="1572" t="s">
        <v>8</v>
      </c>
      <c r="U23" s="1573">
        <f>H23</f>
        <v>100</v>
      </c>
      <c r="V23" s="1572" t="s">
        <v>8</v>
      </c>
      <c r="W23" s="1573">
        <f>J23</f>
        <v>100</v>
      </c>
      <c r="X23" s="1566"/>
      <c r="Y23" s="343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9"/>
      <c r="Q24" s="1571">
        <f t="shared" ref="Q24:Q34" si="11">B24</f>
        <v>111</v>
      </c>
      <c r="R24" s="1572" t="s">
        <v>8</v>
      </c>
      <c r="S24" s="1573">
        <f>F24</f>
        <v>100</v>
      </c>
      <c r="T24" s="1572" t="s">
        <v>8</v>
      </c>
      <c r="U24" s="1573">
        <f>H24</f>
        <v>100</v>
      </c>
      <c r="V24" s="1572" t="s">
        <v>8</v>
      </c>
      <c r="W24" s="1573">
        <f>J24</f>
        <v>100</v>
      </c>
      <c r="X24" s="1566"/>
      <c r="Y24" s="3439"/>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39"/>
      <c r="Q25" s="1151">
        <f t="shared" si="11"/>
        <v>111</v>
      </c>
      <c r="R25" s="1567" t="s">
        <v>8</v>
      </c>
      <c r="S25" s="1568">
        <f>F25</f>
        <v>100</v>
      </c>
      <c r="T25" s="1567" t="s">
        <v>8</v>
      </c>
      <c r="U25" s="1568">
        <f>H25</f>
        <v>100</v>
      </c>
      <c r="V25" s="1567" t="s">
        <v>8</v>
      </c>
      <c r="W25" s="1568">
        <f>J25</f>
        <v>100</v>
      </c>
      <c r="X25" s="1569"/>
      <c r="Y25" s="3439"/>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4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1"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41"/>
      <c r="Q27" s="1604" t="str">
        <f t="shared" si="11"/>
        <v>成新率</v>
      </c>
      <c r="R27" s="1576" t="s">
        <v>8</v>
      </c>
      <c r="S27" s="1577" t="e">
        <f t="shared" si="12"/>
        <v>#N/A</v>
      </c>
      <c r="T27" s="1576" t="s">
        <v>8</v>
      </c>
      <c r="U27" s="1577" t="e">
        <f t="shared" si="13"/>
        <v>#N/A</v>
      </c>
      <c r="V27" s="1576" t="s">
        <v>8</v>
      </c>
      <c r="W27" s="1577" t="e">
        <f t="shared" si="14"/>
        <v>#N/A</v>
      </c>
      <c r="X27" s="1578"/>
      <c r="Y27" s="3441"/>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41"/>
      <c r="Q28" s="1571" t="str">
        <f t="shared" si="11"/>
        <v>物业等级</v>
      </c>
      <c r="R28" s="1572" t="s">
        <v>8</v>
      </c>
      <c r="S28" s="1573">
        <f t="shared" si="12"/>
        <v>100</v>
      </c>
      <c r="T28" s="1572" t="s">
        <v>8</v>
      </c>
      <c r="U28" s="1573">
        <f t="shared" si="13"/>
        <v>100</v>
      </c>
      <c r="V28" s="1572" t="s">
        <v>8</v>
      </c>
      <c r="W28" s="1573">
        <f t="shared" si="14"/>
        <v>100</v>
      </c>
      <c r="X28" s="1566"/>
      <c r="Y28" s="3441"/>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41"/>
      <c r="Q29" s="1571" t="str">
        <f t="shared" si="11"/>
        <v>有无电梯</v>
      </c>
      <c r="R29" s="1572" t="s">
        <v>8</v>
      </c>
      <c r="S29" s="1573">
        <f t="shared" si="12"/>
        <v>100</v>
      </c>
      <c r="T29" s="1572" t="s">
        <v>8</v>
      </c>
      <c r="U29" s="1573">
        <f t="shared" si="13"/>
        <v>100</v>
      </c>
      <c r="V29" s="1572" t="s">
        <v>8</v>
      </c>
      <c r="W29" s="1573">
        <f t="shared" si="14"/>
        <v>100</v>
      </c>
      <c r="X29" s="1566"/>
      <c r="Y29" s="3441"/>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41"/>
      <c r="Q30" s="1571" t="str">
        <f t="shared" si="11"/>
        <v>建筑面积</v>
      </c>
      <c r="R30" s="1572" t="s">
        <v>8</v>
      </c>
      <c r="S30" s="1573" t="e">
        <f t="shared" si="12"/>
        <v>#N/A</v>
      </c>
      <c r="T30" s="1572" t="s">
        <v>8</v>
      </c>
      <c r="U30" s="1573" t="e">
        <f t="shared" si="13"/>
        <v>#N/A</v>
      </c>
      <c r="V30" s="1572" t="s">
        <v>8</v>
      </c>
      <c r="W30" s="1573" t="e">
        <f t="shared" si="14"/>
        <v>#N/A</v>
      </c>
      <c r="X30" s="1566"/>
      <c r="Y30" s="3441"/>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41"/>
      <c r="Q31" s="1151" t="str">
        <f t="shared" si="11"/>
        <v>是否封闭</v>
      </c>
      <c r="R31" s="1567" t="s">
        <v>8</v>
      </c>
      <c r="S31" s="1568">
        <f t="shared" si="12"/>
        <v>100</v>
      </c>
      <c r="T31" s="1567" t="s">
        <v>8</v>
      </c>
      <c r="U31" s="1568">
        <f t="shared" si="13"/>
        <v>100</v>
      </c>
      <c r="V31" s="1567" t="s">
        <v>8</v>
      </c>
      <c r="W31" s="1568">
        <f t="shared" si="14"/>
        <v>100</v>
      </c>
      <c r="X31" s="1569"/>
      <c r="Y31" s="3441"/>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41" t="s">
        <v>549</v>
      </c>
      <c r="Q32" s="1571">
        <f t="shared" si="11"/>
        <v>111</v>
      </c>
      <c r="R32" s="1572" t="s">
        <v>8</v>
      </c>
      <c r="S32" s="1573">
        <f t="shared" si="12"/>
        <v>100</v>
      </c>
      <c r="T32" s="1572" t="s">
        <v>8</v>
      </c>
      <c r="U32" s="1573">
        <f t="shared" si="13"/>
        <v>100</v>
      </c>
      <c r="V32" s="1572" t="s">
        <v>8</v>
      </c>
      <c r="W32" s="1573">
        <f t="shared" si="14"/>
        <v>100</v>
      </c>
      <c r="X32" s="1566"/>
      <c r="Y32" s="3441"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41"/>
      <c r="Q33" s="1571">
        <f t="shared" si="11"/>
        <v>111</v>
      </c>
      <c r="R33" s="1572" t="s">
        <v>8</v>
      </c>
      <c r="S33" s="1573">
        <f t="shared" si="12"/>
        <v>100</v>
      </c>
      <c r="T33" s="1572" t="s">
        <v>8</v>
      </c>
      <c r="U33" s="1573">
        <f t="shared" si="13"/>
        <v>100</v>
      </c>
      <c r="V33" s="1572" t="s">
        <v>8</v>
      </c>
      <c r="W33" s="1573">
        <f t="shared" si="14"/>
        <v>100</v>
      </c>
      <c r="X33" s="1566"/>
      <c r="Y33" s="3441"/>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41"/>
      <c r="Q34" s="1571">
        <f t="shared" si="11"/>
        <v>111</v>
      </c>
      <c r="R34" s="1572" t="s">
        <v>8</v>
      </c>
      <c r="S34" s="1573">
        <f t="shared" si="12"/>
        <v>100</v>
      </c>
      <c r="T34" s="1572" t="s">
        <v>8</v>
      </c>
      <c r="U34" s="1573">
        <f t="shared" si="13"/>
        <v>100</v>
      </c>
      <c r="V34" s="1572" t="s">
        <v>8</v>
      </c>
      <c r="W34" s="1573">
        <f t="shared" si="14"/>
        <v>100</v>
      </c>
      <c r="X34" s="1566"/>
      <c r="Y34" s="3441"/>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02" t="str">
        <f>A35</f>
        <v>成交单价（元/平方米）</v>
      </c>
      <c r="Q35" s="3402"/>
      <c r="R35" s="3496">
        <f>E35</f>
        <v>0</v>
      </c>
      <c r="S35" s="3496"/>
      <c r="T35" s="3496">
        <f>G35</f>
        <v>0</v>
      </c>
      <c r="U35" s="3496"/>
      <c r="V35" s="3496">
        <f>I35</f>
        <v>0</v>
      </c>
      <c r="W35" s="3496"/>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02" t="str">
        <f>A36</f>
        <v>比较价格（元/平方米）</v>
      </c>
      <c r="Q36" s="340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399" t="str">
        <f>A37</f>
        <v>估价对象XX用房的比较价格（楼面单价，元/平方米）</v>
      </c>
      <c r="Q37" s="3400"/>
      <c r="R37" s="3497" t="e">
        <f>IF(F1="售价",ROUND(AVERAGE(R36:V36),0),ROUND(AVERAGE(R36:V36),1))</f>
        <v>#DIV/0!</v>
      </c>
      <c r="S37" s="3497"/>
      <c r="T37" s="3497"/>
      <c r="U37" s="3497"/>
      <c r="V37" s="3497"/>
      <c r="W37" s="349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32" t="s">
        <v>2304</v>
      </c>
      <c r="D1" s="3533"/>
      <c r="E1" s="3533"/>
      <c r="F1" s="3533"/>
      <c r="G1" s="3533"/>
      <c r="H1" s="3533"/>
      <c r="I1" s="3533"/>
      <c r="J1" s="3533"/>
      <c r="K1" s="3533"/>
      <c r="L1" s="3533"/>
      <c r="M1" s="3533"/>
      <c r="N1" s="3533"/>
      <c r="O1" s="3533"/>
      <c r="P1" s="3533"/>
      <c r="Q1" s="3533"/>
      <c r="R1" s="3533"/>
      <c r="S1" s="3534"/>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43626</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9" t="s">
        <v>2039</v>
      </c>
      <c r="B1" s="3239"/>
      <c r="C1" s="3239"/>
      <c r="D1" s="3239"/>
      <c r="E1" s="3239"/>
      <c r="F1" s="3239"/>
      <c r="G1" s="3239"/>
      <c r="H1" s="3239"/>
      <c r="I1" s="3239"/>
      <c r="J1" s="3239"/>
      <c r="K1" s="3239"/>
      <c r="L1" s="3239"/>
      <c r="M1" s="3239"/>
      <c r="N1" s="3239"/>
      <c r="O1" s="3239"/>
      <c r="P1" s="3239"/>
      <c r="Q1" s="3239"/>
      <c r="R1" s="3239"/>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0" t="s">
        <v>2030</v>
      </c>
      <c r="B3" s="3240" t="s">
        <v>2728</v>
      </c>
      <c r="C3" s="3241" t="s">
        <v>2031</v>
      </c>
      <c r="D3" s="3240" t="s">
        <v>2732</v>
      </c>
      <c r="E3" s="3235" t="s">
        <v>2032</v>
      </c>
      <c r="F3" s="3235"/>
      <c r="G3" s="3235"/>
      <c r="H3" s="3235" t="s">
        <v>2033</v>
      </c>
      <c r="I3" s="3235"/>
      <c r="J3" s="3235"/>
      <c r="K3" s="3241" t="s">
        <v>2034</v>
      </c>
      <c r="L3" s="3241" t="s">
        <v>2035</v>
      </c>
      <c r="M3" s="3240" t="s">
        <v>2729</v>
      </c>
      <c r="N3" s="3242" t="str">
        <f>"（分摊）"&amp;项目基本情况!B16&amp;"国有建设用地使用权面积/㎡"</f>
        <v>（分摊）出让国有建设用地使用权面积/㎡</v>
      </c>
      <c r="O3" s="3240" t="s">
        <v>2064</v>
      </c>
      <c r="P3" s="3241" t="s">
        <v>2044</v>
      </c>
      <c r="Q3" s="3241" t="s">
        <v>2065</v>
      </c>
      <c r="R3" s="3241" t="s">
        <v>2036</v>
      </c>
    </row>
    <row r="4" spans="1:18" ht="36.75" customHeight="1">
      <c r="A4" s="3240"/>
      <c r="B4" s="3240"/>
      <c r="C4" s="3241"/>
      <c r="D4" s="3240"/>
      <c r="E4" s="2649" t="s">
        <v>2043</v>
      </c>
      <c r="F4" s="2649" t="s">
        <v>2741</v>
      </c>
      <c r="G4" s="2649" t="s">
        <v>2037</v>
      </c>
      <c r="H4" s="2649" t="s">
        <v>2038</v>
      </c>
      <c r="I4" s="2649" t="s">
        <v>2742</v>
      </c>
      <c r="J4" s="2649" t="s">
        <v>2037</v>
      </c>
      <c r="K4" s="3241"/>
      <c r="L4" s="3241"/>
      <c r="M4" s="3240"/>
      <c r="N4" s="3242"/>
      <c r="O4" s="3240"/>
      <c r="P4" s="3241"/>
      <c r="Q4" s="3241"/>
      <c r="R4" s="3241"/>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41299</v>
      </c>
      <c r="O5" s="1810">
        <f>项目基本情况!C21</f>
        <v>61948.5</v>
      </c>
      <c r="P5" s="1810">
        <f ca="1">结果表!E42</f>
        <v>5676</v>
      </c>
      <c r="Q5" s="1810">
        <f ca="1">结果表!D42</f>
        <v>3784</v>
      </c>
      <c r="R5" s="1811">
        <f ca="1">结果表!C42</f>
        <v>23440</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812">
        <f ca="1">结果表!O39</f>
        <v>23440</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812" t="str">
        <f>结果表!O40</f>
        <v>——</v>
      </c>
    </row>
    <row r="8" spans="1:18">
      <c r="A8" s="3236">
        <f>IF(项目基本情况!B9="市场价格","——",项目基本情况!E9)</f>
        <v>0</v>
      </c>
      <c r="B8" s="3237"/>
      <c r="C8" s="3237"/>
      <c r="D8" s="3237"/>
      <c r="E8" s="3237"/>
      <c r="F8" s="3237"/>
      <c r="G8" s="3237"/>
      <c r="H8" s="3237"/>
      <c r="I8" s="3237"/>
      <c r="J8" s="3237"/>
      <c r="K8" s="3237"/>
      <c r="L8" s="3237"/>
      <c r="M8" s="3237"/>
      <c r="N8" s="3237"/>
      <c r="O8" s="3237"/>
      <c r="P8" s="3237"/>
      <c r="Q8" s="3238"/>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44" t="s">
        <v>2066</v>
      </c>
      <c r="B1" s="3244"/>
      <c r="C1" s="3244"/>
      <c r="D1" s="3244"/>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3" t="s">
        <v>2067</v>
      </c>
      <c r="B5" s="3243"/>
      <c r="C5" s="3243"/>
      <c r="D5" s="3243"/>
    </row>
    <row r="6" spans="1:4">
      <c r="A6" s="3244" t="s">
        <v>2045</v>
      </c>
      <c r="B6" s="3244"/>
      <c r="C6" s="3244"/>
      <c r="D6" s="3244"/>
    </row>
    <row r="7" spans="1:4" ht="33" customHeight="1">
      <c r="A7" s="3244" t="s">
        <v>2573</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6"/>
      <c r="C11" s="3246"/>
      <c r="D11" s="3246"/>
    </row>
    <row r="12" spans="1:4" ht="168" customHeight="1">
      <c r="A12" s="3243" t="s">
        <v>2069</v>
      </c>
      <c r="B12" s="3243"/>
      <c r="C12" s="3243"/>
      <c r="D12" s="3243"/>
    </row>
    <row r="13" spans="1:4">
      <c r="A13" s="3247" t="s">
        <v>2743</v>
      </c>
      <c r="B13" s="3247"/>
      <c r="C13" s="3247"/>
      <c r="D13" s="3247"/>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2699</v>
      </c>
      <c r="B17" s="3244"/>
      <c r="C17" s="3244"/>
      <c r="D17" s="3244"/>
    </row>
    <row r="18" spans="1:4">
      <c r="A18" s="3244" t="s">
        <v>2691</v>
      </c>
      <c r="B18" s="3244"/>
      <c r="C18" s="3244"/>
      <c r="D18" s="3244"/>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44" t="s">
        <v>2696</v>
      </c>
      <c r="B23" s="3244"/>
      <c r="C23" s="3244"/>
      <c r="D23" s="3244"/>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55" t="s">
        <v>53</v>
      </c>
      <c r="B15" s="3256" t="s">
        <v>845</v>
      </c>
      <c r="C15" s="3252"/>
    </row>
    <row r="16" spans="1:7" ht="14.4">
      <c r="A16" s="3255"/>
      <c r="B16" s="3253" t="s">
        <v>54</v>
      </c>
      <c r="C16" s="1172" t="s">
        <v>53</v>
      </c>
    </row>
    <row r="17" spans="1:3" ht="14.4">
      <c r="A17" s="3255"/>
      <c r="B17" s="3253"/>
      <c r="C17" s="1172" t="s">
        <v>55</v>
      </c>
    </row>
    <row r="18" spans="1:3" ht="14.4">
      <c r="A18" s="3255"/>
      <c r="B18" s="3253"/>
      <c r="C18" s="1172" t="s">
        <v>56</v>
      </c>
    </row>
    <row r="19" spans="1:3" ht="14.4">
      <c r="A19" s="3255"/>
      <c r="B19" s="3251" t="s">
        <v>57</v>
      </c>
      <c r="C19" s="3252"/>
    </row>
    <row r="20" spans="1:3" ht="14.4">
      <c r="A20" s="1173" t="s">
        <v>58</v>
      </c>
      <c r="B20" s="1174"/>
      <c r="C20" s="1175"/>
    </row>
    <row r="21" spans="1:3" ht="14.4">
      <c r="A21" s="3254" t="s">
        <v>59</v>
      </c>
      <c r="B21" s="3251" t="s">
        <v>60</v>
      </c>
      <c r="C21" s="3252"/>
    </row>
    <row r="22" spans="1:3" ht="14.4">
      <c r="A22" s="3254"/>
      <c r="B22" s="3251" t="s">
        <v>61</v>
      </c>
      <c r="C22" s="3252"/>
    </row>
    <row r="23" spans="1:3" ht="14.4">
      <c r="A23" s="3254"/>
      <c r="B23" s="3251" t="s">
        <v>62</v>
      </c>
      <c r="C23" s="3252"/>
    </row>
    <row r="24" spans="1:3" ht="14.4">
      <c r="A24" s="3254"/>
      <c r="B24" s="3257" t="s">
        <v>63</v>
      </c>
      <c r="C24" s="1176" t="s">
        <v>836</v>
      </c>
    </row>
    <row r="25" spans="1:3" ht="14.4">
      <c r="A25" s="3254"/>
      <c r="B25" s="3258"/>
      <c r="C25" s="1176" t="s">
        <v>837</v>
      </c>
    </row>
    <row r="26" spans="1:3" ht="14.4">
      <c r="A26" s="3254"/>
      <c r="B26" s="3258"/>
      <c r="C26" s="1176" t="s">
        <v>838</v>
      </c>
    </row>
    <row r="27" spans="1:3" ht="14.4">
      <c r="A27" s="3254"/>
      <c r="B27" s="3258"/>
      <c r="C27" s="1176" t="s">
        <v>839</v>
      </c>
    </row>
    <row r="28" spans="1:3" ht="14.4">
      <c r="A28" s="3254"/>
      <c r="B28" s="3258"/>
      <c r="C28" s="1176" t="s">
        <v>840</v>
      </c>
    </row>
    <row r="29" spans="1:3" ht="14.4">
      <c r="A29" s="3254"/>
      <c r="B29" s="3258"/>
      <c r="C29" s="1176" t="s">
        <v>841</v>
      </c>
    </row>
    <row r="30" spans="1:3" ht="14.4">
      <c r="A30" s="3254"/>
      <c r="B30" s="3258"/>
      <c r="C30" s="1176" t="s">
        <v>842</v>
      </c>
    </row>
    <row r="31" spans="1:3" ht="14.4">
      <c r="A31" s="3254"/>
      <c r="B31" s="3258"/>
      <c r="C31" s="1176" t="s">
        <v>843</v>
      </c>
    </row>
    <row r="32" spans="1:3" ht="14.4">
      <c r="A32" s="3254"/>
      <c r="B32" s="3258"/>
      <c r="C32" s="1176" t="s">
        <v>1646</v>
      </c>
    </row>
    <row r="33" spans="1:3" ht="14.4">
      <c r="A33" s="3254"/>
      <c r="B33" s="3248" t="s">
        <v>1652</v>
      </c>
      <c r="C33" s="1176" t="s">
        <v>1647</v>
      </c>
    </row>
    <row r="34" spans="1:3" ht="14.4">
      <c r="A34" s="3254"/>
      <c r="B34" s="3249"/>
      <c r="C34" s="1181" t="s">
        <v>1648</v>
      </c>
    </row>
    <row r="35" spans="1:3" ht="14.4">
      <c r="A35" s="3254"/>
      <c r="B35" s="3249"/>
      <c r="C35" s="1182" t="s">
        <v>1649</v>
      </c>
    </row>
    <row r="36" spans="1:3" ht="14.4">
      <c r="A36" s="3254"/>
      <c r="B36" s="3249"/>
      <c r="C36" s="1182" t="s">
        <v>1650</v>
      </c>
    </row>
    <row r="37" spans="1:3" ht="14.4">
      <c r="A37" s="3254"/>
      <c r="B37" s="3250"/>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43642</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259" t="s">
        <v>1927</v>
      </c>
      <c r="B25" s="3259"/>
      <c r="C25" s="3259"/>
      <c r="D25" s="3259"/>
      <c r="E25" s="3259"/>
      <c r="F25" s="3259"/>
      <c r="G25" s="3259"/>
    </row>
    <row r="26" spans="1:7" ht="20.25" customHeight="1">
      <c r="A26" s="3260" t="s">
        <v>1928</v>
      </c>
      <c r="B26" s="3260"/>
      <c r="C26" s="3260"/>
      <c r="D26" s="3260" t="s">
        <v>1929</v>
      </c>
      <c r="E26" s="3260"/>
      <c r="F26" s="3260"/>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3073</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3040</v>
      </c>
      <c r="C19" s="1553"/>
    </row>
    <row r="20" spans="1:3" ht="14.4">
      <c r="A20" s="8" t="s">
        <v>120</v>
      </c>
      <c r="B20" s="3109" t="s">
        <v>3041</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61"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261"/>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1"/>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1"/>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1"/>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2019-06-26T07:58:05Z</dcterms:modified>
</cp:coreProperties>
</file>