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项目\未出-2021-1-0692 北京城市副中心站综合交通枢纽FZX-0101-0702、0704、0705、0706、0707、0708地块F3其他类多功能用地\F05\"/>
    </mc:Choice>
  </mc:AlternateContent>
  <bookViews>
    <workbookView xWindow="-105" yWindow="-105" windowWidth="21825" windowHeight="13905"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商务公寓" sheetId="83" r:id="rId30"/>
    <sheet name="基准地价办公" sheetId="72" r:id="rId31"/>
    <sheet name="地价" sheetId="59" r:id="rId32"/>
    <sheet name="基准地价（汇总）" sheetId="67" state="hidden" r:id="rId33"/>
    <sheet name="收益还原法" sheetId="44" state="hidden" r:id="rId34"/>
    <sheet name="酒店收入计算" sheetId="57" state="hidden" r:id="rId35"/>
    <sheet name="成本逼近法" sheetId="11" state="hidden" r:id="rId36"/>
    <sheet name="住宅案例截图及地图" sheetId="74" state="hidden" r:id="rId37"/>
    <sheet name="剩余法商业" sheetId="70" r:id="rId38"/>
    <sheet name="剩余法办公" sheetId="69" r:id="rId39"/>
    <sheet name="剩余法商务公寓" sheetId="84" r:id="rId40"/>
    <sheet name="不动产比较法-商务办公" sheetId="87" r:id="rId41"/>
    <sheet name="不动产比较法商务公寓" sheetId="21" state="hidden" r:id="rId42"/>
    <sheet name="公寓案例截图及地图 " sheetId="86" r:id="rId43"/>
    <sheet name="不动产比较法-商业" sheetId="79" r:id="rId44"/>
    <sheet name="商业案例截图及地图" sheetId="80" r:id="rId45"/>
    <sheet name="不动产比较法-办公" sheetId="81" r:id="rId46"/>
    <sheet name="办公案例截图及地图" sheetId="82" r:id="rId47"/>
    <sheet name="不动产收益法商业" sheetId="15" state="hidden" r:id="rId48"/>
    <sheet name="不动产比较法-商业租金" sheetId="33" state="hidden" r:id="rId49"/>
    <sheet name="商业租金案例截图及地图" sheetId="75" state="hidden" r:id="rId50"/>
    <sheet name="不动产收益法办公" sheetId="77" state="hidden" r:id="rId51"/>
    <sheet name="不动产比较法-办公租金" sheetId="34" state="hidden" r:id="rId52"/>
    <sheet name="办公租金案例截图及地图" sheetId="76" state="hidden"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22" hidden="1">'比较法-工业'!$A$1:$L$45</definedName>
    <definedName name="_xlnm._FilterDatabase" localSheetId="21" hidden="1">'比较法-住宅'!$A$1:$L$50</definedName>
    <definedName name="_xlnm._FilterDatabase" localSheetId="45" hidden="1">'不动产比较法-办公'!$A$1:$L$50</definedName>
    <definedName name="_xlnm._FilterDatabase" localSheetId="51"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0" hidden="1">'不动产比较法-商务办公'!$A$1:$L$50</definedName>
    <definedName name="_xlnm._FilterDatabase" localSheetId="41" hidden="1">不动产比较法商务公寓!$A$1:$L$49</definedName>
    <definedName name="_xlnm._FilterDatabase" localSheetId="43" hidden="1">'不动产比较法-商业'!$A$1:$L$49</definedName>
    <definedName name="_xlnm._FilterDatabase" localSheetId="48" hidden="1">'不动产比较法-商业租金'!$A$1:$L$49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5">'不动产比较法-办公'!$A$1:$K$55,'不动产比较法-办公'!$A$58:$M$132</definedName>
    <definedName name="_xlnm.Print_Area" localSheetId="51">'不动产比较法-办公租金'!$A$1:$K$55,'不动产比较法-办公租金'!$A$58:$M$132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0">'不动产比较法-商务办公'!$A$1:$K$55,'不动产比较法-商务办公'!$A$58:$M$132</definedName>
    <definedName name="_xlnm.Print_Area" localSheetId="41">不动产比较法商务公寓!$A$1:$K$54,不动产比较法商务公寓!$A$57:$M$131</definedName>
    <definedName name="_xlnm.Print_Area" localSheetId="43">'不动产比较法-商业'!$A$1:$K$54,'不动产比较法-商业'!$A$57:$M$131</definedName>
    <definedName name="_xlnm.Print_Area" localSheetId="48">'不动产比较法-商业租金'!$A$1:$K$54,'不动产比较法-商业租金'!$A$57:$M$131</definedName>
    <definedName name="_xlnm.Print_Area" localSheetId="50">不动产收益法办公!$A$1:$F$43,不动产收益法办公!$H$3:$M$29,不动产收益法办公!$A$46:$F$70,不动产收益法办公!$I$46:$M$60</definedName>
    <definedName name="_xlnm.Print_Area" localSheetId="47">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30">基准地价办公!$A$1:$J$41,基准地价办公!$A$44:$N$87,基准地价办公!$R$1:$V$16</definedName>
    <definedName name="_xlnm.Print_Area" localSheetId="29">基准地价商务公寓!$A$1:$J$41,基准地价商务公寓!$A$44:$N$87,基准地价商务公寓!$R$1:$V$16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9">剩余法商务公寓!$A$1:$K$36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0">基准地价办公!$N$19:$AB$19</definedName>
    <definedName name="季度" localSheetId="29">基准地价商务公寓!$N$19:$AB$19</definedName>
    <definedName name="季度" localSheetId="28">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不动产比较法商务公寓!$B$88:$M$88</definedName>
    <definedName name="住宅房型" localSheetId="53">'[1]不动产比较法-住宅'!$B$118:$M$118</definedName>
    <definedName name="住宅房型">不动产比较法商务公寓!$B$118:$M$118</definedName>
    <definedName name="住宅公共部分装修" localSheetId="53">'[1]不动产比较法-住宅'!$B$109:$M$109</definedName>
    <definedName name="住宅公共部分装修">不动产比较法商务公寓!$B$109:$M$109</definedName>
    <definedName name="住宅基础设施水平" localSheetId="53">'[1]不动产比较法-住宅'!$B$116:$M$116</definedName>
    <definedName name="住宅基础设施水平">不动产比较法商务公寓!$B$116:$M$116</definedName>
    <definedName name="住宅建筑结构" localSheetId="53">'[1]不动产比较法-住宅'!$B$105:$M$105</definedName>
    <definedName name="住宅建筑结构">不动产比较法商务公寓!$B$105:$M$105</definedName>
    <definedName name="住宅建筑类型" localSheetId="53">'[1]不动产比较法-住宅'!$B$100:$M$100</definedName>
    <definedName name="住宅建筑类型">不动产比较法商务公寓!$B$100:$M$100</definedName>
    <definedName name="住宅建筑品质" localSheetId="53">'[1]不动产比较法-住宅'!$B$107:$M$107</definedName>
    <definedName name="住宅建筑品质">不动产比较法商务公寓!$B$107:$M$107</definedName>
    <definedName name="住宅交易情况" localSheetId="53">'[1]不动产比较法-住宅'!$A$61:$M$61</definedName>
    <definedName name="住宅交易情况">不动产比较法商务公寓!$A$61:$M$61</definedName>
    <definedName name="住宅楼层" localSheetId="53">'[1]不动产比较法-住宅'!$B$86:$M$86</definedName>
    <definedName name="住宅楼层">不动产比较法商务公寓!$B$86:$M$86</definedName>
    <definedName name="住宅内部装修" localSheetId="53">'[1]不动产比较法-住宅'!$B$122:$M$122</definedName>
    <definedName name="住宅内部装修">不动产比较法商务公寓!$B$122:$M$122</definedName>
    <definedName name="住宅物业管理" localSheetId="53">'[1]不动产比较法-住宅'!$B$114:$M$114</definedName>
    <definedName name="住宅物业管理">不动产比较法商务公寓!$B$114:$M$114</definedName>
    <definedName name="住宅用途" localSheetId="53">'[1]不动产比较法-住宅'!$B$63:$M$63</definedName>
    <definedName name="住宅用途">不动产比较法商务公寓!$B$63:$M$63</definedName>
    <definedName name="住宅主力户型面积">不动产比较法商务公寓!$B$120:$M$120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59" i="72" l="1"/>
  <c r="G58" i="72"/>
  <c r="I7" i="6" l="1"/>
  <c r="I9" i="6"/>
  <c r="H11" i="6"/>
  <c r="C11" i="79" l="1"/>
  <c r="B38" i="1" l="1"/>
  <c r="B37" i="1"/>
  <c r="Q8" i="1"/>
  <c r="Q7" i="1"/>
  <c r="Q6" i="1"/>
  <c r="L8" i="1"/>
  <c r="L7" i="1"/>
  <c r="L6" i="1"/>
  <c r="B20" i="1"/>
  <c r="G48" i="81" l="1"/>
  <c r="I48" i="81"/>
  <c r="G48" i="87"/>
  <c r="E48" i="87"/>
  <c r="I5" i="87" l="1"/>
  <c r="I48" i="87"/>
  <c r="G5" i="87"/>
  <c r="E5" i="87"/>
  <c r="B131" i="87"/>
  <c r="B129" i="87"/>
  <c r="H46" i="87" s="1"/>
  <c r="AB46" i="87" s="1"/>
  <c r="B127" i="87"/>
  <c r="D126" i="87"/>
  <c r="E126" i="87" s="1"/>
  <c r="F126" i="87" s="1"/>
  <c r="G126" i="87" s="1"/>
  <c r="E124" i="87"/>
  <c r="F124" i="87" s="1"/>
  <c r="G124" i="87" s="1"/>
  <c r="H124" i="87" s="1"/>
  <c r="I124" i="87" s="1"/>
  <c r="J124" i="87" s="1"/>
  <c r="K124" i="87" s="1"/>
  <c r="L124" i="87" s="1"/>
  <c r="M124" i="87" s="1"/>
  <c r="D124" i="87"/>
  <c r="D120" i="87"/>
  <c r="E120" i="87" s="1"/>
  <c r="F120" i="87" s="1"/>
  <c r="G120" i="87" s="1"/>
  <c r="H120" i="87" s="1"/>
  <c r="I120" i="87" s="1"/>
  <c r="J120" i="87" s="1"/>
  <c r="K120" i="87" s="1"/>
  <c r="L120" i="87" s="1"/>
  <c r="M120" i="87" s="1"/>
  <c r="D118" i="87"/>
  <c r="E118" i="87" s="1"/>
  <c r="F118" i="87" s="1"/>
  <c r="G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H32" i="87" s="1"/>
  <c r="B97" i="87"/>
  <c r="B95" i="87"/>
  <c r="H30" i="87" s="1"/>
  <c r="B93" i="87"/>
  <c r="E92" i="87"/>
  <c r="F92" i="87" s="1"/>
  <c r="G92" i="87" s="1"/>
  <c r="H92" i="87" s="1"/>
  <c r="I92" i="87" s="1"/>
  <c r="J92" i="87" s="1"/>
  <c r="K92" i="87" s="1"/>
  <c r="L92" i="87" s="1"/>
  <c r="M92" i="87" s="1"/>
  <c r="D92" i="87"/>
  <c r="B91" i="87"/>
  <c r="H28" i="87" s="1"/>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E86" i="87"/>
  <c r="F86" i="87" s="1"/>
  <c r="G86" i="87" s="1"/>
  <c r="D86" i="87"/>
  <c r="D84" i="87"/>
  <c r="E84" i="87" s="1"/>
  <c r="D82" i="87"/>
  <c r="E82" i="87" s="1"/>
  <c r="D80" i="87"/>
  <c r="E80" i="87" s="1"/>
  <c r="D78" i="87"/>
  <c r="E78" i="87" s="1"/>
  <c r="H15" i="87" s="1"/>
  <c r="AB15" i="87" s="1"/>
  <c r="B75" i="87"/>
  <c r="B73" i="87"/>
  <c r="B71" i="87"/>
  <c r="D70" i="87"/>
  <c r="E70" i="87" s="1"/>
  <c r="F70" i="87" s="1"/>
  <c r="M68" i="87"/>
  <c r="L68" i="87"/>
  <c r="K68" i="87"/>
  <c r="J68" i="87"/>
  <c r="I68" i="87"/>
  <c r="H68" i="87"/>
  <c r="G68" i="87"/>
  <c r="F68" i="87"/>
  <c r="E68" i="87"/>
  <c r="D68" i="87"/>
  <c r="C68" i="87"/>
  <c r="G67" i="87"/>
  <c r="H67" i="87" s="1"/>
  <c r="I67" i="87" s="1"/>
  <c r="F67" i="87"/>
  <c r="C64" i="87"/>
  <c r="P50" i="87"/>
  <c r="P49" i="87"/>
  <c r="K49" i="87"/>
  <c r="V48" i="87"/>
  <c r="P48" i="87"/>
  <c r="Q47" i="87"/>
  <c r="Z47" i="87" s="1"/>
  <c r="J47" i="87"/>
  <c r="H47" i="87"/>
  <c r="U47" i="87" s="1"/>
  <c r="F47" i="87"/>
  <c r="Q46" i="87"/>
  <c r="Z46" i="87" s="1"/>
  <c r="Q45" i="87"/>
  <c r="Z45" i="87" s="1"/>
  <c r="J45" i="87"/>
  <c r="W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W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Q36" i="87"/>
  <c r="Z36" i="87" s="1"/>
  <c r="J36" i="87"/>
  <c r="AC36" i="87" s="1"/>
  <c r="H36" i="87"/>
  <c r="AB36" i="87" s="1"/>
  <c r="F36" i="87"/>
  <c r="AA36" i="87" s="1"/>
  <c r="AC35" i="87"/>
  <c r="Q35" i="87"/>
  <c r="Z35" i="87" s="1"/>
  <c r="J35" i="87"/>
  <c r="W35" i="87" s="1"/>
  <c r="H35" i="87"/>
  <c r="AB35" i="87" s="1"/>
  <c r="F35" i="87"/>
  <c r="AA35" i="87" s="1"/>
  <c r="Q34" i="87"/>
  <c r="Z34" i="87" s="1"/>
  <c r="Q33" i="87"/>
  <c r="Z33" i="87" s="1"/>
  <c r="J33" i="87"/>
  <c r="AC33" i="87" s="1"/>
  <c r="H33" i="87"/>
  <c r="AB33" i="87" s="1"/>
  <c r="F33" i="87"/>
  <c r="AA33" i="87" s="1"/>
  <c r="Q32" i="87"/>
  <c r="Z32" i="87" s="1"/>
  <c r="J32" i="87"/>
  <c r="F32" i="87"/>
  <c r="AA32" i="87" s="1"/>
  <c r="Q31" i="87"/>
  <c r="Z31" i="87" s="1"/>
  <c r="J31" i="87"/>
  <c r="AC31" i="87" s="1"/>
  <c r="H31" i="87"/>
  <c r="AB31" i="87" s="1"/>
  <c r="F31" i="87"/>
  <c r="AA31" i="87" s="1"/>
  <c r="Q30" i="87"/>
  <c r="Z30" i="87" s="1"/>
  <c r="J30" i="87"/>
  <c r="F30" i="87"/>
  <c r="AA30" i="87" s="1"/>
  <c r="Q29" i="87"/>
  <c r="Z29" i="87" s="1"/>
  <c r="J29" i="87"/>
  <c r="AC29" i="87" s="1"/>
  <c r="H29" i="87"/>
  <c r="AB29" i="87" s="1"/>
  <c r="F29" i="87"/>
  <c r="AA29" i="87" s="1"/>
  <c r="Q28" i="87"/>
  <c r="Z28" i="87" s="1"/>
  <c r="J28" i="87"/>
  <c r="F28" i="87"/>
  <c r="AA28" i="87" s="1"/>
  <c r="Q27" i="87"/>
  <c r="Z27" i="87" s="1"/>
  <c r="H27" i="87"/>
  <c r="U27" i="87" s="1"/>
  <c r="Q25" i="87"/>
  <c r="Z25" i="87" s="1"/>
  <c r="Q23" i="87"/>
  <c r="Z23" i="87" s="1"/>
  <c r="J23" i="87"/>
  <c r="AC23" i="87" s="1"/>
  <c r="H23" i="87"/>
  <c r="F23" i="87"/>
  <c r="AA23" i="87" s="1"/>
  <c r="C23" i="87"/>
  <c r="Q21" i="87"/>
  <c r="Z21" i="87" s="1"/>
  <c r="H21" i="87"/>
  <c r="C21" i="87"/>
  <c r="Q19" i="87"/>
  <c r="Z19" i="87" s="1"/>
  <c r="J19" i="87"/>
  <c r="AC19" i="87" s="1"/>
  <c r="H19" i="87"/>
  <c r="C19" i="87"/>
  <c r="Q17" i="87"/>
  <c r="Z17" i="87" s="1"/>
  <c r="C17" i="87"/>
  <c r="Q15" i="87"/>
  <c r="Z15" i="87" s="1"/>
  <c r="C15" i="87"/>
  <c r="Q14" i="87"/>
  <c r="Z14" i="87" s="1"/>
  <c r="H14" i="87"/>
  <c r="U14" i="87" s="1"/>
  <c r="Q13" i="87"/>
  <c r="Z13" i="87" s="1"/>
  <c r="J13" i="87"/>
  <c r="H13" i="87"/>
  <c r="AB13" i="87" s="1"/>
  <c r="F13" i="87"/>
  <c r="S13" i="87" s="1"/>
  <c r="Q12" i="87"/>
  <c r="Z12" i="87" s="1"/>
  <c r="H12" i="87"/>
  <c r="AB12" i="87" s="1"/>
  <c r="Q11" i="87"/>
  <c r="Z11" i="87" s="1"/>
  <c r="Q10" i="87"/>
  <c r="Z10" i="87" s="1"/>
  <c r="J10" i="87"/>
  <c r="AC10" i="87" s="1"/>
  <c r="H10" i="87"/>
  <c r="AB10" i="87" s="1"/>
  <c r="F10" i="87"/>
  <c r="AA10" i="87" s="1"/>
  <c r="Q9" i="87"/>
  <c r="Z9" i="87" s="1"/>
  <c r="J9" i="87"/>
  <c r="AC9" i="87" s="1"/>
  <c r="H9" i="87"/>
  <c r="AB9" i="87" s="1"/>
  <c r="F9" i="87"/>
  <c r="S9" i="87" s="1"/>
  <c r="J8" i="87"/>
  <c r="W8" i="87" s="1"/>
  <c r="H8" i="87"/>
  <c r="AB8" i="87" s="1"/>
  <c r="F8" i="87"/>
  <c r="S8" i="87" s="1"/>
  <c r="C7" i="87"/>
  <c r="C59" i="87" s="1"/>
  <c r="I47" i="21"/>
  <c r="I5" i="21"/>
  <c r="G5" i="21"/>
  <c r="G47" i="21"/>
  <c r="E47" i="21"/>
  <c r="E5" i="21"/>
  <c r="F25" i="84"/>
  <c r="C25" i="84" s="1"/>
  <c r="E22" i="84"/>
  <c r="E21" i="84"/>
  <c r="F17" i="84"/>
  <c r="E16" i="84"/>
  <c r="F14" i="84"/>
  <c r="K9" i="84"/>
  <c r="J9" i="84"/>
  <c r="I9" i="84"/>
  <c r="H9" i="84"/>
  <c r="G9" i="84"/>
  <c r="F9" i="84"/>
  <c r="E9" i="84"/>
  <c r="D9" i="84"/>
  <c r="F19" i="6"/>
  <c r="C34" i="87" s="1"/>
  <c r="H34" i="87" s="1"/>
  <c r="C5" i="68"/>
  <c r="U40" i="87" l="1"/>
  <c r="U31" i="87"/>
  <c r="S30" i="87"/>
  <c r="G112" i="87"/>
  <c r="F37" i="87" s="1"/>
  <c r="AA37" i="87" s="1"/>
  <c r="J37" i="87"/>
  <c r="C33" i="21"/>
  <c r="U9" i="87"/>
  <c r="U10" i="87"/>
  <c r="AA13" i="87"/>
  <c r="S28" i="87"/>
  <c r="U29" i="87"/>
  <c r="S32" i="87"/>
  <c r="U33" i="87"/>
  <c r="AC41" i="87"/>
  <c r="AB47" i="87"/>
  <c r="AA9" i="87"/>
  <c r="AB14" i="87"/>
  <c r="H14" i="68"/>
  <c r="U8" i="87"/>
  <c r="AC45" i="87"/>
  <c r="G70" i="87"/>
  <c r="H70" i="87" s="1"/>
  <c r="I70" i="87" s="1"/>
  <c r="J70" i="87" s="1"/>
  <c r="K70" i="87" s="1"/>
  <c r="L70" i="87" s="1"/>
  <c r="M70" i="87" s="1"/>
  <c r="F27" i="87"/>
  <c r="AA27" i="87" s="1"/>
  <c r="J27" i="87"/>
  <c r="AC27" i="87" s="1"/>
  <c r="H25" i="87"/>
  <c r="AB25" i="87" s="1"/>
  <c r="F84" i="87"/>
  <c r="G84" i="87" s="1"/>
  <c r="F21" i="87"/>
  <c r="AA21" i="87" s="1"/>
  <c r="J21" i="87"/>
  <c r="AC21" i="87" s="1"/>
  <c r="F25" i="87"/>
  <c r="AA25" i="87" s="1"/>
  <c r="J25" i="87"/>
  <c r="W25" i="87" s="1"/>
  <c r="F80" i="87"/>
  <c r="G80" i="87" s="1"/>
  <c r="J17" i="87"/>
  <c r="AC17" i="87" s="1"/>
  <c r="F17" i="87"/>
  <c r="AA17" i="87" s="1"/>
  <c r="H17" i="87"/>
  <c r="AB27" i="87"/>
  <c r="G55" i="87"/>
  <c r="H55" i="87" s="1"/>
  <c r="AA8" i="87"/>
  <c r="AB19" i="87"/>
  <c r="U19" i="87"/>
  <c r="AB21" i="87"/>
  <c r="U21" i="87"/>
  <c r="AB23" i="87"/>
  <c r="U23" i="87"/>
  <c r="AC30" i="87"/>
  <c r="W30" i="87"/>
  <c r="AB34" i="87"/>
  <c r="U34" i="87"/>
  <c r="U15" i="87"/>
  <c r="D59" i="87"/>
  <c r="AC8" i="87"/>
  <c r="AC13" i="87"/>
  <c r="W13" i="87"/>
  <c r="AC28" i="87"/>
  <c r="W28" i="87"/>
  <c r="AC32" i="87"/>
  <c r="W32" i="87"/>
  <c r="S39" i="87"/>
  <c r="W9" i="87"/>
  <c r="U12" i="87"/>
  <c r="J34" i="87"/>
  <c r="F34" i="87"/>
  <c r="S35" i="87"/>
  <c r="U36" i="87"/>
  <c r="S37" i="87"/>
  <c r="U38" i="87"/>
  <c r="W39" i="87"/>
  <c r="S41" i="87"/>
  <c r="U42" i="87"/>
  <c r="W43" i="87"/>
  <c r="S45" i="87"/>
  <c r="U46" i="87"/>
  <c r="J12" i="87"/>
  <c r="F12" i="87"/>
  <c r="J14" i="87"/>
  <c r="F14" i="87"/>
  <c r="F78" i="87"/>
  <c r="G78" i="87" s="1"/>
  <c r="J15" i="87"/>
  <c r="F15" i="87"/>
  <c r="J46" i="87"/>
  <c r="F46" i="87"/>
  <c r="S43" i="87"/>
  <c r="U44" i="87"/>
  <c r="AA47" i="87"/>
  <c r="S47" i="87"/>
  <c r="AC47" i="87"/>
  <c r="W47" i="87"/>
  <c r="F82" i="87"/>
  <c r="G82" i="87" s="1"/>
  <c r="F19" i="87"/>
  <c r="AB28" i="87"/>
  <c r="U28" i="87"/>
  <c r="AB30" i="87"/>
  <c r="U30" i="87"/>
  <c r="AB32" i="87"/>
  <c r="U32" i="87"/>
  <c r="H112" i="87"/>
  <c r="I112" i="87" s="1"/>
  <c r="J112" i="87" s="1"/>
  <c r="K112" i="87" s="1"/>
  <c r="L112" i="87" s="1"/>
  <c r="M112" i="87" s="1"/>
  <c r="H37" i="87"/>
  <c r="S10" i="87"/>
  <c r="W10" i="87"/>
  <c r="U13" i="87"/>
  <c r="W19" i="87"/>
  <c r="S23" i="87"/>
  <c r="W23" i="87"/>
  <c r="S27" i="87"/>
  <c r="S29" i="87"/>
  <c r="W29" i="87"/>
  <c r="S31" i="87"/>
  <c r="W31" i="87"/>
  <c r="S33" i="87"/>
  <c r="W33" i="87"/>
  <c r="U35" i="87"/>
  <c r="S36" i="87"/>
  <c r="W36" i="87"/>
  <c r="S38" i="87"/>
  <c r="W38" i="87"/>
  <c r="U39" i="87"/>
  <c r="S40" i="87"/>
  <c r="W40" i="87"/>
  <c r="U41" i="87"/>
  <c r="S42" i="87"/>
  <c r="W42" i="87"/>
  <c r="U43" i="87"/>
  <c r="S44" i="87"/>
  <c r="W44" i="87"/>
  <c r="U45" i="87"/>
  <c r="E55" i="87"/>
  <c r="F55" i="87" s="1"/>
  <c r="I55" i="87"/>
  <c r="J55" i="87" s="1"/>
  <c r="R48" i="87"/>
  <c r="T48" i="87"/>
  <c r="S17" i="87" l="1"/>
  <c r="W37" i="87"/>
  <c r="AC37" i="87"/>
  <c r="AC25" i="87"/>
  <c r="W21" i="87"/>
  <c r="W27" i="87"/>
  <c r="U25" i="87"/>
  <c r="S25" i="87"/>
  <c r="S21" i="87"/>
  <c r="W17" i="87"/>
  <c r="AB17" i="87"/>
  <c r="U17" i="87"/>
  <c r="AA19" i="87"/>
  <c r="S19" i="87"/>
  <c r="AA46" i="87"/>
  <c r="S46" i="87"/>
  <c r="AA15" i="87"/>
  <c r="S15" i="87"/>
  <c r="AC14" i="87"/>
  <c r="W14" i="87"/>
  <c r="AC12" i="87"/>
  <c r="W12" i="87"/>
  <c r="AC34" i="87"/>
  <c r="W34" i="87"/>
  <c r="E59" i="87"/>
  <c r="AB37" i="87"/>
  <c r="U37" i="87"/>
  <c r="AC46" i="87"/>
  <c r="W46" i="87"/>
  <c r="AC15" i="87"/>
  <c r="W15" i="87"/>
  <c r="AA14" i="87"/>
  <c r="S14" i="87"/>
  <c r="AA12" i="87"/>
  <c r="S12" i="87"/>
  <c r="AA34" i="87"/>
  <c r="S34" i="87"/>
  <c r="F59" i="87" l="1"/>
  <c r="G59" i="87" l="1"/>
  <c r="H59" i="87" l="1"/>
  <c r="I59" i="87" l="1"/>
  <c r="J59" i="87" l="1"/>
  <c r="K59" i="87" l="1"/>
  <c r="L59" i="87" l="1"/>
  <c r="M59" i="87" l="1"/>
  <c r="N59" i="87" s="1"/>
  <c r="O59" i="87" s="1"/>
  <c r="H7" i="87" l="1"/>
  <c r="U7" i="87" s="1"/>
  <c r="J7" i="87"/>
  <c r="F7" i="87"/>
  <c r="AB7" i="87" l="1"/>
  <c r="AA7" i="87"/>
  <c r="S7" i="87"/>
  <c r="AC7" i="87"/>
  <c r="W7" i="87"/>
  <c r="F113" i="83" l="1"/>
  <c r="N99" i="83"/>
  <c r="N108" i="83" s="1"/>
  <c r="M99" i="83"/>
  <c r="L99" i="83"/>
  <c r="L108" i="83" s="1"/>
  <c r="K99" i="83"/>
  <c r="J99" i="83"/>
  <c r="J108" i="83" s="1"/>
  <c r="I99" i="83"/>
  <c r="H99" i="83"/>
  <c r="H100" i="83" s="1"/>
  <c r="G99" i="83"/>
  <c r="F99" i="83"/>
  <c r="F108" i="83" s="1"/>
  <c r="E99" i="83"/>
  <c r="D99" i="83"/>
  <c r="D108" i="83" s="1"/>
  <c r="C99" i="83"/>
  <c r="M87" i="83"/>
  <c r="N87" i="83" s="1"/>
  <c r="K87" i="83"/>
  <c r="J87" i="83"/>
  <c r="D87" i="83"/>
  <c r="M86" i="83"/>
  <c r="N86" i="83" s="1"/>
  <c r="K86" i="83"/>
  <c r="J86" i="83" s="1"/>
  <c r="D86" i="83"/>
  <c r="M85" i="83"/>
  <c r="N85" i="83" s="1"/>
  <c r="K85" i="83"/>
  <c r="J85" i="83" s="1"/>
  <c r="D85" i="83"/>
  <c r="M84" i="83"/>
  <c r="N84" i="83" s="1"/>
  <c r="K84" i="83"/>
  <c r="J84" i="83" s="1"/>
  <c r="D84" i="83"/>
  <c r="M83" i="83"/>
  <c r="N83" i="83" s="1"/>
  <c r="K83" i="83"/>
  <c r="J83" i="83" s="1"/>
  <c r="D83" i="83"/>
  <c r="B83" i="83"/>
  <c r="M82" i="83"/>
  <c r="N82" i="83" s="1"/>
  <c r="K82" i="83"/>
  <c r="J82" i="83" s="1"/>
  <c r="D82" i="83"/>
  <c r="B82" i="83"/>
  <c r="M81" i="83"/>
  <c r="N81" i="83" s="1"/>
  <c r="K81" i="83"/>
  <c r="J81" i="83" s="1"/>
  <c r="D81" i="83"/>
  <c r="M80" i="83"/>
  <c r="N80" i="83" s="1"/>
  <c r="K80" i="83"/>
  <c r="J80" i="83" s="1"/>
  <c r="F80" i="83"/>
  <c r="D80" i="83"/>
  <c r="M77" i="83"/>
  <c r="N77" i="83" s="1"/>
  <c r="K77" i="83"/>
  <c r="J77" i="83"/>
  <c r="D77" i="83"/>
  <c r="M76" i="83"/>
  <c r="N76" i="83" s="1"/>
  <c r="K76" i="83"/>
  <c r="J76" i="83"/>
  <c r="D76" i="83"/>
  <c r="M75" i="83"/>
  <c r="N75" i="83" s="1"/>
  <c r="K75" i="83"/>
  <c r="J75" i="83" s="1"/>
  <c r="D75" i="83"/>
  <c r="M74" i="83"/>
  <c r="N74" i="83" s="1"/>
  <c r="K74" i="83"/>
  <c r="J74" i="83" s="1"/>
  <c r="D74" i="83"/>
  <c r="M73" i="83"/>
  <c r="N73" i="83" s="1"/>
  <c r="K73" i="83"/>
  <c r="J73" i="83" s="1"/>
  <c r="D73" i="83"/>
  <c r="M72" i="83"/>
  <c r="N72" i="83" s="1"/>
  <c r="K72" i="83"/>
  <c r="J72" i="83" s="1"/>
  <c r="D72" i="83"/>
  <c r="M71" i="83"/>
  <c r="N71" i="83" s="1"/>
  <c r="K71" i="83"/>
  <c r="J71" i="83" s="1"/>
  <c r="D71" i="83"/>
  <c r="B71" i="83"/>
  <c r="N70" i="83"/>
  <c r="M70" i="83"/>
  <c r="K70" i="83"/>
  <c r="J70" i="83" s="1"/>
  <c r="D70" i="83"/>
  <c r="M69" i="83"/>
  <c r="N69" i="83" s="1"/>
  <c r="K69" i="83"/>
  <c r="J69" i="83" s="1"/>
  <c r="F69" i="83"/>
  <c r="H75" i="83" s="1"/>
  <c r="D69" i="83"/>
  <c r="E69" i="83" s="1"/>
  <c r="B67" i="83" s="1"/>
  <c r="B60" i="83"/>
  <c r="D59" i="83"/>
  <c r="M55" i="83"/>
  <c r="N55" i="83" s="1"/>
  <c r="K55" i="83"/>
  <c r="J55" i="83" s="1"/>
  <c r="D55" i="83"/>
  <c r="M54" i="83"/>
  <c r="N54" i="83" s="1"/>
  <c r="K54" i="83"/>
  <c r="J54" i="83" s="1"/>
  <c r="D54" i="83"/>
  <c r="M53" i="83"/>
  <c r="N53" i="83" s="1"/>
  <c r="K53" i="83"/>
  <c r="J53" i="83" s="1"/>
  <c r="D53" i="83"/>
  <c r="M52" i="83"/>
  <c r="N52" i="83" s="1"/>
  <c r="K52" i="83"/>
  <c r="J52" i="83"/>
  <c r="D52" i="83"/>
  <c r="M51" i="83"/>
  <c r="N51" i="83" s="1"/>
  <c r="K51" i="83"/>
  <c r="J51" i="83"/>
  <c r="D51" i="83"/>
  <c r="M50" i="83"/>
  <c r="N50" i="83" s="1"/>
  <c r="K50" i="83"/>
  <c r="J50" i="83" s="1"/>
  <c r="D50" i="83"/>
  <c r="M49" i="83"/>
  <c r="N49" i="83" s="1"/>
  <c r="K49" i="83"/>
  <c r="J49" i="83" s="1"/>
  <c r="D49" i="83"/>
  <c r="B49" i="83"/>
  <c r="M48" i="83"/>
  <c r="N48" i="83" s="1"/>
  <c r="K48" i="83"/>
  <c r="J48" i="83"/>
  <c r="D48" i="83"/>
  <c r="N47" i="83"/>
  <c r="M47" i="83"/>
  <c r="K47" i="83"/>
  <c r="J47" i="83" s="1"/>
  <c r="F47" i="83"/>
  <c r="H54" i="83" s="1"/>
  <c r="D47" i="83"/>
  <c r="H39" i="83"/>
  <c r="H38" i="83"/>
  <c r="H37" i="83"/>
  <c r="H36" i="83"/>
  <c r="H35" i="83"/>
  <c r="H34" i="83"/>
  <c r="H33" i="83"/>
  <c r="D29" i="83"/>
  <c r="D1" i="83" s="1"/>
  <c r="J20" i="83"/>
  <c r="I19" i="83"/>
  <c r="C18" i="83"/>
  <c r="E5" i="68" s="1"/>
  <c r="F15" i="83"/>
  <c r="E15" i="83"/>
  <c r="D15" i="83"/>
  <c r="C15" i="83"/>
  <c r="Y12" i="83"/>
  <c r="Y10" i="83"/>
  <c r="C10" i="83"/>
  <c r="C11" i="83" s="1"/>
  <c r="AJ9" i="83"/>
  <c r="AJ12" i="83" s="1"/>
  <c r="AI9" i="83"/>
  <c r="AI12" i="83" s="1"/>
  <c r="AH9" i="83"/>
  <c r="AH10" i="83" s="1"/>
  <c r="AG9" i="83"/>
  <c r="AG12" i="83" s="1"/>
  <c r="AF9" i="83"/>
  <c r="AF12" i="83" s="1"/>
  <c r="AE9" i="83"/>
  <c r="AE12" i="83" s="1"/>
  <c r="AD9" i="83"/>
  <c r="AD10" i="83" s="1"/>
  <c r="AC9" i="83"/>
  <c r="AC12" i="83" s="1"/>
  <c r="AB9" i="83"/>
  <c r="AB12" i="83" s="1"/>
  <c r="AA9" i="83"/>
  <c r="AA12" i="83" s="1"/>
  <c r="Z9" i="83"/>
  <c r="Z10" i="83" s="1"/>
  <c r="C9" i="83"/>
  <c r="A7" i="83"/>
  <c r="I2" i="83"/>
  <c r="M12" i="83" s="1"/>
  <c r="G2" i="83"/>
  <c r="H113" i="83" s="1"/>
  <c r="M1" i="83"/>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C12" i="83" l="1"/>
  <c r="E47" i="83"/>
  <c r="B45" i="83" s="1"/>
  <c r="X7" i="83"/>
  <c r="AD12" i="83"/>
  <c r="C17" i="83"/>
  <c r="L17" i="83"/>
  <c r="H49" i="83"/>
  <c r="H53" i="83"/>
  <c r="H72" i="83"/>
  <c r="D100" i="83"/>
  <c r="L100" i="83"/>
  <c r="H108" i="83"/>
  <c r="Z12" i="83"/>
  <c r="AH12" i="83"/>
  <c r="H17" i="83"/>
  <c r="H47" i="83"/>
  <c r="H50" i="83"/>
  <c r="H55" i="83"/>
  <c r="E11" i="83"/>
  <c r="E10" i="83"/>
  <c r="E9" i="83"/>
  <c r="E8" i="83"/>
  <c r="N2" i="83"/>
  <c r="M3" i="83"/>
  <c r="N4" i="83"/>
  <c r="M5" i="83"/>
  <c r="M6" i="83"/>
  <c r="N7" i="83"/>
  <c r="N8" i="83"/>
  <c r="N9" i="83"/>
  <c r="M10" i="83"/>
  <c r="AA10" i="83"/>
  <c r="AC10" i="83"/>
  <c r="AE10" i="83"/>
  <c r="AG10" i="83"/>
  <c r="AI10" i="83"/>
  <c r="M11" i="83"/>
  <c r="N12" i="83"/>
  <c r="H87" i="83"/>
  <c r="H84" i="83"/>
  <c r="H82" i="83"/>
  <c r="H80" i="83"/>
  <c r="H81" i="83"/>
  <c r="H85" i="83"/>
  <c r="C108" i="83"/>
  <c r="C100" i="83"/>
  <c r="E108" i="83"/>
  <c r="E100" i="83"/>
  <c r="G108" i="83"/>
  <c r="G100" i="83"/>
  <c r="I108" i="83"/>
  <c r="I100" i="83"/>
  <c r="K108" i="83"/>
  <c r="K100" i="83"/>
  <c r="M108" i="83"/>
  <c r="M100" i="83"/>
  <c r="N1" i="83"/>
  <c r="F39" i="83"/>
  <c r="F38" i="83"/>
  <c r="F37" i="83"/>
  <c r="F36" i="83"/>
  <c r="F35" i="83"/>
  <c r="F34" i="83"/>
  <c r="F33" i="83"/>
  <c r="O17" i="83"/>
  <c r="M17" i="83"/>
  <c r="K17" i="83"/>
  <c r="I17" i="83"/>
  <c r="D17" i="83"/>
  <c r="M2" i="83"/>
  <c r="N3" i="83"/>
  <c r="M4" i="83"/>
  <c r="N5" i="83"/>
  <c r="C6" i="83"/>
  <c r="N6" i="83"/>
  <c r="F58" i="83" s="1"/>
  <c r="M7" i="83"/>
  <c r="M8" i="83"/>
  <c r="M9" i="83"/>
  <c r="N10" i="83"/>
  <c r="AB10" i="83"/>
  <c r="AF10" i="83"/>
  <c r="AJ10" i="83"/>
  <c r="N11" i="83"/>
  <c r="J17" i="83"/>
  <c r="N17" i="83"/>
  <c r="H77" i="83"/>
  <c r="H76" i="83"/>
  <c r="H73" i="83"/>
  <c r="H71" i="83"/>
  <c r="H69" i="83"/>
  <c r="H70" i="83"/>
  <c r="H74" i="83"/>
  <c r="E80" i="83"/>
  <c r="B78" i="83" s="1"/>
  <c r="H83" i="83"/>
  <c r="H86" i="83"/>
  <c r="H48" i="83"/>
  <c r="H51" i="83"/>
  <c r="H52" i="83"/>
  <c r="F100" i="83"/>
  <c r="J100" i="83"/>
  <c r="N100" i="83"/>
  <c r="G17" i="83" l="1"/>
  <c r="H66" i="83"/>
  <c r="G66" i="83" s="1"/>
  <c r="H65" i="83"/>
  <c r="G65" i="83" s="1"/>
  <c r="H64" i="83"/>
  <c r="G64" i="83" s="1"/>
  <c r="H63" i="83"/>
  <c r="G63" i="83" s="1"/>
  <c r="H60" i="83"/>
  <c r="G60" i="83" s="1"/>
  <c r="H59" i="83"/>
  <c r="H58" i="83"/>
  <c r="H61" i="83"/>
  <c r="G61" i="83" s="1"/>
  <c r="H62" i="83"/>
  <c r="G62" i="83" s="1"/>
  <c r="C7" i="83"/>
  <c r="M62" i="83" l="1"/>
  <c r="N62" i="83" s="1"/>
  <c r="K62" i="83"/>
  <c r="K58" i="83"/>
  <c r="M58" i="83"/>
  <c r="N58" i="83" s="1"/>
  <c r="K60" i="83"/>
  <c r="M60" i="83"/>
  <c r="N60" i="83" s="1"/>
  <c r="K64" i="83"/>
  <c r="M64" i="83"/>
  <c r="N64" i="83" s="1"/>
  <c r="K66" i="83"/>
  <c r="J66" i="83" s="1"/>
  <c r="D66" i="83" s="1"/>
  <c r="M66" i="83"/>
  <c r="N66" i="83" s="1"/>
  <c r="M61" i="83"/>
  <c r="N61" i="83" s="1"/>
  <c r="K61" i="83"/>
  <c r="K59" i="83"/>
  <c r="J59" i="83" s="1"/>
  <c r="M59" i="83"/>
  <c r="N59" i="83" s="1"/>
  <c r="K63" i="83"/>
  <c r="M63" i="83"/>
  <c r="N63" i="83" s="1"/>
  <c r="K65" i="83"/>
  <c r="J65" i="83" s="1"/>
  <c r="D65" i="83" s="1"/>
  <c r="M65" i="83"/>
  <c r="N65" i="83" s="1"/>
  <c r="J61" i="83" l="1"/>
  <c r="D61" i="83"/>
  <c r="D64" i="83"/>
  <c r="J64" i="83"/>
  <c r="D60" i="83"/>
  <c r="J60" i="83"/>
  <c r="D58" i="83"/>
  <c r="J58" i="83"/>
  <c r="D63" i="83"/>
  <c r="J63" i="83"/>
  <c r="J62" i="83"/>
  <c r="D62" i="83"/>
  <c r="E58" i="83" l="1"/>
  <c r="B56" i="83" s="1"/>
  <c r="C24" i="83" s="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D86" i="81"/>
  <c r="D84" i="81"/>
  <c r="D82" i="81"/>
  <c r="D80" i="81"/>
  <c r="D78" i="81"/>
  <c r="E78" i="81" s="1"/>
  <c r="B75" i="81"/>
  <c r="B73" i="81"/>
  <c r="H13" i="81" s="1"/>
  <c r="AB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J9" i="81" s="1"/>
  <c r="AC9" i="81" s="1"/>
  <c r="P50" i="81"/>
  <c r="P49" i="81"/>
  <c r="K49" i="81"/>
  <c r="P48" i="81"/>
  <c r="E48" i="81"/>
  <c r="Z47" i="81"/>
  <c r="Q47" i="81"/>
  <c r="AC46" i="81"/>
  <c r="Q46" i="81"/>
  <c r="Z46" i="81" s="1"/>
  <c r="J46" i="81"/>
  <c r="W46" i="81" s="1"/>
  <c r="H46" i="81"/>
  <c r="AB46" i="81" s="1"/>
  <c r="F46" i="81"/>
  <c r="AA46" i="81" s="1"/>
  <c r="Q45" i="81"/>
  <c r="Z45" i="81" s="1"/>
  <c r="Q44" i="81"/>
  <c r="Z44" i="81" s="1"/>
  <c r="J44" i="81"/>
  <c r="H44" i="81"/>
  <c r="AB44" i="81" s="1"/>
  <c r="F44" i="81"/>
  <c r="S44" i="81" s="1"/>
  <c r="Q43" i="81"/>
  <c r="Z43" i="81" s="1"/>
  <c r="J43" i="81"/>
  <c r="AC43" i="81" s="1"/>
  <c r="H43" i="81"/>
  <c r="F43" i="81"/>
  <c r="AA43" i="81" s="1"/>
  <c r="Q42" i="81"/>
  <c r="Z42" i="81" s="1"/>
  <c r="J42" i="81"/>
  <c r="W42" i="81" s="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Q38" i="81"/>
  <c r="Z38" i="81" s="1"/>
  <c r="J38" i="81"/>
  <c r="AC38" i="81" s="1"/>
  <c r="H38" i="81"/>
  <c r="AB38" i="81" s="1"/>
  <c r="F38" i="81"/>
  <c r="AA38" i="81" s="1"/>
  <c r="Q37" i="81"/>
  <c r="Z37" i="81" s="1"/>
  <c r="Q36" i="81"/>
  <c r="Z36" i="81" s="1"/>
  <c r="J36" i="81"/>
  <c r="H36" i="81"/>
  <c r="AB36" i="81" s="1"/>
  <c r="F36" i="81"/>
  <c r="S36" i="81" s="1"/>
  <c r="Q35" i="81"/>
  <c r="Z35" i="81" s="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Q30" i="81"/>
  <c r="Z30" i="81" s="1"/>
  <c r="J30" i="81"/>
  <c r="AC30" i="81" s="1"/>
  <c r="H30" i="81"/>
  <c r="F30" i="81"/>
  <c r="AA30" i="81" s="1"/>
  <c r="Q29" i="81"/>
  <c r="Z29" i="81" s="1"/>
  <c r="F29" i="81"/>
  <c r="Q28" i="81"/>
  <c r="Z28" i="81" s="1"/>
  <c r="J28" i="81"/>
  <c r="AC28" i="81" s="1"/>
  <c r="H28" i="81"/>
  <c r="F28" i="81"/>
  <c r="AA28" i="81" s="1"/>
  <c r="Q27" i="81"/>
  <c r="Z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Q12" i="81"/>
  <c r="Z12" i="81" s="1"/>
  <c r="J12" i="81"/>
  <c r="AC12" i="81" s="1"/>
  <c r="H12" i="81"/>
  <c r="AB12" i="81" s="1"/>
  <c r="F12" i="81"/>
  <c r="AA12" i="81" s="1"/>
  <c r="Q11" i="81"/>
  <c r="Z11" i="81" s="1"/>
  <c r="J11" i="81"/>
  <c r="H11" i="81"/>
  <c r="U11" i="81" s="1"/>
  <c r="F11" i="81"/>
  <c r="AA11" i="81" s="1"/>
  <c r="Q10" i="81"/>
  <c r="Z10" i="81" s="1"/>
  <c r="J10" i="81"/>
  <c r="AC10" i="81" s="1"/>
  <c r="H10" i="81"/>
  <c r="AB10" i="81" s="1"/>
  <c r="F10" i="81"/>
  <c r="AA10" i="81" s="1"/>
  <c r="Q9" i="81"/>
  <c r="Z9" i="81" s="1"/>
  <c r="J8" i="81"/>
  <c r="W8" i="81" s="1"/>
  <c r="H8" i="81"/>
  <c r="AB8" i="81" s="1"/>
  <c r="F8" i="81"/>
  <c r="S8" i="81" s="1"/>
  <c r="C7" i="81"/>
  <c r="C59" i="81" s="1"/>
  <c r="I5" i="81"/>
  <c r="E5" i="81"/>
  <c r="B130" i="79"/>
  <c r="H46" i="79" s="1"/>
  <c r="B128" i="79"/>
  <c r="J45" i="79" s="1"/>
  <c r="AC45" i="79" s="1"/>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D108" i="79"/>
  <c r="E108" i="79" s="1"/>
  <c r="F108" i="79" s="1"/>
  <c r="G108" i="79" s="1"/>
  <c r="H108" i="79" s="1"/>
  <c r="I108" i="79" s="1"/>
  <c r="J108" i="79" s="1"/>
  <c r="K108" i="79" s="1"/>
  <c r="L108" i="79" s="1"/>
  <c r="M108" i="79" s="1"/>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B98" i="79"/>
  <c r="H31" i="79" s="1"/>
  <c r="AB31" i="79" s="1"/>
  <c r="B96" i="79"/>
  <c r="B94" i="79"/>
  <c r="J29" i="79" s="1"/>
  <c r="B92" i="79"/>
  <c r="D91" i="79"/>
  <c r="E91" i="79" s="1"/>
  <c r="F91" i="79" s="1"/>
  <c r="G91" i="79" s="1"/>
  <c r="H91" i="79" s="1"/>
  <c r="I91" i="79" s="1"/>
  <c r="J91" i="79" s="1"/>
  <c r="K91" i="79" s="1"/>
  <c r="L91" i="79" s="1"/>
  <c r="M91" i="79" s="1"/>
  <c r="B90" i="79"/>
  <c r="J27" i="79" s="1"/>
  <c r="AC27" i="79" s="1"/>
  <c r="B88" i="79"/>
  <c r="H26" i="79" s="1"/>
  <c r="AB26" i="79" s="1"/>
  <c r="D87" i="79"/>
  <c r="J25" i="79" s="1"/>
  <c r="AC25" i="79" s="1"/>
  <c r="D85" i="79"/>
  <c r="E85" i="79" s="1"/>
  <c r="D83" i="79"/>
  <c r="E83" i="79" s="1"/>
  <c r="D81" i="79"/>
  <c r="D79" i="79"/>
  <c r="D77" i="79"/>
  <c r="E77" i="79" s="1"/>
  <c r="B74" i="79"/>
  <c r="H14" i="79" s="1"/>
  <c r="B72" i="79"/>
  <c r="H13" i="79" s="1"/>
  <c r="B70" i="79"/>
  <c r="H12" i="79" s="1"/>
  <c r="U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10" i="79" s="1"/>
  <c r="AB10" i="79" s="1"/>
  <c r="C63" i="79"/>
  <c r="H9" i="79" s="1"/>
  <c r="P49" i="79"/>
  <c r="P48" i="79"/>
  <c r="K48" i="79"/>
  <c r="R47" i="79"/>
  <c r="P47" i="79"/>
  <c r="I47" i="79"/>
  <c r="G47" i="79"/>
  <c r="Q46" i="79"/>
  <c r="Z46" i="79" s="1"/>
  <c r="F46" i="79"/>
  <c r="AA46" i="79" s="1"/>
  <c r="Q45" i="79"/>
  <c r="Z45" i="79" s="1"/>
  <c r="H45" i="79"/>
  <c r="AB45" i="79" s="1"/>
  <c r="Q44" i="79"/>
  <c r="Z44" i="79" s="1"/>
  <c r="F44" i="79"/>
  <c r="AA44" i="79" s="1"/>
  <c r="Q43" i="79"/>
  <c r="Z43" i="79" s="1"/>
  <c r="J43" i="79"/>
  <c r="AC43" i="79" s="1"/>
  <c r="H43" i="79"/>
  <c r="AB43" i="79" s="1"/>
  <c r="F43" i="79"/>
  <c r="AA43" i="79" s="1"/>
  <c r="AC42" i="79"/>
  <c r="Q42" i="79"/>
  <c r="Z42" i="79" s="1"/>
  <c r="J42" i="79"/>
  <c r="W42" i="79" s="1"/>
  <c r="H42" i="79"/>
  <c r="AB42" i="79" s="1"/>
  <c r="F42" i="79"/>
  <c r="AA42" i="79" s="1"/>
  <c r="Q41" i="79"/>
  <c r="Z41" i="79" s="1"/>
  <c r="J41" i="79"/>
  <c r="AC41" i="79" s="1"/>
  <c r="H41" i="79"/>
  <c r="U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W38" i="79" s="1"/>
  <c r="H38" i="79"/>
  <c r="AB38" i="79" s="1"/>
  <c r="F38" i="79"/>
  <c r="AA38" i="79" s="1"/>
  <c r="Q37" i="79"/>
  <c r="Z37" i="79" s="1"/>
  <c r="J37" i="79"/>
  <c r="AC37" i="79" s="1"/>
  <c r="H37" i="79"/>
  <c r="U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F32" i="79"/>
  <c r="AA32" i="79" s="1"/>
  <c r="Q31" i="79"/>
  <c r="Z31" i="79" s="1"/>
  <c r="Q30" i="79"/>
  <c r="Z30" i="79" s="1"/>
  <c r="Q29" i="79"/>
  <c r="Z29" i="79" s="1"/>
  <c r="H29" i="79"/>
  <c r="AB29" i="79" s="1"/>
  <c r="Q28" i="79"/>
  <c r="Z28" i="79" s="1"/>
  <c r="H28" i="79"/>
  <c r="AB28" i="79" s="1"/>
  <c r="Q27" i="79"/>
  <c r="Z27" i="79" s="1"/>
  <c r="Q26" i="79"/>
  <c r="Z26" i="79" s="1"/>
  <c r="Q25" i="79"/>
  <c r="Z25" i="79" s="1"/>
  <c r="Q23" i="79"/>
  <c r="Z23" i="79" s="1"/>
  <c r="C23" i="79"/>
  <c r="Q21" i="79"/>
  <c r="Z21" i="79" s="1"/>
  <c r="H21" i="79"/>
  <c r="AB21" i="79" s="1"/>
  <c r="C21" i="79"/>
  <c r="Q19" i="79"/>
  <c r="Z19" i="79" s="1"/>
  <c r="C19" i="79"/>
  <c r="Q17" i="79"/>
  <c r="Z17" i="79" s="1"/>
  <c r="C17" i="79"/>
  <c r="Q15" i="79"/>
  <c r="Z15" i="79" s="1"/>
  <c r="C15" i="79"/>
  <c r="Q14" i="79"/>
  <c r="Z14" i="79" s="1"/>
  <c r="J14" i="79"/>
  <c r="AC14" i="79" s="1"/>
  <c r="F14" i="79"/>
  <c r="AA14" i="79" s="1"/>
  <c r="Q13" i="79"/>
  <c r="Z13" i="79" s="1"/>
  <c r="J13" i="79"/>
  <c r="AC13" i="79" s="1"/>
  <c r="Q12" i="79"/>
  <c r="Z12" i="79" s="1"/>
  <c r="Q11" i="79"/>
  <c r="Z11" i="79" s="1"/>
  <c r="Q10" i="79"/>
  <c r="Z10" i="79" s="1"/>
  <c r="J10" i="79"/>
  <c r="AC10" i="79" s="1"/>
  <c r="F10" i="79"/>
  <c r="AA10" i="79" s="1"/>
  <c r="Q9" i="79"/>
  <c r="Z9" i="79" s="1"/>
  <c r="F9" i="79"/>
  <c r="AA9" i="79" s="1"/>
  <c r="S8" i="79"/>
  <c r="J8" i="79"/>
  <c r="AC8" i="79" s="1"/>
  <c r="H8" i="79"/>
  <c r="U8" i="79" s="1"/>
  <c r="F8" i="79"/>
  <c r="AA8" i="79" s="1"/>
  <c r="C7" i="79"/>
  <c r="C58" i="79" s="1"/>
  <c r="D58" i="79" s="1"/>
  <c r="I5" i="79"/>
  <c r="G5" i="79"/>
  <c r="E5" i="79"/>
  <c r="AC42" i="81" l="1"/>
  <c r="H66" i="79"/>
  <c r="I66" i="79" s="1"/>
  <c r="U35" i="79"/>
  <c r="F12" i="79"/>
  <c r="AA12" i="79" s="1"/>
  <c r="J12" i="79"/>
  <c r="AC12" i="79" s="1"/>
  <c r="F31" i="79"/>
  <c r="AA31" i="79" s="1"/>
  <c r="F9" i="81"/>
  <c r="AA9" i="81" s="1"/>
  <c r="J31" i="79"/>
  <c r="AC31" i="79" s="1"/>
  <c r="AC38" i="79"/>
  <c r="H9" i="81"/>
  <c r="AB14" i="79"/>
  <c r="U14" i="79"/>
  <c r="W29" i="79"/>
  <c r="AC29" i="79"/>
  <c r="F90" i="81"/>
  <c r="G90" i="81" s="1"/>
  <c r="H90" i="81" s="1"/>
  <c r="I90" i="81" s="1"/>
  <c r="J90" i="81" s="1"/>
  <c r="K90" i="81" s="1"/>
  <c r="L90" i="81" s="1"/>
  <c r="M90" i="81" s="1"/>
  <c r="J27" i="81"/>
  <c r="F27" i="81"/>
  <c r="AA27" i="81" s="1"/>
  <c r="H27" i="81"/>
  <c r="AB27" i="81" s="1"/>
  <c r="AB41" i="79"/>
  <c r="W12" i="81"/>
  <c r="AA36" i="81"/>
  <c r="W38" i="81"/>
  <c r="U41" i="81"/>
  <c r="AB37" i="79"/>
  <c r="W8" i="79"/>
  <c r="J9" i="79"/>
  <c r="F29" i="79"/>
  <c r="AA29" i="79" s="1"/>
  <c r="F45" i="79"/>
  <c r="AA45" i="79" s="1"/>
  <c r="AA44" i="81"/>
  <c r="W10" i="81"/>
  <c r="U8" i="81"/>
  <c r="AB12" i="79"/>
  <c r="E58" i="79"/>
  <c r="F58" i="79" s="1"/>
  <c r="G58" i="79" s="1"/>
  <c r="H58" i="79" s="1"/>
  <c r="I58" i="79" s="1"/>
  <c r="J58" i="79" s="1"/>
  <c r="K58" i="79" s="1"/>
  <c r="L58" i="79" s="1"/>
  <c r="M58" i="79" s="1"/>
  <c r="N58" i="79" s="1"/>
  <c r="O58" i="79" s="1"/>
  <c r="U21" i="79"/>
  <c r="U26" i="79"/>
  <c r="U28" i="79"/>
  <c r="S31" i="79"/>
  <c r="S34" i="79"/>
  <c r="S40" i="79"/>
  <c r="I54" i="79"/>
  <c r="J54" i="79" s="1"/>
  <c r="AB13" i="79"/>
  <c r="U13" i="79"/>
  <c r="E79" i="79"/>
  <c r="F17" i="79" s="1"/>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B11" i="81"/>
  <c r="AC14" i="81"/>
  <c r="W14" i="81"/>
  <c r="S14" i="81"/>
  <c r="AB28" i="81"/>
  <c r="U28" i="81"/>
  <c r="AA29" i="81"/>
  <c r="S29" i="81"/>
  <c r="AB32" i="81"/>
  <c r="U32" i="81"/>
  <c r="AC33" i="81"/>
  <c r="W33" i="81"/>
  <c r="S33" i="81"/>
  <c r="AB39" i="81"/>
  <c r="U39" i="81"/>
  <c r="AC40" i="81"/>
  <c r="W40" i="81"/>
  <c r="S40" i="81"/>
  <c r="E80" i="81"/>
  <c r="H17" i="81" s="1"/>
  <c r="E84" i="81"/>
  <c r="E88" i="81"/>
  <c r="F88" i="81" s="1"/>
  <c r="G88" i="81" s="1"/>
  <c r="H88" i="81" s="1"/>
  <c r="I88" i="81" s="1"/>
  <c r="J88" i="81" s="1"/>
  <c r="K88" i="81" s="1"/>
  <c r="L88" i="81" s="1"/>
  <c r="M88" i="81" s="1"/>
  <c r="J25" i="81"/>
  <c r="F25" i="81"/>
  <c r="G112" i="81"/>
  <c r="J37" i="81" s="1"/>
  <c r="J45" i="81"/>
  <c r="F45" i="81"/>
  <c r="J47" i="81"/>
  <c r="F47" i="81"/>
  <c r="H47" i="81"/>
  <c r="AB8" i="79"/>
  <c r="S9" i="79"/>
  <c r="U10" i="79"/>
  <c r="F13" i="79"/>
  <c r="W13" i="79"/>
  <c r="F25" i="79"/>
  <c r="W25" i="79"/>
  <c r="F27" i="79"/>
  <c r="W27" i="79"/>
  <c r="S29" i="79"/>
  <c r="H30" i="79"/>
  <c r="U32"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AC11" i="81"/>
  <c r="W11" i="81"/>
  <c r="S11"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F17" i="81" l="1"/>
  <c r="W31" i="79"/>
  <c r="AB9" i="81"/>
  <c r="U9" i="81"/>
  <c r="W9" i="79"/>
  <c r="AC9" i="79"/>
  <c r="W27" i="81"/>
  <c r="AC27" i="81"/>
  <c r="H7" i="79"/>
  <c r="F7" i="79"/>
  <c r="S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H19" i="81"/>
  <c r="H15" i="81"/>
  <c r="AA13" i="81"/>
  <c r="S13" i="81"/>
  <c r="W31" i="81"/>
  <c r="AC31" i="81"/>
  <c r="AC29" i="81"/>
  <c r="W29" i="81"/>
  <c r="U25" i="81"/>
  <c r="AB25" i="81"/>
  <c r="AB27" i="79"/>
  <c r="U27" i="79"/>
  <c r="AC26" i="79"/>
  <c r="W26" i="79"/>
  <c r="AC44" i="79"/>
  <c r="W44" i="79"/>
  <c r="F36"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J7" i="79"/>
  <c r="F23" i="81"/>
  <c r="J23" i="81"/>
  <c r="AB29" i="81"/>
  <c r="U29" i="81"/>
  <c r="U45" i="81"/>
  <c r="AB45" i="81"/>
  <c r="AA26" i="79"/>
  <c r="S26" i="79"/>
  <c r="AB7" i="79"/>
  <c r="U7" i="79"/>
  <c r="AA47" i="81"/>
  <c r="S47" i="81"/>
  <c r="AA45" i="81"/>
  <c r="S45" i="81"/>
  <c r="AC37" i="81"/>
  <c r="W37" i="81"/>
  <c r="AC28" i="79"/>
  <c r="W28" i="79"/>
  <c r="AA7" i="79" l="1"/>
  <c r="AC23" i="81"/>
  <c r="W23" i="81"/>
  <c r="AB19" i="79"/>
  <c r="U19" i="79"/>
  <c r="AC17" i="81"/>
  <c r="W17" i="81"/>
  <c r="AB15" i="81"/>
  <c r="U15"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15" i="79"/>
  <c r="W15" i="79"/>
  <c r="AC36" i="79"/>
  <c r="W36" i="79"/>
  <c r="AC21" i="81"/>
  <c r="W21" i="81"/>
  <c r="F59" i="81"/>
  <c r="S15" i="81"/>
  <c r="AA15" i="81"/>
  <c r="AC19" i="81"/>
  <c r="W19" i="81"/>
  <c r="G59" i="81" l="1"/>
  <c r="H59" i="81" l="1"/>
  <c r="I59" i="81" l="1"/>
  <c r="J59" i="81" l="1"/>
  <c r="K59" i="81" l="1"/>
  <c r="L59" i="81" l="1"/>
  <c r="M59" i="81" l="1"/>
  <c r="N59" i="81" s="1"/>
  <c r="O59" i="81" s="1"/>
  <c r="H7" i="81"/>
  <c r="U7" i="81" l="1"/>
  <c r="AB7" i="81"/>
  <c r="J7" i="81"/>
  <c r="F7" i="81"/>
  <c r="AA7" i="81" l="1"/>
  <c r="S7" i="81"/>
  <c r="AC7" i="81"/>
  <c r="W7" i="81"/>
  <c r="M13" i="3" l="1"/>
  <c r="F23" i="69" l="1"/>
  <c r="F20" i="77" s="1"/>
  <c r="F24" i="69"/>
  <c r="F21" i="77" s="1"/>
  <c r="F35" i="77" l="1"/>
  <c r="F35" i="15" l="1"/>
  <c r="E5" i="33"/>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13" i="72" l="1"/>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M77" i="72"/>
  <c r="N77" i="72" s="1"/>
  <c r="K77" i="72"/>
  <c r="J77" i="72" s="1"/>
  <c r="D77" i="72"/>
  <c r="M76" i="72"/>
  <c r="N76" i="72" s="1"/>
  <c r="K76" i="72"/>
  <c r="J76" i="72" s="1"/>
  <c r="D76" i="72"/>
  <c r="M75" i="72"/>
  <c r="N75" i="72" s="1"/>
  <c r="K75" i="72"/>
  <c r="J75" i="72" s="1"/>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B60" i="72"/>
  <c r="M55" i="72"/>
  <c r="N55" i="72" s="1"/>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E69" i="72" l="1"/>
  <c r="B67" i="72" s="1"/>
  <c r="E80" i="72"/>
  <c r="B78" i="72" s="1"/>
  <c r="AB12" i="7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F47" i="71" l="1"/>
  <c r="H52" i="71" s="1"/>
  <c r="G52" i="71" s="1"/>
  <c r="C6" i="71"/>
  <c r="B3" i="68" s="1"/>
  <c r="C7" i="72"/>
  <c r="C6" i="72"/>
  <c r="B4" i="68" s="1"/>
  <c r="B5" i="68" s="1"/>
  <c r="H65" i="72"/>
  <c r="G65" i="72" s="1"/>
  <c r="H64" i="72"/>
  <c r="G64" i="72" s="1"/>
  <c r="H60" i="72"/>
  <c r="G60" i="72" s="1"/>
  <c r="H66" i="72"/>
  <c r="G66" i="72" s="1"/>
  <c r="H61" i="72"/>
  <c r="G61" i="72" s="1"/>
  <c r="H58" i="72"/>
  <c r="H59" i="72"/>
  <c r="H63" i="72"/>
  <c r="G63" i="72" s="1"/>
  <c r="H62" i="72"/>
  <c r="G62" i="72" s="1"/>
  <c r="G17" i="72"/>
  <c r="G17" i="71"/>
  <c r="C7" i="71"/>
  <c r="C3" i="68" s="1"/>
  <c r="H49" i="71" l="1"/>
  <c r="G49" i="71" s="1"/>
  <c r="H51" i="71"/>
  <c r="G51" i="71" s="1"/>
  <c r="H54" i="71"/>
  <c r="G54" i="71" s="1"/>
  <c r="H48" i="71"/>
  <c r="H55" i="71"/>
  <c r="G55" i="71" s="1"/>
  <c r="K55" i="71" s="1"/>
  <c r="J55" i="71" s="1"/>
  <c r="D55" i="71" s="1"/>
  <c r="H53" i="71"/>
  <c r="G53" i="71" s="1"/>
  <c r="M53" i="71" s="1"/>
  <c r="N53" i="71" s="1"/>
  <c r="H50" i="71"/>
  <c r="G50" i="71" s="1"/>
  <c r="M50" i="71" s="1"/>
  <c r="N50" i="71" s="1"/>
  <c r="H47" i="71"/>
  <c r="M47" i="71" s="1"/>
  <c r="N47" i="71" s="1"/>
  <c r="K52" i="71"/>
  <c r="J52" i="71" s="1"/>
  <c r="M52" i="71"/>
  <c r="M55" i="71"/>
  <c r="N55"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K50" i="71"/>
  <c r="K53" i="7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I5"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P20" i="59"/>
  <c r="O20" i="59"/>
  <c r="C20" i="59" s="1"/>
  <c r="C19" i="59" s="1"/>
  <c r="N20" i="59"/>
  <c r="N21" i="59"/>
  <c r="Q21" i="59"/>
  <c r="P21" i="59"/>
  <c r="O21" i="59"/>
  <c r="K59" i="15"/>
  <c r="P75" i="15" s="1"/>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c r="AE9" i="46"/>
  <c r="AF9" i="46"/>
  <c r="AF10" i="46" s="1"/>
  <c r="AG9" i="46"/>
  <c r="AG10" i="46" s="1"/>
  <c r="AH9" i="46"/>
  <c r="AH10" i="46" s="1"/>
  <c r="AI9" i="46"/>
  <c r="AI10" i="46" s="1"/>
  <c r="AJ9" i="46"/>
  <c r="AJ10" i="46" s="1"/>
  <c r="Z9" i="46"/>
  <c r="Z10" i="46" s="1"/>
  <c r="AE10" i="46"/>
  <c r="Y10"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s="1"/>
  <c r="B82" i="59" s="1"/>
  <c r="D81" i="59"/>
  <c r="F80" i="59"/>
  <c r="F79" i="59" s="1"/>
  <c r="F78" i="59" s="1"/>
  <c r="E80" i="59"/>
  <c r="E79" i="59" s="1"/>
  <c r="E78" i="59" s="1"/>
  <c r="C80" i="59"/>
  <c r="D80" i="59" s="1"/>
  <c r="B80" i="59"/>
  <c r="B79" i="59" s="1"/>
  <c r="B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Q72" i="59"/>
  <c r="P72" i="59"/>
  <c r="O72" i="59"/>
  <c r="N72" i="59"/>
  <c r="F72" i="59"/>
  <c r="V72" i="59" s="1"/>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F64" i="59"/>
  <c r="E64" i="59"/>
  <c r="E63" i="59" s="1"/>
  <c r="C64" i="59"/>
  <c r="B64" i="59"/>
  <c r="N64" i="59" s="1"/>
  <c r="B63" i="59"/>
  <c r="N63" i="59" s="1"/>
  <c r="D61" i="59"/>
  <c r="Q60" i="59"/>
  <c r="P60" i="59"/>
  <c r="O60" i="59"/>
  <c r="N60" i="59"/>
  <c r="Q59" i="59"/>
  <c r="P59" i="59"/>
  <c r="O59" i="59"/>
  <c r="N59" i="59"/>
  <c r="Q58" i="59"/>
  <c r="P58" i="59"/>
  <c r="O58" i="59"/>
  <c r="N58" i="59"/>
  <c r="Q57" i="59"/>
  <c r="F58"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c r="O53" i="59"/>
  <c r="C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D45" i="59"/>
  <c r="T44" i="59"/>
  <c r="Q44" i="59"/>
  <c r="P44" i="59"/>
  <c r="O44" i="59"/>
  <c r="N44" i="59"/>
  <c r="D44" i="59"/>
  <c r="Q43" i="59"/>
  <c r="P43" i="59"/>
  <c r="O43" i="59"/>
  <c r="N43" i="59"/>
  <c r="Q42" i="59"/>
  <c r="P42" i="59"/>
  <c r="O42" i="59"/>
  <c r="N42" i="59"/>
  <c r="Q41" i="59"/>
  <c r="F42"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Q36" i="59"/>
  <c r="P36" i="59"/>
  <c r="O36" i="59"/>
  <c r="N36" i="59"/>
  <c r="Q35" i="59"/>
  <c r="P35" i="59"/>
  <c r="O35" i="59"/>
  <c r="N35" i="59"/>
  <c r="Q34" i="59"/>
  <c r="P34" i="59"/>
  <c r="O34" i="59"/>
  <c r="N34" i="59"/>
  <c r="X34" i="59" s="1"/>
  <c r="Q33" i="59"/>
  <c r="F34" i="59" s="1"/>
  <c r="P33" i="59"/>
  <c r="E34" i="59" s="1"/>
  <c r="O33" i="59"/>
  <c r="C34" i="59" s="1"/>
  <c r="N33" i="59"/>
  <c r="B34" i="59" s="1"/>
  <c r="D33" i="59"/>
  <c r="Q32" i="59"/>
  <c r="P32" i="59"/>
  <c r="O32" i="59"/>
  <c r="N32" i="59"/>
  <c r="Q31" i="59"/>
  <c r="P31" i="59"/>
  <c r="O31" i="59"/>
  <c r="N31" i="59"/>
  <c r="Q30" i="59"/>
  <c r="P30" i="59"/>
  <c r="O30" i="59"/>
  <c r="N30" i="59"/>
  <c r="Q29" i="59"/>
  <c r="F30" i="59" s="1"/>
  <c r="P29" i="59"/>
  <c r="O29" i="59"/>
  <c r="C30" i="59" s="1"/>
  <c r="D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S64" i="59"/>
  <c r="T64" i="59"/>
  <c r="O64" i="59"/>
  <c r="D64" i="59"/>
  <c r="C63" i="59"/>
  <c r="D63" i="59" s="1"/>
  <c r="P64" i="59"/>
  <c r="C67" i="59"/>
  <c r="C66" i="59" s="1"/>
  <c r="D66" i="59" s="1"/>
  <c r="D68" i="59"/>
  <c r="C75" i="59"/>
  <c r="C74" i="59" s="1"/>
  <c r="D74" i="59" s="1"/>
  <c r="E75" i="59"/>
  <c r="E74" i="59" s="1"/>
  <c r="D76" i="59"/>
  <c r="C83" i="59"/>
  <c r="D83" i="59" s="1"/>
  <c r="U16" i="4"/>
  <c r="S16" i="4"/>
  <c r="Q16" i="4"/>
  <c r="O16" i="4"/>
  <c r="M16" i="4"/>
  <c r="K16" i="4"/>
  <c r="D67" i="59"/>
  <c r="C62" i="59"/>
  <c r="O62" i="59" s="1"/>
  <c r="O63" i="59"/>
  <c r="O27" i="6"/>
  <c r="N27" i="6"/>
  <c r="P26" i="6"/>
  <c r="L26" i="6"/>
  <c r="P25" i="6"/>
  <c r="L25" i="6"/>
  <c r="P24" i="6"/>
  <c r="L24" i="6"/>
  <c r="P23" i="6"/>
  <c r="L23" i="6"/>
  <c r="P22" i="6"/>
  <c r="L22" i="6"/>
  <c r="P21" i="6"/>
  <c r="L21" i="6"/>
  <c r="P20" i="6"/>
  <c r="P19" i="6"/>
  <c r="Q18" i="36"/>
  <c r="Z18" i="36" s="1"/>
  <c r="C18" i="36"/>
  <c r="D66" i="36"/>
  <c r="F18" i="36"/>
  <c r="S18" i="36" s="1"/>
  <c r="Q18" i="35"/>
  <c r="Z18" i="35" s="1"/>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6" i="40"/>
  <c r="E96" i="40" s="1"/>
  <c r="F96" i="40" s="1"/>
  <c r="F27" i="40"/>
  <c r="AA27" i="40" s="1"/>
  <c r="Q31" i="39"/>
  <c r="Z31" i="39" s="1"/>
  <c r="D105" i="39"/>
  <c r="E105" i="39" s="1"/>
  <c r="F105" i="39" s="1"/>
  <c r="F31" i="39"/>
  <c r="G20" i="20"/>
  <c r="B85" i="83" s="1"/>
  <c r="C22" i="20"/>
  <c r="B54" i="46" s="1"/>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6" i="46"/>
  <c r="D74" i="46"/>
  <c r="D73" i="46"/>
  <c r="D72" i="46"/>
  <c r="D70"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83" s="1"/>
  <c r="A12" i="1"/>
  <c r="R12" i="1" s="1"/>
  <c r="A13" i="1"/>
  <c r="B13" i="1" s="1"/>
  <c r="E13" i="1" s="1"/>
  <c r="A7" i="1"/>
  <c r="A8" i="1"/>
  <c r="A9" i="1"/>
  <c r="A10" i="1"/>
  <c r="R10" i="1" s="1"/>
  <c r="A11" i="1"/>
  <c r="A6" i="1"/>
  <c r="K1" i="84" s="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AZ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L473" i="3" s="1"/>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A453" i="3" s="1"/>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s="1"/>
  <c r="H16" i="3"/>
  <c r="AC16" i="3"/>
  <c r="H17" i="3"/>
  <c r="AC17" i="3"/>
  <c r="H18" i="3"/>
  <c r="AC18" i="3"/>
  <c r="BB18" i="3"/>
  <c r="BC18" i="3"/>
  <c r="BD18" i="3"/>
  <c r="BE18" i="3"/>
  <c r="BF18" i="3"/>
  <c r="BA18" i="3" s="1"/>
  <c r="BG18" i="3"/>
  <c r="BH18" i="3"/>
  <c r="BI18" i="3"/>
  <c r="BJ18" i="3"/>
  <c r="BK18" i="3"/>
  <c r="BM18" i="3"/>
  <c r="BN18" i="3"/>
  <c r="BO18" i="3"/>
  <c r="BO5" i="3" s="1"/>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A20" i="3" s="1"/>
  <c r="BH20" i="3"/>
  <c r="BI20" i="3"/>
  <c r="BJ20" i="3"/>
  <c r="BK20" i="3"/>
  <c r="BM20" i="3"/>
  <c r="BN20" i="3"/>
  <c r="BO20" i="3"/>
  <c r="BP20" i="3"/>
  <c r="BR20" i="3"/>
  <c r="BS20" i="3"/>
  <c r="BT20" i="3"/>
  <c r="H481" i="3"/>
  <c r="AC481" i="3"/>
  <c r="BB481" i="3"/>
  <c r="BC481" i="3"/>
  <c r="BD481" i="3"/>
  <c r="BA481" i="3" s="1"/>
  <c r="BE481" i="3"/>
  <c r="BF481" i="3"/>
  <c r="BG481" i="3"/>
  <c r="BH481" i="3"/>
  <c r="BI481" i="3"/>
  <c r="BJ481" i="3"/>
  <c r="BK481" i="3"/>
  <c r="BM481" i="3"/>
  <c r="BL481" i="3" s="1"/>
  <c r="BN481" i="3"/>
  <c r="BO481" i="3"/>
  <c r="BP481" i="3"/>
  <c r="BQ481" i="3"/>
  <c r="BR481" i="3"/>
  <c r="BS481" i="3"/>
  <c r="BT481" i="3"/>
  <c r="H482" i="3"/>
  <c r="AC482" i="3"/>
  <c r="BB482" i="3"/>
  <c r="BC482" i="3"/>
  <c r="BD482" i="3"/>
  <c r="BE482" i="3"/>
  <c r="BF482" i="3"/>
  <c r="BG482" i="3"/>
  <c r="BH482" i="3"/>
  <c r="BA482" i="3" s="1"/>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N5" i="3" s="1"/>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S5" i="3" s="1"/>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A486" i="3" s="1"/>
  <c r="BC486" i="3"/>
  <c r="BD486" i="3"/>
  <c r="BE486" i="3"/>
  <c r="BF486" i="3"/>
  <c r="BG486" i="3"/>
  <c r="BH486" i="3"/>
  <c r="BI486" i="3"/>
  <c r="BJ486" i="3"/>
  <c r="BK486" i="3"/>
  <c r="BM486" i="3"/>
  <c r="BN486" i="3"/>
  <c r="BO486" i="3"/>
  <c r="BP486" i="3"/>
  <c r="BR486" i="3"/>
  <c r="BS486" i="3"/>
  <c r="BT486" i="3"/>
  <c r="BL486" i="3" s="1"/>
  <c r="H487" i="3"/>
  <c r="G487" i="3" s="1"/>
  <c r="AC487" i="3"/>
  <c r="BB487" i="3"/>
  <c r="BC487" i="3"/>
  <c r="BD487" i="3"/>
  <c r="BE487" i="3"/>
  <c r="BF487" i="3"/>
  <c r="BG487" i="3"/>
  <c r="BA487" i="3" s="1"/>
  <c r="BH487" i="3"/>
  <c r="BI487" i="3"/>
  <c r="BJ487" i="3"/>
  <c r="BK487" i="3"/>
  <c r="BM487" i="3"/>
  <c r="BN487" i="3"/>
  <c r="BO487" i="3"/>
  <c r="BP487" i="3"/>
  <c r="BL487" i="3" s="1"/>
  <c r="AZ487" i="3" s="1"/>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A491" i="3" s="1"/>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L493" i="3" s="1"/>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A500" i="3" s="1"/>
  <c r="BJ500" i="3"/>
  <c r="BK500" i="3"/>
  <c r="BM500" i="3"/>
  <c r="BN500" i="3"/>
  <c r="BO500" i="3"/>
  <c r="BP500" i="3"/>
  <c r="BR500" i="3"/>
  <c r="BS500" i="3"/>
  <c r="BT500" i="3"/>
  <c r="H501" i="3"/>
  <c r="AC501" i="3"/>
  <c r="BB501" i="3"/>
  <c r="BC501" i="3"/>
  <c r="BD501" i="3"/>
  <c r="BE501" i="3"/>
  <c r="BF501" i="3"/>
  <c r="BA501" i="3" s="1"/>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L503" i="3" s="1"/>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A505" i="3" s="1"/>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L519" i="3" s="1"/>
  <c r="BR519" i="3"/>
  <c r="BS519" i="3"/>
  <c r="BT519" i="3"/>
  <c r="H520" i="3"/>
  <c r="AC520" i="3"/>
  <c r="BB520" i="3"/>
  <c r="BC520" i="3"/>
  <c r="BD520" i="3"/>
  <c r="BA520" i="3" s="1"/>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A536" i="3" s="1"/>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A537" i="3" s="1"/>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L539" i="3" s="1"/>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L551" i="3" s="1"/>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A566" i="3" s="1"/>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L567" i="3" s="1"/>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AB31" i="35" s="1"/>
  <c r="F31" i="35"/>
  <c r="AA31" i="35" s="1"/>
  <c r="D87" i="35"/>
  <c r="E87" i="35" s="1"/>
  <c r="F87" i="35" s="1"/>
  <c r="G87" i="35" s="1"/>
  <c r="H87" i="35" s="1"/>
  <c r="I87" i="35" s="1"/>
  <c r="J87" i="35" s="1"/>
  <c r="K87" i="35" s="1"/>
  <c r="L87" i="35" s="1"/>
  <c r="M87" i="35" s="1"/>
  <c r="H34" i="37"/>
  <c r="AB34" i="37" s="1"/>
  <c r="D101" i="37"/>
  <c r="F34" i="37"/>
  <c r="S34" i="37" s="1"/>
  <c r="D99" i="37"/>
  <c r="E99" i="37"/>
  <c r="H42" i="34"/>
  <c r="AB42" i="34" s="1"/>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s="1"/>
  <c r="H83" i="39" s="1"/>
  <c r="I83" i="39" s="1"/>
  <c r="J83" i="39" s="1"/>
  <c r="K83" i="39" s="1"/>
  <c r="L83" i="39" s="1"/>
  <c r="M83" i="39" s="1"/>
  <c r="D78" i="40"/>
  <c r="F13" i="40"/>
  <c r="S13" i="40" s="1"/>
  <c r="B122" i="40"/>
  <c r="F42" i="40" s="1"/>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s="1"/>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c r="Q36" i="40"/>
  <c r="Z36" i="40"/>
  <c r="Q35" i="40"/>
  <c r="Z35" i="40" s="1"/>
  <c r="Q34" i="40"/>
  <c r="Z34" i="40" s="1"/>
  <c r="Q33" i="40"/>
  <c r="Z33" i="40" s="1"/>
  <c r="Q32" i="40"/>
  <c r="Z32" i="40"/>
  <c r="Q30" i="40"/>
  <c r="Z30" i="40"/>
  <c r="Q29" i="40"/>
  <c r="Z29" i="40" s="1"/>
  <c r="Q25" i="40"/>
  <c r="Z25" i="40" s="1"/>
  <c r="Q23" i="40"/>
  <c r="Z23" i="40" s="1"/>
  <c r="Q21" i="40"/>
  <c r="Z21" i="40"/>
  <c r="Q19" i="40"/>
  <c r="Z19" i="40"/>
  <c r="Q17" i="40"/>
  <c r="Z17" i="40" s="1"/>
  <c r="Q16" i="40"/>
  <c r="Z16" i="40" s="1"/>
  <c r="Q15" i="40"/>
  <c r="Z15" i="40" s="1"/>
  <c r="Q14" i="40"/>
  <c r="Z14" i="40" s="1"/>
  <c r="Q13" i="40"/>
  <c r="Z13" i="40"/>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c r="Q47" i="39"/>
  <c r="Z47" i="39"/>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W24" i="36" s="1"/>
  <c r="B71" i="36"/>
  <c r="D70" i="36"/>
  <c r="H22" i="36"/>
  <c r="AB22" i="36" s="1"/>
  <c r="D68" i="36"/>
  <c r="E68" i="36" s="1"/>
  <c r="F68" i="36" s="1"/>
  <c r="G68" i="36" s="1"/>
  <c r="D64" i="36"/>
  <c r="E64" i="36" s="1"/>
  <c r="F64" i="36" s="1"/>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J34" i="35" s="1"/>
  <c r="AC34" i="35" s="1"/>
  <c r="B77" i="35"/>
  <c r="B75" i="35"/>
  <c r="J24" i="35" s="1"/>
  <c r="AC24" i="35" s="1"/>
  <c r="B73" i="35"/>
  <c r="J23" i="35" s="1"/>
  <c r="B57" i="35"/>
  <c r="B61" i="35"/>
  <c r="H13" i="35" s="1"/>
  <c r="B59" i="35"/>
  <c r="F12" i="35" s="1"/>
  <c r="AA12" i="35" s="1"/>
  <c r="B131" i="34"/>
  <c r="B129" i="34"/>
  <c r="J46" i="34" s="1"/>
  <c r="AC46" i="34" s="1"/>
  <c r="B127" i="34"/>
  <c r="H45" i="34" s="1"/>
  <c r="U45" i="34" s="1"/>
  <c r="B99" i="34"/>
  <c r="B97" i="34"/>
  <c r="B95" i="34"/>
  <c r="B93" i="34"/>
  <c r="J29" i="34" s="1"/>
  <c r="AC29" i="34" s="1"/>
  <c r="B75" i="34"/>
  <c r="B73" i="34"/>
  <c r="F13" i="34" s="1"/>
  <c r="AA13" i="34" s="1"/>
  <c r="B71" i="34"/>
  <c r="J12" i="34" s="1"/>
  <c r="AC12" i="34" s="1"/>
  <c r="B130" i="33"/>
  <c r="B128" i="33"/>
  <c r="F45" i="33" s="1"/>
  <c r="S45" i="33" s="1"/>
  <c r="B126" i="33"/>
  <c r="B98" i="33"/>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c r="Q16" i="35"/>
  <c r="Z16" i="35"/>
  <c r="Q14" i="35"/>
  <c r="Z14" i="35" s="1"/>
  <c r="Q13" i="35"/>
  <c r="Z13" i="35" s="1"/>
  <c r="Q12" i="35"/>
  <c r="Z12" i="35" s="1"/>
  <c r="Q11" i="35"/>
  <c r="Z11" i="35"/>
  <c r="Q10" i="35"/>
  <c r="Z10" i="35"/>
  <c r="Q9" i="35"/>
  <c r="Z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D86" i="34"/>
  <c r="E86" i="34" s="1"/>
  <c r="F86" i="34" s="1"/>
  <c r="G86" i="34" s="1"/>
  <c r="D82" i="34"/>
  <c r="E82" i="34" s="1"/>
  <c r="D80" i="34"/>
  <c r="E80" i="34" s="1"/>
  <c r="J17" i="34" s="1"/>
  <c r="AC17"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s="1"/>
  <c r="Q40" i="34"/>
  <c r="Z40" i="34" s="1"/>
  <c r="F40" i="34"/>
  <c r="S40" i="34" s="1"/>
  <c r="Q39" i="34"/>
  <c r="Z39" i="34" s="1"/>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B88" i="33"/>
  <c r="C23" i="33"/>
  <c r="C19" i="33"/>
  <c r="C17" i="33"/>
  <c r="C15" i="33"/>
  <c r="C15" i="21"/>
  <c r="D125" i="33"/>
  <c r="D123" i="33"/>
  <c r="E123" i="33" s="1"/>
  <c r="F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C25" i="40"/>
  <c r="G16" i="20"/>
  <c r="B81" i="83" s="1"/>
  <c r="G15" i="20"/>
  <c r="B80" i="83"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J44" i="21" s="1"/>
  <c r="AC44" i="21" s="1"/>
  <c r="B98" i="21"/>
  <c r="B96" i="21"/>
  <c r="B94" i="21"/>
  <c r="J29" i="21" s="1"/>
  <c r="AC29" i="21" s="1"/>
  <c r="B92" i="21"/>
  <c r="B90" i="21"/>
  <c r="B74" i="21"/>
  <c r="F14" i="21" s="1"/>
  <c r="AA14" i="21" s="1"/>
  <c r="B72" i="21"/>
  <c r="J13" i="21" s="1"/>
  <c r="AC13" i="21" s="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C33" i="7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L571" i="3" s="1"/>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F43" i="21"/>
  <c r="S43" i="21" s="1"/>
  <c r="H38" i="21"/>
  <c r="AB38" i="21" s="1"/>
  <c r="H43" i="21"/>
  <c r="AB43" i="21" s="1"/>
  <c r="F32" i="21"/>
  <c r="F38" i="21"/>
  <c r="F36" i="21"/>
  <c r="S36" i="21" s="1"/>
  <c r="F39" i="21"/>
  <c r="AA39" i="21" s="1"/>
  <c r="J40" i="2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J19" i="21"/>
  <c r="W19" i="21" s="1"/>
  <c r="J26" i="21"/>
  <c r="W26" i="21" s="1"/>
  <c r="F26" i="21"/>
  <c r="AA26" i="21" s="1"/>
  <c r="AB41" i="21"/>
  <c r="S41" i="21"/>
  <c r="AA41" i="21"/>
  <c r="S10" i="39"/>
  <c r="U30" i="37"/>
  <c r="F103" i="37"/>
  <c r="G103" i="37" s="1"/>
  <c r="H103" i="37" s="1"/>
  <c r="I103" i="37" s="1"/>
  <c r="J103" i="37" s="1"/>
  <c r="F29" i="36"/>
  <c r="AA29" i="36" s="1"/>
  <c r="F16" i="36"/>
  <c r="AA16" i="36" s="1"/>
  <c r="U22" i="36"/>
  <c r="W22" i="36"/>
  <c r="AC31" i="36"/>
  <c r="J33" i="36"/>
  <c r="W33" i="36" s="1"/>
  <c r="AC27" i="35"/>
  <c r="U31" i="35"/>
  <c r="W24" i="35"/>
  <c r="S31" i="35"/>
  <c r="F36" i="34"/>
  <c r="S36" i="34" s="1"/>
  <c r="W39" i="34"/>
  <c r="F26" i="33"/>
  <c r="AA26" i="33" s="1"/>
  <c r="S8" i="21"/>
  <c r="AB27" i="35"/>
  <c r="S10" i="40"/>
  <c r="W10" i="40"/>
  <c r="S11" i="40"/>
  <c r="U11" i="40"/>
  <c r="S36" i="40"/>
  <c r="U36" i="40"/>
  <c r="S40" i="39"/>
  <c r="S36" i="39"/>
  <c r="C29" i="39"/>
  <c r="U36" i="39"/>
  <c r="S42" i="39"/>
  <c r="H11" i="21"/>
  <c r="U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S10" i="36"/>
  <c r="AB8" i="36"/>
  <c r="H16" i="35"/>
  <c r="H33" i="35"/>
  <c r="AB33" i="35" s="1"/>
  <c r="AC8" i="35"/>
  <c r="F35" i="37"/>
  <c r="E101" i="37"/>
  <c r="F101" i="37" s="1"/>
  <c r="G101" i="37" s="1"/>
  <c r="H101" i="37" s="1"/>
  <c r="I101" i="37" s="1"/>
  <c r="J101" i="37" s="1"/>
  <c r="K101" i="37" s="1"/>
  <c r="L101" i="37" s="1"/>
  <c r="M101" i="37" s="1"/>
  <c r="J34" i="37"/>
  <c r="W34" i="37"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AB29" i="35" s="1"/>
  <c r="U34" i="37"/>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F28" i="33"/>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H27" i="21"/>
  <c r="AB27" i="21" s="1"/>
  <c r="J27" i="21"/>
  <c r="W27" i="21" s="1"/>
  <c r="F27" i="21"/>
  <c r="AA27" i="21" s="1"/>
  <c r="H29" i="21"/>
  <c r="U29" i="21" s="1"/>
  <c r="F29" i="21"/>
  <c r="S29" i="21" s="1"/>
  <c r="J31" i="21"/>
  <c r="AC31" i="21" s="1"/>
  <c r="H31" i="21"/>
  <c r="U31" i="21" s="1"/>
  <c r="F31" i="21"/>
  <c r="S31" i="21" s="1"/>
  <c r="F13" i="33"/>
  <c r="J29" i="33"/>
  <c r="W29" i="33" s="1"/>
  <c r="J31" i="33"/>
  <c r="AC31" i="33" s="1"/>
  <c r="J45" i="33"/>
  <c r="F11" i="35"/>
  <c r="S11" i="35" s="1"/>
  <c r="H28" i="36"/>
  <c r="J11" i="36"/>
  <c r="W11" i="36" s="1"/>
  <c r="W13" i="36"/>
  <c r="F13" i="36"/>
  <c r="S13" i="36" s="1"/>
  <c r="J29" i="37"/>
  <c r="W29" i="37" s="1"/>
  <c r="F29" i="37"/>
  <c r="AA29" i="37" s="1"/>
  <c r="AB36" i="37"/>
  <c r="J37" i="37"/>
  <c r="AC37" i="37" s="1"/>
  <c r="H37" i="37"/>
  <c r="U37" i="37" s="1"/>
  <c r="H40" i="37"/>
  <c r="U40" i="37" s="1"/>
  <c r="J40" i="37"/>
  <c r="W40" i="37" s="1"/>
  <c r="F14" i="33"/>
  <c r="AA14" i="33" s="1"/>
  <c r="H44" i="33"/>
  <c r="U44" i="33" s="1"/>
  <c r="J44" i="33"/>
  <c r="AC44" i="33"/>
  <c r="F44" i="33"/>
  <c r="S44" i="33" s="1"/>
  <c r="F46" i="33"/>
  <c r="H13" i="34"/>
  <c r="U13" i="34" s="1"/>
  <c r="J13" i="34"/>
  <c r="W13" i="34" s="1"/>
  <c r="F31" i="34"/>
  <c r="S31" i="34" s="1"/>
  <c r="J45" i="34"/>
  <c r="W45" i="34" s="1"/>
  <c r="F45" i="34"/>
  <c r="AA45" i="34" s="1"/>
  <c r="J35" i="35"/>
  <c r="AC35" i="35" s="1"/>
  <c r="H35" i="35"/>
  <c r="W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AA38" i="37"/>
  <c r="AB40" i="37"/>
  <c r="J36" i="37"/>
  <c r="AC36" i="37"/>
  <c r="U36" i="37"/>
  <c r="AC13" i="36"/>
  <c r="S19" i="21"/>
  <c r="G521" i="3"/>
  <c r="G517" i="3"/>
  <c r="G513" i="3"/>
  <c r="G508" i="3"/>
  <c r="G499" i="3"/>
  <c r="G493" i="3"/>
  <c r="G485" i="3"/>
  <c r="G557" i="3"/>
  <c r="BL569" i="3"/>
  <c r="BL501" i="3"/>
  <c r="BL491" i="3"/>
  <c r="G16" i="3"/>
  <c r="G518" i="3"/>
  <c r="G510" i="3"/>
  <c r="BL495" i="3"/>
  <c r="BA565" i="3"/>
  <c r="BA541" i="3"/>
  <c r="BA521" i="3"/>
  <c r="BA493" i="3"/>
  <c r="AZ493" i="3" s="1"/>
  <c r="BA560" i="3"/>
  <c r="BA550" i="3"/>
  <c r="BA512" i="3"/>
  <c r="BA508" i="3"/>
  <c r="BA492" i="3"/>
  <c r="G566" i="3"/>
  <c r="G550" i="3"/>
  <c r="AC542" i="3"/>
  <c r="G542" i="3" s="1"/>
  <c r="BQ542" i="3"/>
  <c r="BQ568" i="3"/>
  <c r="BQ566" i="3"/>
  <c r="BQ564" i="3"/>
  <c r="BQ562" i="3"/>
  <c r="BQ560" i="3"/>
  <c r="BQ558" i="3"/>
  <c r="BQ556" i="3"/>
  <c r="BQ554" i="3"/>
  <c r="BQ552" i="3"/>
  <c r="BQ550" i="3"/>
  <c r="BQ548" i="3"/>
  <c r="BQ546" i="3"/>
  <c r="BQ544" i="3"/>
  <c r="G530" i="3"/>
  <c r="G522" i="3"/>
  <c r="BQ540" i="3"/>
  <c r="BQ538" i="3"/>
  <c r="BQ536" i="3"/>
  <c r="BQ534" i="3"/>
  <c r="BQ532" i="3"/>
  <c r="BQ530" i="3"/>
  <c r="BQ528" i="3"/>
  <c r="BQ526" i="3"/>
  <c r="BQ524" i="3"/>
  <c r="BQ522" i="3"/>
  <c r="BQ520" i="3"/>
  <c r="BL520" i="3" s="1"/>
  <c r="BQ518" i="3"/>
  <c r="BQ516" i="3"/>
  <c r="BQ514" i="3"/>
  <c r="BQ512" i="3"/>
  <c r="BL512" i="3" s="1"/>
  <c r="BQ510" i="3"/>
  <c r="BL510" i="3" s="1"/>
  <c r="BQ508" i="3"/>
  <c r="AC506" i="3"/>
  <c r="G506" i="3" s="1"/>
  <c r="BQ506" i="3"/>
  <c r="BL506" i="3" s="1"/>
  <c r="G502" i="3"/>
  <c r="BQ504" i="3"/>
  <c r="BQ502" i="3"/>
  <c r="BL502" i="3"/>
  <c r="BQ500" i="3"/>
  <c r="BL500" i="3" s="1"/>
  <c r="BQ498" i="3"/>
  <c r="BQ496" i="3"/>
  <c r="AC494" i="3"/>
  <c r="BQ494" i="3"/>
  <c r="G492" i="3"/>
  <c r="G488" i="3"/>
  <c r="BQ492" i="3"/>
  <c r="BQ490" i="3"/>
  <c r="BL490" i="3" s="1"/>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J43" i="33"/>
  <c r="AC43" i="33" s="1"/>
  <c r="J23" i="37"/>
  <c r="W23" i="37"/>
  <c r="F17" i="37"/>
  <c r="AA17" i="37" s="1"/>
  <c r="D3" i="21"/>
  <c r="AC33" i="36"/>
  <c r="AC23" i="37"/>
  <c r="AC8" i="37"/>
  <c r="F43" i="33"/>
  <c r="AA43" i="33" s="1"/>
  <c r="J37" i="21"/>
  <c r="W37" i="21" s="1"/>
  <c r="J10" i="37"/>
  <c r="W10" i="37" s="1"/>
  <c r="F11" i="37"/>
  <c r="S11" i="37" s="1"/>
  <c r="J12" i="37"/>
  <c r="AC12" i="37" s="1"/>
  <c r="H12" i="37"/>
  <c r="AB12" i="37" s="1"/>
  <c r="F12" i="37"/>
  <c r="AA12" i="37" s="1"/>
  <c r="H15" i="37"/>
  <c r="F31" i="37"/>
  <c r="S31" i="37" s="1"/>
  <c r="H31" i="37"/>
  <c r="U31" i="37" s="1"/>
  <c r="J15" i="37"/>
  <c r="W15" i="37" s="1"/>
  <c r="AB10" i="37"/>
  <c r="J11" i="37"/>
  <c r="W11" i="37" s="1"/>
  <c r="E90" i="40"/>
  <c r="F21" i="40"/>
  <c r="S21" i="40" s="1"/>
  <c r="W36" i="40"/>
  <c r="U40" i="39"/>
  <c r="F90" i="40"/>
  <c r="G90" i="40" s="1"/>
  <c r="J21" i="40"/>
  <c r="AC21" i="40" s="1"/>
  <c r="S27" i="31"/>
  <c r="G515" i="3"/>
  <c r="G507" i="3"/>
  <c r="G501" i="3"/>
  <c r="BA15" i="3"/>
  <c r="BL17" i="3"/>
  <c r="BL15" i="3"/>
  <c r="BA14" i="3"/>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BL197" i="3"/>
  <c r="G198" i="3"/>
  <c r="BA200" i="3"/>
  <c r="BL201" i="3"/>
  <c r="AZ201" i="3" s="1"/>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AZ381" i="3" s="1"/>
  <c r="BL381" i="3"/>
  <c r="G382" i="3"/>
  <c r="G385" i="3"/>
  <c r="G523" i="3"/>
  <c r="BL297" i="3"/>
  <c r="G298" i="3"/>
  <c r="BA300" i="3"/>
  <c r="BL301" i="3"/>
  <c r="G302" i="3"/>
  <c r="BA304" i="3"/>
  <c r="AZ304" i="3" s="1"/>
  <c r="BL305" i="3"/>
  <c r="G306" i="3"/>
  <c r="BA308" i="3"/>
  <c r="BL309" i="3"/>
  <c r="G310" i="3"/>
  <c r="BA310" i="3"/>
  <c r="BL311" i="3"/>
  <c r="G312" i="3"/>
  <c r="BA312" i="3"/>
  <c r="AZ312" i="3" s="1"/>
  <c r="BL313" i="3"/>
  <c r="G314" i="3"/>
  <c r="BA314" i="3"/>
  <c r="BL315" i="3"/>
  <c r="G316" i="3"/>
  <c r="BA316" i="3"/>
  <c r="BL317" i="3"/>
  <c r="G318" i="3"/>
  <c r="BA320" i="3"/>
  <c r="AZ320" i="3" s="1"/>
  <c r="BL321" i="3"/>
  <c r="G322" i="3"/>
  <c r="BA324" i="3"/>
  <c r="BL325" i="3"/>
  <c r="G326" i="3"/>
  <c r="BA328" i="3"/>
  <c r="BL329" i="3"/>
  <c r="G330" i="3"/>
  <c r="BA332" i="3"/>
  <c r="BL333" i="3"/>
  <c r="G334" i="3"/>
  <c r="BA336" i="3"/>
  <c r="BL337" i="3"/>
  <c r="G338" i="3"/>
  <c r="BA340" i="3"/>
  <c r="AZ340" i="3" s="1"/>
  <c r="BL341" i="3"/>
  <c r="G342" i="3"/>
  <c r="BA344" i="3"/>
  <c r="AZ344" i="3" s="1"/>
  <c r="BL345" i="3"/>
  <c r="G346" i="3"/>
  <c r="BA348" i="3"/>
  <c r="BL349" i="3"/>
  <c r="G350" i="3"/>
  <c r="BA352" i="3"/>
  <c r="AZ352" i="3" s="1"/>
  <c r="BL353" i="3"/>
  <c r="G354" i="3"/>
  <c r="BA356" i="3"/>
  <c r="BL357" i="3"/>
  <c r="G358" i="3"/>
  <c r="BA362" i="3"/>
  <c r="AZ362" i="3" s="1"/>
  <c r="BL363" i="3"/>
  <c r="G364" i="3"/>
  <c r="BA366" i="3"/>
  <c r="AZ366" i="3" s="1"/>
  <c r="BL367" i="3"/>
  <c r="G368" i="3"/>
  <c r="BA370" i="3"/>
  <c r="BL371" i="3"/>
  <c r="G372" i="3"/>
  <c r="BA374" i="3"/>
  <c r="AZ374" i="3" s="1"/>
  <c r="BL375" i="3"/>
  <c r="G376" i="3"/>
  <c r="BA378" i="3"/>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D3" i="35"/>
  <c r="G4" i="4"/>
  <c r="J16" i="35"/>
  <c r="W16" i="35" s="1"/>
  <c r="U42" i="21"/>
  <c r="AC26" i="36"/>
  <c r="H13" i="39"/>
  <c r="AB13" i="39" s="1"/>
  <c r="F13" i="39"/>
  <c r="AA13" i="39" s="1"/>
  <c r="J13" i="39"/>
  <c r="AC13" i="39" s="1"/>
  <c r="H11" i="37"/>
  <c r="AB11" i="37" s="1"/>
  <c r="W37" i="37"/>
  <c r="AC29" i="33"/>
  <c r="AA45" i="33"/>
  <c r="W44" i="33"/>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F17" i="21"/>
  <c r="S17" i="21" s="1"/>
  <c r="H17" i="21"/>
  <c r="AB17" i="21" s="1"/>
  <c r="J17" i="21"/>
  <c r="AC17" i="21"/>
  <c r="H37" i="21"/>
  <c r="U37" i="21" s="1"/>
  <c r="F40" i="21"/>
  <c r="S40" i="21" s="1"/>
  <c r="H40" i="21"/>
  <c r="AB40" i="21" s="1"/>
  <c r="E119" i="21"/>
  <c r="F119" i="21" s="1"/>
  <c r="G119" i="21" s="1"/>
  <c r="H119" i="21" s="1"/>
  <c r="I119" i="21" s="1"/>
  <c r="J119" i="21" s="1"/>
  <c r="K119" i="21" s="1"/>
  <c r="L119" i="21" s="1"/>
  <c r="M119" i="21" s="1"/>
  <c r="AA8" i="33"/>
  <c r="S8" i="33"/>
  <c r="F11" i="33"/>
  <c r="S11" i="33" s="1"/>
  <c r="F35" i="33"/>
  <c r="AA35" i="33" s="1"/>
  <c r="F11" i="34"/>
  <c r="S11" i="34" s="1"/>
  <c r="S12" i="35"/>
  <c r="AB28" i="35"/>
  <c r="U28" i="35"/>
  <c r="J13" i="33"/>
  <c r="W13" i="33" s="1"/>
  <c r="H13" i="33"/>
  <c r="U13" i="33" s="1"/>
  <c r="H29" i="33"/>
  <c r="AB29" i="33" s="1"/>
  <c r="F29" i="33"/>
  <c r="AA29" i="33"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H11" i="35"/>
  <c r="J11" i="35"/>
  <c r="AC11" i="35" s="1"/>
  <c r="F96" i="37"/>
  <c r="G96" i="37" s="1"/>
  <c r="H96" i="37" s="1"/>
  <c r="I96" i="37" s="1"/>
  <c r="J96" i="37" s="1"/>
  <c r="K96" i="37" s="1"/>
  <c r="L96" i="37" s="1"/>
  <c r="M96" i="37" s="1"/>
  <c r="H32" i="37"/>
  <c r="AB32" i="37" s="1"/>
  <c r="F19" i="39"/>
  <c r="S19" i="39" s="1"/>
  <c r="H19" i="39"/>
  <c r="AB19" i="39" s="1"/>
  <c r="J19" i="39"/>
  <c r="W19" i="39" s="1"/>
  <c r="F43" i="39"/>
  <c r="H43" i="39"/>
  <c r="U43" i="39" s="1"/>
  <c r="J43" i="39"/>
  <c r="W43" i="39" s="1"/>
  <c r="F99" i="37"/>
  <c r="G99" i="37" s="1"/>
  <c r="H99" i="37" s="1"/>
  <c r="I99" i="37" s="1"/>
  <c r="J99" i="37" s="1"/>
  <c r="K99" i="37" s="1"/>
  <c r="L99" i="37" s="1"/>
  <c r="M99" i="37" s="1"/>
  <c r="AC27" i="37"/>
  <c r="AC45" i="21"/>
  <c r="S14" i="21"/>
  <c r="AC34" i="37"/>
  <c r="S35" i="37"/>
  <c r="AA35" i="37"/>
  <c r="AA32" i="21"/>
  <c r="S32" i="21"/>
  <c r="U38" i="21"/>
  <c r="F42" i="21"/>
  <c r="AA42" i="21" s="1"/>
  <c r="U40" i="33"/>
  <c r="S35" i="34"/>
  <c r="E90" i="34"/>
  <c r="F90" i="34" s="1"/>
  <c r="G90" i="34" s="1"/>
  <c r="H90" i="34" s="1"/>
  <c r="I90" i="34" s="1"/>
  <c r="J90" i="34" s="1"/>
  <c r="K90" i="34" s="1"/>
  <c r="L90" i="34" s="1"/>
  <c r="M90" i="34" s="1"/>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33" i="36"/>
  <c r="U33" i="36" s="1"/>
  <c r="F33" i="36"/>
  <c r="AA33" i="36" s="1"/>
  <c r="H27" i="36"/>
  <c r="AB27" i="36" s="1"/>
  <c r="AB29" i="37"/>
  <c r="AC30" i="37"/>
  <c r="AC31" i="37"/>
  <c r="W31"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S39" i="39" s="1"/>
  <c r="H39" i="39"/>
  <c r="AB39" i="39" s="1"/>
  <c r="J39" i="39"/>
  <c r="AC39" i="39" s="1"/>
  <c r="J29" i="35"/>
  <c r="AC29" i="35" s="1"/>
  <c r="F29" i="35"/>
  <c r="S29" i="35" s="1"/>
  <c r="W30" i="36"/>
  <c r="AC30" i="36"/>
  <c r="F37" i="39"/>
  <c r="AA37" i="39" s="1"/>
  <c r="H37" i="39"/>
  <c r="U37" i="39" s="1"/>
  <c r="J37" i="39"/>
  <c r="W37" i="39" s="1"/>
  <c r="BL568" i="3"/>
  <c r="BL565" i="3"/>
  <c r="BA564" i="3"/>
  <c r="BA553" i="3"/>
  <c r="BL549" i="3"/>
  <c r="BL548" i="3"/>
  <c r="BL547" i="3"/>
  <c r="BA535" i="3"/>
  <c r="BA533" i="3"/>
  <c r="BL531" i="3"/>
  <c r="BL530" i="3"/>
  <c r="BL529" i="3"/>
  <c r="BL528" i="3"/>
  <c r="BA526" i="3"/>
  <c r="BL523" i="3"/>
  <c r="BA523" i="3"/>
  <c r="BL522" i="3"/>
  <c r="BA522" i="3"/>
  <c r="BL521" i="3"/>
  <c r="AZ521" i="3" s="1"/>
  <c r="BA519" i="3"/>
  <c r="AZ519" i="3" s="1"/>
  <c r="BL518" i="3"/>
  <c r="BL517" i="3"/>
  <c r="BA517" i="3"/>
  <c r="BL515" i="3"/>
  <c r="AZ515" i="3" s="1"/>
  <c r="BA515" i="3"/>
  <c r="BA514" i="3"/>
  <c r="BL513" i="3"/>
  <c r="BA513" i="3"/>
  <c r="AZ513" i="3" s="1"/>
  <c r="AZ512" i="3"/>
  <c r="BA511" i="3"/>
  <c r="AZ511" i="3"/>
  <c r="BA510" i="3"/>
  <c r="AZ510" i="3" s="1"/>
  <c r="BL509" i="3"/>
  <c r="BA507" i="3"/>
  <c r="AZ507" i="3" s="1"/>
  <c r="BA506" i="3"/>
  <c r="BL505" i="3"/>
  <c r="AZ505" i="3" s="1"/>
  <c r="BL504" i="3"/>
  <c r="BA504" i="3"/>
  <c r="BA503" i="3"/>
  <c r="AZ503" i="3" s="1"/>
  <c r="BL499" i="3"/>
  <c r="BL498" i="3"/>
  <c r="BA497" i="3"/>
  <c r="BA496" i="3"/>
  <c r="BL494" i="3"/>
  <c r="BA494" i="3"/>
  <c r="G494" i="3"/>
  <c r="BA490" i="3"/>
  <c r="BL489" i="3"/>
  <c r="BA489" i="3"/>
  <c r="F36" i="44"/>
  <c r="H38" i="34"/>
  <c r="U38" i="34" s="1"/>
  <c r="H30" i="40"/>
  <c r="AB30" i="40" s="1"/>
  <c r="G100" i="40"/>
  <c r="H100" i="40" s="1"/>
  <c r="I100" i="40" s="1"/>
  <c r="J100" i="40" s="1"/>
  <c r="K100" i="40" s="1"/>
  <c r="L100" i="40" s="1"/>
  <c r="M100" i="40" s="1"/>
  <c r="J30" i="40"/>
  <c r="AC30" i="40" s="1"/>
  <c r="F38" i="40"/>
  <c r="AA38" i="40" s="1"/>
  <c r="AB33" i="21"/>
  <c r="S35" i="21"/>
  <c r="U8" i="21"/>
  <c r="S34" i="21"/>
  <c r="AC36" i="21"/>
  <c r="AB8" i="33"/>
  <c r="H34" i="33"/>
  <c r="U34" i="33" s="1"/>
  <c r="F34" i="33"/>
  <c r="S34" i="33" s="1"/>
  <c r="E121" i="33"/>
  <c r="F41" i="33"/>
  <c r="S41" i="33" s="1"/>
  <c r="AA39" i="34"/>
  <c r="F15" i="34"/>
  <c r="S15" i="34" s="1"/>
  <c r="J20" i="35"/>
  <c r="AC20" i="35" s="1"/>
  <c r="E72" i="35"/>
  <c r="F72" i="35" s="1"/>
  <c r="G72" i="35" s="1"/>
  <c r="H22" i="35"/>
  <c r="AB22" i="35" s="1"/>
  <c r="H23" i="35"/>
  <c r="U23" i="35" s="1"/>
  <c r="F23" i="35"/>
  <c r="AA23" i="35" s="1"/>
  <c r="U31" i="36"/>
  <c r="S8" i="37"/>
  <c r="AA8" i="37"/>
  <c r="F14" i="39"/>
  <c r="AA14" i="39" s="1"/>
  <c r="H14" i="39"/>
  <c r="AB14" i="39" s="1"/>
  <c r="J14" i="39"/>
  <c r="W14" i="39" s="1"/>
  <c r="F16" i="39"/>
  <c r="H16" i="39"/>
  <c r="U16" i="39" s="1"/>
  <c r="J16" i="39"/>
  <c r="AC16" i="39" s="1"/>
  <c r="F23" i="39"/>
  <c r="AA23" i="39"/>
  <c r="E97" i="39"/>
  <c r="F27" i="39"/>
  <c r="AA27" i="39" s="1"/>
  <c r="H27" i="39"/>
  <c r="U27" i="39" s="1"/>
  <c r="J27" i="39"/>
  <c r="AC27" i="39" s="1"/>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s="1"/>
  <c r="J32" i="40"/>
  <c r="AC32" i="40" s="1"/>
  <c r="H32" i="40"/>
  <c r="U32" i="40" s="1"/>
  <c r="H33" i="40"/>
  <c r="AB33" i="40" s="1"/>
  <c r="J33" i="40"/>
  <c r="AC33" i="40" s="1"/>
  <c r="H35" i="40"/>
  <c r="AB35" i="40" s="1"/>
  <c r="J35" i="40"/>
  <c r="AC35" i="40" s="1"/>
  <c r="J38" i="39"/>
  <c r="W38" i="39" s="1"/>
  <c r="J16" i="40"/>
  <c r="W16" i="40" s="1"/>
  <c r="J14" i="40"/>
  <c r="W14" i="40" s="1"/>
  <c r="H42" i="40"/>
  <c r="AB42" i="40" s="1"/>
  <c r="H40" i="40"/>
  <c r="U40" i="40" s="1"/>
  <c r="H34" i="40"/>
  <c r="U34" i="40"/>
  <c r="J42" i="40"/>
  <c r="AC42" i="40" s="1"/>
  <c r="J40" i="40"/>
  <c r="AC40" i="40" s="1"/>
  <c r="J34" i="40"/>
  <c r="AC34" i="40" s="1"/>
  <c r="H16" i="40"/>
  <c r="U16" i="40" s="1"/>
  <c r="H14" i="40"/>
  <c r="U14" i="40" s="1"/>
  <c r="F32" i="40"/>
  <c r="AA32" i="40" s="1"/>
  <c r="M1" i="46"/>
  <c r="M6" i="46"/>
  <c r="C6" i="46" s="1"/>
  <c r="M10" i="46"/>
  <c r="N2" i="46"/>
  <c r="N5" i="46"/>
  <c r="F58" i="46"/>
  <c r="H61" i="46" s="1"/>
  <c r="N7" i="46"/>
  <c r="M7" i="46"/>
  <c r="M11" i="46"/>
  <c r="N3" i="46"/>
  <c r="N6" i="46"/>
  <c r="N10" i="46"/>
  <c r="J13" i="40"/>
  <c r="W13" i="40" s="1"/>
  <c r="AC47" i="39"/>
  <c r="J23" i="40"/>
  <c r="W23" i="40" s="1"/>
  <c r="F23" i="40"/>
  <c r="S23" i="40" s="1"/>
  <c r="S23" i="39"/>
  <c r="H20" i="35"/>
  <c r="U20" i="35" s="1"/>
  <c r="F20" i="35"/>
  <c r="AA20" i="35" s="1"/>
  <c r="H15" i="34"/>
  <c r="AB15" i="34" s="1"/>
  <c r="J15" i="34"/>
  <c r="W15" i="34" s="1"/>
  <c r="H41" i="33"/>
  <c r="AB41" i="33" s="1"/>
  <c r="F121" i="33"/>
  <c r="G121" i="33" s="1"/>
  <c r="H121" i="33" s="1"/>
  <c r="I121" i="33" s="1"/>
  <c r="J121" i="33" s="1"/>
  <c r="K121" i="33" s="1"/>
  <c r="L121" i="33" s="1"/>
  <c r="M121" i="33" s="1"/>
  <c r="F30" i="40"/>
  <c r="S30" i="40" s="1"/>
  <c r="AA29" i="35"/>
  <c r="J29" i="39"/>
  <c r="AC29" i="39" s="1"/>
  <c r="AB21" i="39"/>
  <c r="U21" i="39"/>
  <c r="AB33" i="36"/>
  <c r="AA14" i="35"/>
  <c r="F33" i="37"/>
  <c r="AA33" i="37" s="1"/>
  <c r="AA14" i="34"/>
  <c r="AC13" i="33"/>
  <c r="AA11" i="34"/>
  <c r="AA11" i="33"/>
  <c r="U17" i="21"/>
  <c r="S13" i="39"/>
  <c r="AB34"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W33" i="39"/>
  <c r="U11" i="36"/>
  <c r="W14" i="35"/>
  <c r="AC43" i="39"/>
  <c r="AA19" i="39"/>
  <c r="F32" i="37"/>
  <c r="S32" i="37" s="1"/>
  <c r="U11" i="35"/>
  <c r="AB11" i="35"/>
  <c r="U32" i="34"/>
  <c r="U12" i="34"/>
  <c r="H11" i="34"/>
  <c r="AB11" i="34" s="1"/>
  <c r="J35" i="33"/>
  <c r="W35" i="33" s="1"/>
  <c r="H11" i="33"/>
  <c r="U11" i="33" s="1"/>
  <c r="H10" i="33"/>
  <c r="U10" i="33" s="1"/>
  <c r="I66" i="33"/>
  <c r="J10" i="33"/>
  <c r="AC10" i="33" s="1"/>
  <c r="U11" i="37"/>
  <c r="AC16" i="35"/>
  <c r="J11" i="34"/>
  <c r="W11" i="34" s="1"/>
  <c r="F25" i="40"/>
  <c r="AA25" i="40" s="1"/>
  <c r="J11" i="33"/>
  <c r="W11" i="33" s="1"/>
  <c r="H33" i="37"/>
  <c r="AB33" i="37"/>
  <c r="AP11" i="1"/>
  <c r="B11" i="1"/>
  <c r="E11" i="1" s="1"/>
  <c r="K11" i="1"/>
  <c r="M11" i="1" s="1"/>
  <c r="O11" i="1" s="1"/>
  <c r="P11" i="1" s="1"/>
  <c r="B9" i="1"/>
  <c r="E9" i="1" s="1"/>
  <c r="K9" i="1"/>
  <c r="M9" i="1" s="1"/>
  <c r="B7" i="1"/>
  <c r="E7" i="1" s="1"/>
  <c r="F6" i="1"/>
  <c r="G11" i="1"/>
  <c r="M22" i="44"/>
  <c r="AC25" i="36"/>
  <c r="S8" i="36"/>
  <c r="AA26" i="36"/>
  <c r="AA28" i="36"/>
  <c r="U25" i="36"/>
  <c r="H20" i="36"/>
  <c r="U20" i="36" s="1"/>
  <c r="J20" i="36"/>
  <c r="AC20" i="36" s="1"/>
  <c r="F20" i="36"/>
  <c r="S20" i="36" s="1"/>
  <c r="F62" i="36"/>
  <c r="G62" i="36" s="1"/>
  <c r="J14" i="36"/>
  <c r="W14" i="36" s="1"/>
  <c r="H14" i="36"/>
  <c r="U14" i="36" s="1"/>
  <c r="F14" i="36"/>
  <c r="AA14" i="36" s="1"/>
  <c r="S33" i="36"/>
  <c r="S16" i="36"/>
  <c r="S29" i="36"/>
  <c r="AC33" i="35"/>
  <c r="S8" i="35"/>
  <c r="U33" i="35"/>
  <c r="S23" i="35"/>
  <c r="S16" i="35"/>
  <c r="AC18" i="35"/>
  <c r="W18" i="35"/>
  <c r="U18" i="35"/>
  <c r="AB18" i="35"/>
  <c r="S30" i="35"/>
  <c r="AA35" i="35"/>
  <c r="S27" i="35"/>
  <c r="J26" i="35"/>
  <c r="W26" i="35" s="1"/>
  <c r="F26" i="35"/>
  <c r="AA26" i="35" s="1"/>
  <c r="H26" i="35"/>
  <c r="U26" i="35" s="1"/>
  <c r="W12" i="37"/>
  <c r="AA31" i="37"/>
  <c r="U32" i="37"/>
  <c r="J33" i="37"/>
  <c r="AC33" i="37" s="1"/>
  <c r="S29" i="37"/>
  <c r="J19" i="37"/>
  <c r="AC19" i="37" s="1"/>
  <c r="F19" i="37"/>
  <c r="AA19" i="37" s="1"/>
  <c r="H19" i="37"/>
  <c r="AB19" i="37" s="1"/>
  <c r="J17" i="37"/>
  <c r="AC17" i="37" s="1"/>
  <c r="S15" i="37"/>
  <c r="AC21" i="37"/>
  <c r="W21" i="37"/>
  <c r="AC11" i="37"/>
  <c r="U35" i="37"/>
  <c r="U8" i="37"/>
  <c r="AB21" i="37"/>
  <c r="U21" i="37"/>
  <c r="S37" i="37"/>
  <c r="S40" i="37"/>
  <c r="S10" i="37"/>
  <c r="AA40" i="34"/>
  <c r="S32" i="34"/>
  <c r="AB33" i="34"/>
  <c r="AA30" i="34"/>
  <c r="AC32" i="34"/>
  <c r="U44" i="34"/>
  <c r="J25" i="34"/>
  <c r="AC25" i="34" s="1"/>
  <c r="H25" i="34"/>
  <c r="F23" i="34"/>
  <c r="S23" i="34" s="1"/>
  <c r="W29" i="34"/>
  <c r="AC21" i="34"/>
  <c r="W21" i="34"/>
  <c r="AB21" i="34"/>
  <c r="U21" i="34"/>
  <c r="AB41" i="34"/>
  <c r="S13" i="34"/>
  <c r="W31" i="33"/>
  <c r="AB34" i="33"/>
  <c r="J23" i="33"/>
  <c r="W23" i="33" s="1"/>
  <c r="F17" i="33"/>
  <c r="AA17" i="33" s="1"/>
  <c r="H17" i="33"/>
  <c r="AB17" i="33" s="1"/>
  <c r="J17" i="33"/>
  <c r="W17" i="33" s="1"/>
  <c r="S14" i="33"/>
  <c r="AC21" i="33"/>
  <c r="W21" i="33"/>
  <c r="AB21" i="33"/>
  <c r="U21" i="33"/>
  <c r="AA21" i="33"/>
  <c r="S21" i="33"/>
  <c r="AA44" i="33"/>
  <c r="W39" i="21"/>
  <c r="AC34" i="21"/>
  <c r="W32" i="21"/>
  <c r="W43" i="21"/>
  <c r="S42" i="21"/>
  <c r="AC26" i="21"/>
  <c r="F85" i="21"/>
  <c r="G85" i="21" s="1"/>
  <c r="J23" i="21"/>
  <c r="AC23" i="21" s="1"/>
  <c r="F23" i="21"/>
  <c r="S23" i="21" s="1"/>
  <c r="H23" i="21"/>
  <c r="U23" i="21" s="1"/>
  <c r="AA17" i="21"/>
  <c r="W17" i="21"/>
  <c r="F15" i="21"/>
  <c r="S15" i="21" s="1"/>
  <c r="F77" i="21"/>
  <c r="G77" i="21" s="1"/>
  <c r="J15" i="21"/>
  <c r="W15" i="21" s="1"/>
  <c r="H15" i="21"/>
  <c r="AB15" i="21" s="1"/>
  <c r="AC21" i="21"/>
  <c r="W21" i="21"/>
  <c r="W44" i="21"/>
  <c r="AC19" i="21"/>
  <c r="AC38" i="21"/>
  <c r="AB21" i="21"/>
  <c r="U21" i="21"/>
  <c r="AB29" i="21"/>
  <c r="AA31" i="21"/>
  <c r="U33" i="40"/>
  <c r="S14" i="40"/>
  <c r="AB13" i="40"/>
  <c r="W11" i="40"/>
  <c r="AA21" i="40"/>
  <c r="W25" i="40"/>
  <c r="U25"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F88" i="40"/>
  <c r="G88" i="40" s="1"/>
  <c r="F19" i="40"/>
  <c r="H19" i="40"/>
  <c r="U19" i="40" s="1"/>
  <c r="J19" i="40"/>
  <c r="AC19" i="40" s="1"/>
  <c r="W17" i="40"/>
  <c r="AC17" i="40"/>
  <c r="F17" i="40"/>
  <c r="AA17" i="40" s="1"/>
  <c r="H17" i="40"/>
  <c r="AB17" i="40" s="1"/>
  <c r="W21" i="40"/>
  <c r="U10" i="40"/>
  <c r="U27" i="40"/>
  <c r="AB27" i="40"/>
  <c r="AC44" i="39"/>
  <c r="W13" i="39"/>
  <c r="S11" i="39"/>
  <c r="S27" i="39"/>
  <c r="AC21" i="39"/>
  <c r="AC17" i="39"/>
  <c r="U11" i="39"/>
  <c r="U23" i="39"/>
  <c r="U31" i="39"/>
  <c r="AB31" i="39"/>
  <c r="S38" i="39"/>
  <c r="M20" i="15"/>
  <c r="A18" i="64"/>
  <c r="B74" i="63" s="1"/>
  <c r="C53" i="10"/>
  <c r="A25" i="64" s="1"/>
  <c r="A18" i="51"/>
  <c r="B14" i="63" s="1"/>
  <c r="BA16" i="3"/>
  <c r="BA17" i="3"/>
  <c r="AZ17" i="3" s="1"/>
  <c r="F3" i="35"/>
  <c r="K1" i="43"/>
  <c r="K1" i="12"/>
  <c r="G1" i="44"/>
  <c r="AZ15" i="3"/>
  <c r="BD5" i="3"/>
  <c r="BL16" i="3"/>
  <c r="BA13" i="3"/>
  <c r="D24" i="44"/>
  <c r="N8" i="46"/>
  <c r="N4" i="46"/>
  <c r="N1" i="46"/>
  <c r="F69" i="46" s="1"/>
  <c r="F47" i="46"/>
  <c r="H50" i="46" s="1"/>
  <c r="M9" i="46"/>
  <c r="M2" i="46"/>
  <c r="N11" i="46"/>
  <c r="N9" i="46"/>
  <c r="M4" i="46"/>
  <c r="M12" i="46"/>
  <c r="M8" i="46"/>
  <c r="M3" i="46"/>
  <c r="M5" i="46"/>
  <c r="H6" i="48"/>
  <c r="H15" i="48"/>
  <c r="H5" i="48"/>
  <c r="H14" i="48"/>
  <c r="F36" i="46"/>
  <c r="K17" i="46"/>
  <c r="F39" i="46"/>
  <c r="H13" i="48"/>
  <c r="H11" i="48"/>
  <c r="D17" i="46"/>
  <c r="D71" i="46"/>
  <c r="D84" i="46"/>
  <c r="E80" i="46" s="1"/>
  <c r="B78" i="46" s="1"/>
  <c r="D69" i="46"/>
  <c r="E47" i="46"/>
  <c r="B45" i="46" s="1"/>
  <c r="A4" i="51"/>
  <c r="B6" i="63" s="1"/>
  <c r="I100" i="46"/>
  <c r="N100" i="46"/>
  <c r="H100" i="46"/>
  <c r="F108" i="46"/>
  <c r="H80" i="46"/>
  <c r="E100" i="46"/>
  <c r="G100" i="46"/>
  <c r="H84" i="46"/>
  <c r="C100" i="46"/>
  <c r="J100" i="46"/>
  <c r="M100" i="46"/>
  <c r="W11" i="35"/>
  <c r="AA11" i="35"/>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G1" i="15"/>
  <c r="F66" i="36"/>
  <c r="H18" i="36"/>
  <c r="U18" i="36" s="1"/>
  <c r="S25" i="36"/>
  <c r="AA34" i="36"/>
  <c r="AC27" i="36"/>
  <c r="W28" i="36"/>
  <c r="AA22" i="36"/>
  <c r="U10" i="36"/>
  <c r="W29" i="36"/>
  <c r="W8" i="36"/>
  <c r="AC30" i="35"/>
  <c r="S24" i="35"/>
  <c r="AA33" i="35"/>
  <c r="U32" i="35"/>
  <c r="W22" i="35"/>
  <c r="W34" i="35"/>
  <c r="S32" i="35"/>
  <c r="W35" i="37"/>
  <c r="U33" i="37"/>
  <c r="AA13" i="37"/>
  <c r="S12" i="37"/>
  <c r="W38" i="37"/>
  <c r="W36" i="37"/>
  <c r="U26" i="37"/>
  <c r="S28" i="37"/>
  <c r="U38" i="37"/>
  <c r="AA31" i="34"/>
  <c r="AB13" i="34"/>
  <c r="S8" i="34"/>
  <c r="S39" i="21"/>
  <c r="W25" i="21"/>
  <c r="AA25" i="21"/>
  <c r="AC37" i="21"/>
  <c r="AA29" i="21"/>
  <c r="U27" i="21"/>
  <c r="W31" i="21"/>
  <c r="S27" i="21"/>
  <c r="AC27" i="21"/>
  <c r="G96" i="40"/>
  <c r="J27" i="40"/>
  <c r="W30" i="40"/>
  <c r="S34" i="40"/>
  <c r="U17" i="40"/>
  <c r="U38" i="40"/>
  <c r="S42" i="40"/>
  <c r="G105" i="39"/>
  <c r="J31" i="39"/>
  <c r="S45" i="39"/>
  <c r="W41" i="39"/>
  <c r="AB33" i="39"/>
  <c r="S34" i="39"/>
  <c r="W42" i="39"/>
  <c r="W36" i="39"/>
  <c r="AC37" i="39"/>
  <c r="W16" i="39"/>
  <c r="W25" i="39"/>
  <c r="S41" i="39"/>
  <c r="AA46" i="39"/>
  <c r="W10" i="39"/>
  <c r="W11" i="39"/>
  <c r="U42" i="39"/>
  <c r="W40" i="39"/>
  <c r="S32" i="40"/>
  <c r="C17" i="40"/>
  <c r="C19" i="40"/>
  <c r="C17" i="39"/>
  <c r="C19" i="39"/>
  <c r="C21" i="39"/>
  <c r="C23" i="40"/>
  <c r="B48" i="46"/>
  <c r="B55" i="46"/>
  <c r="B66" i="46"/>
  <c r="B53" i="46"/>
  <c r="B64" i="46"/>
  <c r="AB20" i="36"/>
  <c r="S26" i="35"/>
  <c r="AC26" i="35"/>
  <c r="W19" i="37"/>
  <c r="U19" i="37"/>
  <c r="U25" i="34"/>
  <c r="AB25" i="34"/>
  <c r="U15" i="21"/>
  <c r="U39" i="40"/>
  <c r="AB37" i="40"/>
  <c r="AB29" i="40"/>
  <c r="AA19" i="40"/>
  <c r="S19" i="40"/>
  <c r="AB19" i="40"/>
  <c r="AT6" i="3"/>
  <c r="A9" i="64"/>
  <c r="A9" i="51"/>
  <c r="B9" i="63" s="1"/>
  <c r="E4" i="4"/>
  <c r="B21" i="55" s="1"/>
  <c r="B72" i="63" s="1"/>
  <c r="C4" i="4"/>
  <c r="B20" i="55" s="1"/>
  <c r="B70" i="63" s="1"/>
  <c r="G66" i="36"/>
  <c r="J18" i="36"/>
  <c r="AC18" i="36" s="1"/>
  <c r="AE6" i="1"/>
  <c r="AG6" i="1"/>
  <c r="L20" i="6"/>
  <c r="S9" i="1"/>
  <c r="R9" i="1"/>
  <c r="C45" i="9"/>
  <c r="C44" i="9"/>
  <c r="K29" i="9"/>
  <c r="K30" i="9" s="1"/>
  <c r="N76" i="9"/>
  <c r="C46" i="9"/>
  <c r="H58" i="46"/>
  <c r="J17" i="46"/>
  <c r="C17" i="46"/>
  <c r="F34" i="46"/>
  <c r="F38" i="46"/>
  <c r="F37" i="46"/>
  <c r="H113" i="46"/>
  <c r="D19" i="59"/>
  <c r="C18" i="59"/>
  <c r="C17" i="59" s="1"/>
  <c r="C16" i="59" s="1"/>
  <c r="U16" i="59"/>
  <c r="H1" i="65"/>
  <c r="X7" i="46"/>
  <c r="E17" i="46"/>
  <c r="N17" i="46"/>
  <c r="O17" i="46"/>
  <c r="M17" i="46"/>
  <c r="L17" i="46"/>
  <c r="G13" i="1"/>
  <c r="F35" i="46"/>
  <c r="I17" i="46"/>
  <c r="H63" i="46"/>
  <c r="H66" i="46"/>
  <c r="D100" i="46"/>
  <c r="H62" i="46"/>
  <c r="AF12" i="46"/>
  <c r="K100" i="46"/>
  <c r="AB12" i="46"/>
  <c r="AJ12" i="46"/>
  <c r="H59" i="46"/>
  <c r="E10" i="46"/>
  <c r="E9" i="46"/>
  <c r="E11" i="46"/>
  <c r="E8" i="46"/>
  <c r="AD12" i="46"/>
  <c r="AH12" i="46"/>
  <c r="B17" i="59"/>
  <c r="B16" i="59" s="1"/>
  <c r="B15" i="59" s="1"/>
  <c r="B14" i="59" s="1"/>
  <c r="B13" i="59" s="1"/>
  <c r="L49" i="44"/>
  <c r="I4" i="65"/>
  <c r="E8" i="67"/>
  <c r="B13" i="67"/>
  <c r="F33" i="84"/>
  <c r="E11" i="67"/>
  <c r="E12" i="67"/>
  <c r="E10" i="67"/>
  <c r="M29" i="44"/>
  <c r="J17" i="44"/>
  <c r="F18" i="44"/>
  <c r="I5" i="65"/>
  <c r="F12" i="67"/>
  <c r="F13" i="67"/>
  <c r="E14" i="67"/>
  <c r="B10" i="67"/>
  <c r="B12" i="67"/>
  <c r="N5" i="65"/>
  <c r="B14" i="67"/>
  <c r="F9" i="44"/>
  <c r="F40" i="15"/>
  <c r="F8" i="67"/>
  <c r="N4" i="65"/>
  <c r="J5" i="65"/>
  <c r="E9" i="67"/>
  <c r="B8" i="67"/>
  <c r="B11" i="67"/>
  <c r="M11" i="44"/>
  <c r="F14" i="67"/>
  <c r="F11" i="67"/>
  <c r="N3" i="65"/>
  <c r="D21" i="84"/>
  <c r="N6" i="65"/>
  <c r="E13" i="67"/>
  <c r="B9" i="67"/>
  <c r="F10" i="67"/>
  <c r="N7" i="65"/>
  <c r="F9" i="67"/>
  <c r="J3" i="65"/>
  <c r="F13" i="15"/>
  <c r="AZ486" i="3" l="1"/>
  <c r="U15" i="40"/>
  <c r="AB32" i="21"/>
  <c r="J23" i="34"/>
  <c r="AC23" i="34" s="1"/>
  <c r="S33" i="37"/>
  <c r="U27" i="36"/>
  <c r="U39" i="39"/>
  <c r="AC14" i="40"/>
  <c r="BL566" i="3"/>
  <c r="AZ566" i="3" s="1"/>
  <c r="BA555" i="3"/>
  <c r="BA525" i="3"/>
  <c r="BA518" i="3"/>
  <c r="BA516" i="3"/>
  <c r="BA509" i="3"/>
  <c r="AZ509" i="3" s="1"/>
  <c r="BA502" i="3"/>
  <c r="AZ500" i="3"/>
  <c r="AZ491" i="3"/>
  <c r="S39" i="40"/>
  <c r="AB14" i="36"/>
  <c r="W23" i="39"/>
  <c r="W39" i="40"/>
  <c r="W17" i="37"/>
  <c r="AC14" i="36"/>
  <c r="W42" i="40"/>
  <c r="AB37" i="21"/>
  <c r="W32" i="37"/>
  <c r="W20" i="35"/>
  <c r="W20" i="36"/>
  <c r="W32" i="40"/>
  <c r="U19" i="39"/>
  <c r="AB14" i="40"/>
  <c r="AC14" i="39"/>
  <c r="AZ565" i="3"/>
  <c r="U29" i="35"/>
  <c r="F10" i="33"/>
  <c r="AA10" i="33" s="1"/>
  <c r="AC29" i="37"/>
  <c r="AZ343" i="3"/>
  <c r="AA28" i="33"/>
  <c r="S28" i="33"/>
  <c r="F69" i="21"/>
  <c r="G69" i="21" s="1"/>
  <c r="H69" i="21" s="1"/>
  <c r="I69" i="21" s="1"/>
  <c r="J69" i="21" s="1"/>
  <c r="K69" i="21" s="1"/>
  <c r="L69" i="21" s="1"/>
  <c r="M69" i="21" s="1"/>
  <c r="J11" i="21"/>
  <c r="W11" i="21" s="1"/>
  <c r="F11" i="21"/>
  <c r="U17" i="37"/>
  <c r="AB17" i="37"/>
  <c r="H47" i="46"/>
  <c r="S14" i="39"/>
  <c r="S17" i="37"/>
  <c r="AB46" i="39"/>
  <c r="AB37" i="39"/>
  <c r="U35" i="35"/>
  <c r="AB35" i="35"/>
  <c r="W40" i="21"/>
  <c r="AC40" i="21"/>
  <c r="U34" i="21"/>
  <c r="AB34" i="21"/>
  <c r="BL545" i="3"/>
  <c r="AZ494" i="3"/>
  <c r="AZ308" i="3"/>
  <c r="W45" i="33"/>
  <c r="AC45" i="33"/>
  <c r="AB19" i="21"/>
  <c r="U19" i="21"/>
  <c r="W35" i="21"/>
  <c r="AC35" i="21"/>
  <c r="H28" i="33"/>
  <c r="U28" i="33" s="1"/>
  <c r="J28" i="33"/>
  <c r="W28" i="33" s="1"/>
  <c r="E117" i="33"/>
  <c r="F117" i="33" s="1"/>
  <c r="G117" i="33" s="1"/>
  <c r="F39" i="33"/>
  <c r="AA39" i="33" s="1"/>
  <c r="H39" i="33"/>
  <c r="AB39" i="33" s="1"/>
  <c r="H113" i="21"/>
  <c r="F37" i="21"/>
  <c r="H52" i="46"/>
  <c r="H54" i="46"/>
  <c r="AZ506" i="3"/>
  <c r="S45" i="34"/>
  <c r="U8" i="35"/>
  <c r="AB8" i="35"/>
  <c r="F9" i="34"/>
  <c r="AA9" i="34" s="1"/>
  <c r="J9" i="34"/>
  <c r="AC13" i="34"/>
  <c r="AB11" i="21"/>
  <c r="AC40" i="37"/>
  <c r="H55" i="46"/>
  <c r="W19" i="40"/>
  <c r="AA23" i="21"/>
  <c r="AC15" i="37"/>
  <c r="W29" i="39"/>
  <c r="AC10" i="37"/>
  <c r="D17" i="59"/>
  <c r="AB23" i="21"/>
  <c r="AB26" i="35"/>
  <c r="W37" i="40"/>
  <c r="W32" i="35"/>
  <c r="AC19" i="39"/>
  <c r="AB40" i="40"/>
  <c r="AA41" i="34"/>
  <c r="H23" i="34"/>
  <c r="AB23" i="34" s="1"/>
  <c r="AA12" i="34"/>
  <c r="AA32" i="37"/>
  <c r="AC10" i="35"/>
  <c r="AA36" i="37"/>
  <c r="AZ328" i="3"/>
  <c r="G13" i="3"/>
  <c r="AA30" i="37"/>
  <c r="S30" i="37"/>
  <c r="AZ169" i="3"/>
  <c r="AZ307" i="3"/>
  <c r="AZ146" i="3"/>
  <c r="BL492" i="3"/>
  <c r="AZ492" i="3" s="1"/>
  <c r="BL508" i="3"/>
  <c r="AZ508" i="3" s="1"/>
  <c r="H34" i="35"/>
  <c r="G539" i="3"/>
  <c r="G537" i="3"/>
  <c r="BL392" i="3"/>
  <c r="BL440" i="3"/>
  <c r="BA452" i="3"/>
  <c r="BA454" i="3"/>
  <c r="BL308" i="3"/>
  <c r="G309" i="3"/>
  <c r="BL208" i="3"/>
  <c r="BA215" i="3"/>
  <c r="AZ215" i="3" s="1"/>
  <c r="BA224" i="3"/>
  <c r="BL226" i="3"/>
  <c r="G227" i="3"/>
  <c r="BL234" i="3"/>
  <c r="BL244" i="3"/>
  <c r="BA116" i="3"/>
  <c r="BL118" i="3"/>
  <c r="AZ118" i="3" s="1"/>
  <c r="G119" i="3"/>
  <c r="BA124" i="3"/>
  <c r="BL126" i="3"/>
  <c r="AZ126" i="3" s="1"/>
  <c r="G137" i="3"/>
  <c r="BA147" i="3"/>
  <c r="AZ147" i="3" s="1"/>
  <c r="G150" i="3"/>
  <c r="BL159" i="3"/>
  <c r="BL183" i="3"/>
  <c r="G47" i="3"/>
  <c r="G87" i="3"/>
  <c r="G105" i="3"/>
  <c r="I15" i="57"/>
  <c r="C27" i="40"/>
  <c r="Y6" i="59"/>
  <c r="Z6" i="59" s="1"/>
  <c r="A26" i="64"/>
  <c r="Z12" i="46"/>
  <c r="BA397" i="3"/>
  <c r="AZ397" i="3" s="1"/>
  <c r="G401" i="3"/>
  <c r="G402" i="3"/>
  <c r="BL428" i="3"/>
  <c r="AZ428" i="3" s="1"/>
  <c r="BL429" i="3"/>
  <c r="G430" i="3"/>
  <c r="BL438" i="3"/>
  <c r="AZ438" i="3" s="1"/>
  <c r="BL474" i="3"/>
  <c r="BL348" i="3"/>
  <c r="AZ348" i="3" s="1"/>
  <c r="BL364" i="3"/>
  <c r="AZ364" i="3" s="1"/>
  <c r="BL261" i="3"/>
  <c r="AZ261" i="3" s="1"/>
  <c r="BL262" i="3"/>
  <c r="BA270" i="3"/>
  <c r="BL285" i="3"/>
  <c r="BL286" i="3"/>
  <c r="BL173" i="3"/>
  <c r="AZ173" i="3" s="1"/>
  <c r="BL36" i="3"/>
  <c r="BA79" i="3"/>
  <c r="BL81" i="3"/>
  <c r="BL84" i="3"/>
  <c r="AZ84" i="3" s="1"/>
  <c r="BL85" i="3"/>
  <c r="E71" i="59"/>
  <c r="E70" i="59" s="1"/>
  <c r="E55" i="59"/>
  <c r="E56" i="59" s="1"/>
  <c r="U56" i="59" s="1"/>
  <c r="B67" i="59"/>
  <c r="B66" i="59" s="1"/>
  <c r="H43" i="34"/>
  <c r="U43" i="34" s="1"/>
  <c r="G548" i="3"/>
  <c r="G541" i="3"/>
  <c r="G534" i="3"/>
  <c r="BA448" i="3"/>
  <c r="BL450" i="3"/>
  <c r="BL454" i="3"/>
  <c r="BL306" i="3"/>
  <c r="AZ306" i="3" s="1"/>
  <c r="G307" i="3"/>
  <c r="G206" i="3"/>
  <c r="BA212" i="3"/>
  <c r="BA213" i="3"/>
  <c r="BL215" i="3"/>
  <c r="G216" i="3"/>
  <c r="BL224" i="3"/>
  <c r="G225" i="3"/>
  <c r="G226" i="3"/>
  <c r="G243" i="3"/>
  <c r="G285" i="3"/>
  <c r="BA290" i="3"/>
  <c r="BL116" i="3"/>
  <c r="G117" i="3"/>
  <c r="BL117" i="3"/>
  <c r="BL124" i="3"/>
  <c r="G125" i="3"/>
  <c r="BL125" i="3"/>
  <c r="BL146" i="3"/>
  <c r="G185" i="3"/>
  <c r="BL25" i="3"/>
  <c r="K12" i="1"/>
  <c r="M12" i="1" s="1"/>
  <c r="B85" i="46"/>
  <c r="AB5" i="59"/>
  <c r="F67" i="59"/>
  <c r="F66" i="59" s="1"/>
  <c r="S76" i="59"/>
  <c r="BL514" i="3"/>
  <c r="AZ514" i="3" s="1"/>
  <c r="BL544" i="3"/>
  <c r="AB31" i="21"/>
  <c r="H13" i="36"/>
  <c r="G571" i="3"/>
  <c r="G527" i="3"/>
  <c r="BA396" i="3"/>
  <c r="BL425" i="3"/>
  <c r="BL435" i="3"/>
  <c r="BA461" i="3"/>
  <c r="BL346" i="3"/>
  <c r="AZ346" i="3" s="1"/>
  <c r="BA386" i="3"/>
  <c r="BL249" i="3"/>
  <c r="BL258" i="3"/>
  <c r="BL259" i="3"/>
  <c r="BA266" i="3"/>
  <c r="BA280" i="3"/>
  <c r="BA40" i="3"/>
  <c r="BA41" i="3"/>
  <c r="BA58" i="3"/>
  <c r="BA59" i="3"/>
  <c r="BA70" i="3"/>
  <c r="AZ70" i="3" s="1"/>
  <c r="BA77" i="3"/>
  <c r="E67" i="59"/>
  <c r="E66" i="59" s="1"/>
  <c r="B35" i="59"/>
  <c r="B36" i="59" s="1"/>
  <c r="S36" i="59" s="1"/>
  <c r="X35" i="59"/>
  <c r="F43" i="59"/>
  <c r="F44" i="59" s="1"/>
  <c r="V44" i="59" s="1"/>
  <c r="B47" i="59"/>
  <c r="B48" i="59" s="1"/>
  <c r="S48" i="59" s="1"/>
  <c r="W28" i="35"/>
  <c r="AC10" i="36"/>
  <c r="AZ370" i="3"/>
  <c r="AZ372" i="3"/>
  <c r="AZ184" i="3"/>
  <c r="AZ303" i="3"/>
  <c r="BL516" i="3"/>
  <c r="AZ516" i="3" s="1"/>
  <c r="F13" i="21"/>
  <c r="AA34" i="37"/>
  <c r="F43" i="34"/>
  <c r="AA43" i="34" s="1"/>
  <c r="G538" i="3"/>
  <c r="BA443" i="3"/>
  <c r="BA444" i="3"/>
  <c r="AZ444" i="3" s="1"/>
  <c r="G454" i="3"/>
  <c r="BA468" i="3"/>
  <c r="BL387" i="3"/>
  <c r="BL132" i="3"/>
  <c r="BL141" i="3"/>
  <c r="BL155" i="3"/>
  <c r="BA160" i="3"/>
  <c r="BL50" i="3"/>
  <c r="D75" i="59"/>
  <c r="C79" i="59"/>
  <c r="D79" i="59" s="1"/>
  <c r="E59" i="59"/>
  <c r="E60" i="59" s="1"/>
  <c r="U60" i="59" s="1"/>
  <c r="E17" i="83"/>
  <c r="C16" i="83" s="1"/>
  <c r="AZ356" i="3"/>
  <c r="AZ324" i="3"/>
  <c r="AZ300" i="3"/>
  <c r="AZ193" i="3"/>
  <c r="U12" i="37"/>
  <c r="G503" i="3"/>
  <c r="BA404" i="3"/>
  <c r="G448" i="3"/>
  <c r="BA457" i="3"/>
  <c r="BA458" i="3"/>
  <c r="AZ458" i="3" s="1"/>
  <c r="BL460" i="3"/>
  <c r="G462" i="3"/>
  <c r="G370" i="3"/>
  <c r="BA383" i="3"/>
  <c r="AZ383" i="3" s="1"/>
  <c r="G387" i="3"/>
  <c r="G230" i="3"/>
  <c r="G248" i="3"/>
  <c r="G256" i="3"/>
  <c r="G258" i="3"/>
  <c r="BA265" i="3"/>
  <c r="BL266" i="3"/>
  <c r="BL267" i="3"/>
  <c r="G268" i="3"/>
  <c r="G269" i="3"/>
  <c r="BA278" i="3"/>
  <c r="BA279" i="3"/>
  <c r="BL280" i="3"/>
  <c r="BL169" i="3"/>
  <c r="BA176" i="3"/>
  <c r="G197" i="3"/>
  <c r="G33" i="3"/>
  <c r="BL40" i="3"/>
  <c r="G42" i="3"/>
  <c r="BL58" i="3"/>
  <c r="G59" i="3"/>
  <c r="BA67" i="3"/>
  <c r="BL70" i="3"/>
  <c r="G78" i="3"/>
  <c r="BL89" i="3"/>
  <c r="F31" i="59"/>
  <c r="F32" i="59" s="1"/>
  <c r="V32" i="59" s="1"/>
  <c r="E35" i="59"/>
  <c r="AA35" i="59"/>
  <c r="C47" i="59"/>
  <c r="F59" i="59"/>
  <c r="F60" i="59" s="1"/>
  <c r="V60" i="59" s="1"/>
  <c r="Y7" i="59"/>
  <c r="Z7" i="59" s="1"/>
  <c r="G535" i="3"/>
  <c r="G423" i="3"/>
  <c r="G433" i="3"/>
  <c r="BL478" i="3"/>
  <c r="BL302" i="3"/>
  <c r="AZ302" i="3" s="1"/>
  <c r="BL310" i="3"/>
  <c r="AZ310" i="3" s="1"/>
  <c r="G311" i="3"/>
  <c r="G336" i="3"/>
  <c r="BL210" i="3"/>
  <c r="G211" i="3"/>
  <c r="G221" i="3"/>
  <c r="BL236" i="3"/>
  <c r="G238" i="3"/>
  <c r="G247" i="3"/>
  <c r="G113" i="3"/>
  <c r="G121" i="3"/>
  <c r="G131" i="3"/>
  <c r="BL138" i="3"/>
  <c r="AZ138" i="3" s="1"/>
  <c r="G139" i="3"/>
  <c r="BA149" i="3"/>
  <c r="BL152" i="3"/>
  <c r="G153" i="3"/>
  <c r="BL160" i="3"/>
  <c r="G169" i="3"/>
  <c r="BA183" i="3"/>
  <c r="AZ183" i="3" s="1"/>
  <c r="BA193" i="3"/>
  <c r="BA29" i="3"/>
  <c r="BL31" i="3"/>
  <c r="G49" i="3"/>
  <c r="G58" i="3"/>
  <c r="G107" i="3"/>
  <c r="BA112" i="3"/>
  <c r="AZ112" i="3" s="1"/>
  <c r="F35" i="59"/>
  <c r="F36" i="59" s="1"/>
  <c r="V36" i="59" s="1"/>
  <c r="AB35" i="59"/>
  <c r="E39" i="59"/>
  <c r="E40" i="59" s="1"/>
  <c r="U40" i="59" s="1"/>
  <c r="B51" i="59"/>
  <c r="B52" i="59" s="1"/>
  <c r="S52" i="59" s="1"/>
  <c r="AZ429" i="3"/>
  <c r="AZ473" i="3"/>
  <c r="AB6" i="59"/>
  <c r="C34" i="84"/>
  <c r="D33" i="84" s="1"/>
  <c r="W18" i="36"/>
  <c r="C7" i="46"/>
  <c r="I14" i="66"/>
  <c r="B8" i="66" s="1"/>
  <c r="O41" i="9"/>
  <c r="R8" i="54" s="1"/>
  <c r="B54" i="63" s="1"/>
  <c r="H14" i="66"/>
  <c r="B7" i="66" s="1"/>
  <c r="O40" i="9"/>
  <c r="R7" i="54" s="1"/>
  <c r="B52" i="63" s="1"/>
  <c r="W31" i="39"/>
  <c r="AC31" i="39"/>
  <c r="AA16" i="40"/>
  <c r="S16" i="40"/>
  <c r="BA571" i="3"/>
  <c r="AZ571" i="3" s="1"/>
  <c r="BM5" i="3"/>
  <c r="F29" i="6" s="1"/>
  <c r="BJ5" i="3"/>
  <c r="B69" i="46"/>
  <c r="B69" i="83"/>
  <c r="B58" i="46"/>
  <c r="B58" i="83"/>
  <c r="B76" i="46"/>
  <c r="B76" i="83"/>
  <c r="B55" i="83"/>
  <c r="B66" i="83"/>
  <c r="B51" i="46"/>
  <c r="B62" i="83"/>
  <c r="B51" i="83"/>
  <c r="B72" i="83"/>
  <c r="B81" i="46"/>
  <c r="J39" i="33"/>
  <c r="AC39" i="33" s="1"/>
  <c r="J43" i="34"/>
  <c r="W43" i="34" s="1"/>
  <c r="F34" i="35"/>
  <c r="H45" i="33"/>
  <c r="U45" i="33" s="1"/>
  <c r="H9" i="36"/>
  <c r="AB9" i="36" s="1"/>
  <c r="BA568" i="3"/>
  <c r="AZ568" i="3" s="1"/>
  <c r="G568" i="3"/>
  <c r="BA567" i="3"/>
  <c r="AZ567" i="3" s="1"/>
  <c r="G564" i="3"/>
  <c r="BA563" i="3"/>
  <c r="G562" i="3"/>
  <c r="G561" i="3"/>
  <c r="BL560" i="3"/>
  <c r="BL559" i="3"/>
  <c r="BA559" i="3"/>
  <c r="AZ559" i="3" s="1"/>
  <c r="BL558" i="3"/>
  <c r="G558" i="3"/>
  <c r="BL557" i="3"/>
  <c r="BA556" i="3"/>
  <c r="G556" i="3"/>
  <c r="G555" i="3"/>
  <c r="BL554" i="3"/>
  <c r="G554" i="3"/>
  <c r="BA552" i="3"/>
  <c r="G552" i="3"/>
  <c r="G551" i="3"/>
  <c r="BA549" i="3"/>
  <c r="AZ549" i="3" s="1"/>
  <c r="G549" i="3"/>
  <c r="BA548" i="3"/>
  <c r="AZ548" i="3" s="1"/>
  <c r="BA547" i="3"/>
  <c r="AZ547" i="3" s="1"/>
  <c r="G547" i="3"/>
  <c r="G546" i="3"/>
  <c r="BA545" i="3"/>
  <c r="AZ545" i="3" s="1"/>
  <c r="G545" i="3"/>
  <c r="BA544" i="3"/>
  <c r="AZ544" i="3" s="1"/>
  <c r="G544" i="3"/>
  <c r="BL543" i="3"/>
  <c r="G532" i="3"/>
  <c r="G531" i="3"/>
  <c r="BA530" i="3"/>
  <c r="AZ530" i="3" s="1"/>
  <c r="BA529" i="3"/>
  <c r="AZ529" i="3" s="1"/>
  <c r="G529" i="3"/>
  <c r="BA528" i="3"/>
  <c r="BL527" i="3"/>
  <c r="BA527" i="3"/>
  <c r="G526" i="3"/>
  <c r="G525" i="3"/>
  <c r="G500" i="3"/>
  <c r="BA499" i="3"/>
  <c r="BA498" i="3"/>
  <c r="G498" i="3"/>
  <c r="BL497" i="3"/>
  <c r="AZ497" i="3" s="1"/>
  <c r="BL496" i="3"/>
  <c r="AZ496" i="3" s="1"/>
  <c r="BA495" i="3"/>
  <c r="AZ495" i="3" s="1"/>
  <c r="G486" i="3"/>
  <c r="BA485" i="3"/>
  <c r="BL484" i="3"/>
  <c r="G484" i="3"/>
  <c r="BA483" i="3"/>
  <c r="G483" i="3"/>
  <c r="BL482" i="3"/>
  <c r="G481" i="3"/>
  <c r="G20" i="3"/>
  <c r="BP5" i="3"/>
  <c r="G29" i="6" s="1"/>
  <c r="BL19" i="3"/>
  <c r="BK5" i="3"/>
  <c r="BE5" i="3"/>
  <c r="BR5" i="3"/>
  <c r="BL18" i="3"/>
  <c r="AZ18" i="3" s="1"/>
  <c r="G18" i="3"/>
  <c r="G17" i="3"/>
  <c r="AZ16" i="3"/>
  <c r="S20" i="35"/>
  <c r="W27" i="39"/>
  <c r="W35" i="40"/>
  <c r="W40" i="40"/>
  <c r="AB16" i="40"/>
  <c r="AZ481" i="3"/>
  <c r="AZ482" i="3"/>
  <c r="AZ504" i="3"/>
  <c r="AZ518" i="3"/>
  <c r="AZ523" i="3"/>
  <c r="AZ378" i="3"/>
  <c r="AZ373" i="3"/>
  <c r="AZ359" i="3"/>
  <c r="AZ339" i="3"/>
  <c r="AZ331" i="3"/>
  <c r="AZ323" i="3"/>
  <c r="AZ379" i="3"/>
  <c r="AZ361" i="3"/>
  <c r="AZ520" i="3"/>
  <c r="B47" i="46"/>
  <c r="B47" i="83"/>
  <c r="B48" i="83"/>
  <c r="B70" i="83"/>
  <c r="B59" i="83"/>
  <c r="B73" i="83"/>
  <c r="B64" i="83"/>
  <c r="B53" i="83"/>
  <c r="B87" i="46"/>
  <c r="B87" i="83"/>
  <c r="BL540" i="3"/>
  <c r="BA539" i="3"/>
  <c r="AZ539" i="3" s="1"/>
  <c r="BL538" i="3"/>
  <c r="BA538" i="3"/>
  <c r="BL537" i="3"/>
  <c r="AZ537" i="3" s="1"/>
  <c r="BL536" i="3"/>
  <c r="AZ536" i="3" s="1"/>
  <c r="BA534" i="3"/>
  <c r="BL533" i="3"/>
  <c r="AZ533" i="3" s="1"/>
  <c r="BL532" i="3"/>
  <c r="S22" i="31"/>
  <c r="R22" i="31" s="1"/>
  <c r="B21" i="31" s="1"/>
  <c r="E32" i="6"/>
  <c r="C9" i="84"/>
  <c r="G389" i="3"/>
  <c r="G391" i="3"/>
  <c r="BA392" i="3"/>
  <c r="G394" i="3"/>
  <c r="BA394" i="3"/>
  <c r="G395" i="3"/>
  <c r="G405" i="3"/>
  <c r="G408" i="3"/>
  <c r="G414" i="3"/>
  <c r="BL415" i="3"/>
  <c r="G416" i="3"/>
  <c r="G417" i="3"/>
  <c r="G419" i="3"/>
  <c r="BA420" i="3"/>
  <c r="AZ420" i="3" s="1"/>
  <c r="BL420" i="3"/>
  <c r="G421" i="3"/>
  <c r="G424" i="3"/>
  <c r="BL430" i="3"/>
  <c r="BA431" i="3"/>
  <c r="G432" i="3"/>
  <c r="G434" i="3"/>
  <c r="G446" i="3"/>
  <c r="BA447" i="3"/>
  <c r="G449" i="3"/>
  <c r="BA449" i="3"/>
  <c r="BL449" i="3"/>
  <c r="BL455" i="3"/>
  <c r="BL459" i="3"/>
  <c r="G460" i="3"/>
  <c r="G463" i="3"/>
  <c r="BA464" i="3"/>
  <c r="BL464" i="3"/>
  <c r="BL466" i="3"/>
  <c r="G469" i="3"/>
  <c r="BL469" i="3"/>
  <c r="BL471" i="3"/>
  <c r="BA472" i="3"/>
  <c r="G473" i="3"/>
  <c r="BA478" i="3"/>
  <c r="BL479" i="3"/>
  <c r="G480" i="3"/>
  <c r="G313" i="3"/>
  <c r="G315" i="3"/>
  <c r="G317" i="3"/>
  <c r="BA353" i="3"/>
  <c r="AZ353" i="3" s="1"/>
  <c r="BA387" i="3"/>
  <c r="AZ387" i="3" s="1"/>
  <c r="BL388" i="3"/>
  <c r="BL205" i="3"/>
  <c r="G218" i="3"/>
  <c r="BA218" i="3"/>
  <c r="G220" i="3"/>
  <c r="BA227" i="3"/>
  <c r="G228" i="3"/>
  <c r="G229" i="3"/>
  <c r="BA229" i="3"/>
  <c r="BA232" i="3"/>
  <c r="G233" i="3"/>
  <c r="BA233" i="3"/>
  <c r="G234" i="3"/>
  <c r="BA234" i="3"/>
  <c r="G236" i="3"/>
  <c r="BA236" i="3"/>
  <c r="AZ236" i="3" s="1"/>
  <c r="G240" i="3"/>
  <c r="G242" i="3"/>
  <c r="BL242" i="3"/>
  <c r="BA243" i="3"/>
  <c r="G244" i="3"/>
  <c r="BL247" i="3"/>
  <c r="BL248" i="3"/>
  <c r="G249" i="3"/>
  <c r="G251" i="3"/>
  <c r="BL252" i="3"/>
  <c r="BA254" i="3"/>
  <c r="G261" i="3"/>
  <c r="G266" i="3"/>
  <c r="BL271" i="3"/>
  <c r="G280" i="3"/>
  <c r="G283" i="3"/>
  <c r="BA285" i="3"/>
  <c r="AZ285" i="3" s="1"/>
  <c r="G289" i="3"/>
  <c r="BL289" i="3"/>
  <c r="G294" i="3"/>
  <c r="G296" i="3"/>
  <c r="G114" i="3"/>
  <c r="G122" i="3"/>
  <c r="BA131" i="3"/>
  <c r="AZ131" i="3" s="1"/>
  <c r="BA132" i="3"/>
  <c r="G134" i="3"/>
  <c r="G135" i="3"/>
  <c r="G160" i="3"/>
  <c r="BL161" i="3"/>
  <c r="AZ161" i="3" s="1"/>
  <c r="G162" i="3"/>
  <c r="BL163" i="3"/>
  <c r="G165" i="3"/>
  <c r="BA166" i="3"/>
  <c r="AZ166" i="3" s="1"/>
  <c r="BA168" i="3"/>
  <c r="BL168" i="3"/>
  <c r="G178" i="3"/>
  <c r="G179" i="3"/>
  <c r="G187" i="3"/>
  <c r="BL188" i="3"/>
  <c r="AZ188" i="3" s="1"/>
  <c r="G189" i="3"/>
  <c r="BA191" i="3"/>
  <c r="G195" i="3"/>
  <c r="BL195" i="3"/>
  <c r="G196" i="3"/>
  <c r="BA203" i="3"/>
  <c r="BL203" i="3"/>
  <c r="G204" i="3"/>
  <c r="G21" i="3"/>
  <c r="G22" i="3"/>
  <c r="BA23" i="3"/>
  <c r="BL23" i="3"/>
  <c r="G25" i="3"/>
  <c r="BA25" i="3"/>
  <c r="G27" i="3"/>
  <c r="BL28" i="3"/>
  <c r="BA31" i="3"/>
  <c r="AZ31" i="3" s="1"/>
  <c r="G34" i="3"/>
  <c r="BA34" i="3"/>
  <c r="BA35" i="3"/>
  <c r="BL35" i="3"/>
  <c r="G38" i="3"/>
  <c r="BL42" i="3"/>
  <c r="BA43" i="3"/>
  <c r="G45" i="3"/>
  <c r="BA45" i="3"/>
  <c r="G48" i="3"/>
  <c r="BA49" i="3"/>
  <c r="BL49" i="3"/>
  <c r="G50" i="3"/>
  <c r="BA57" i="3"/>
  <c r="G64" i="3"/>
  <c r="G65" i="3"/>
  <c r="G66" i="3"/>
  <c r="BA66" i="3"/>
  <c r="BA80" i="3"/>
  <c r="BL86" i="3"/>
  <c r="BL87" i="3"/>
  <c r="G90" i="3"/>
  <c r="G91" i="3"/>
  <c r="G93" i="3"/>
  <c r="G99" i="3"/>
  <c r="G101" i="3"/>
  <c r="G103" i="3"/>
  <c r="G104" i="3"/>
  <c r="G108" i="3"/>
  <c r="G110" i="3"/>
  <c r="G111" i="3"/>
  <c r="G112" i="3"/>
  <c r="B84" i="46"/>
  <c r="B84" i="83"/>
  <c r="P21" i="83"/>
  <c r="O19" i="83"/>
  <c r="P22" i="83"/>
  <c r="P25" i="83"/>
  <c r="P23" i="83"/>
  <c r="P24" i="83"/>
  <c r="E26" i="57"/>
  <c r="I10" i="57"/>
  <c r="B65" i="46"/>
  <c r="B74" i="83"/>
  <c r="B65" i="83"/>
  <c r="B54" i="83"/>
  <c r="AA21" i="21"/>
  <c r="D62" i="59"/>
  <c r="L16" i="4"/>
  <c r="D72" i="59"/>
  <c r="C71" i="59"/>
  <c r="U64" i="59"/>
  <c r="B62" i="59"/>
  <c r="D46" i="59"/>
  <c r="X26" i="59"/>
  <c r="Y32" i="59"/>
  <c r="Z32" i="59" s="1"/>
  <c r="X5" i="59"/>
  <c r="AA7" i="59"/>
  <c r="AA5" i="59"/>
  <c r="F71" i="59"/>
  <c r="F70" i="59" s="1"/>
  <c r="D20" i="59"/>
  <c r="S20" i="59"/>
  <c r="K76" i="9"/>
  <c r="P62" i="15"/>
  <c r="X7" i="59"/>
  <c r="Y5" i="59"/>
  <c r="AB7" i="59"/>
  <c r="C5" i="83"/>
  <c r="D5" i="83"/>
  <c r="X6" i="59"/>
  <c r="AA6" i="59"/>
  <c r="AP6" i="1"/>
  <c r="I20" i="83"/>
  <c r="D24" i="15"/>
  <c r="D26" i="44"/>
  <c r="G22" i="43"/>
  <c r="G28" i="84"/>
  <c r="G26" i="84"/>
  <c r="G27" i="84"/>
  <c r="G23" i="43"/>
  <c r="G28" i="12"/>
  <c r="C21" i="84"/>
  <c r="M6" i="1"/>
  <c r="O6" i="1" s="1"/>
  <c r="BQ5" i="3"/>
  <c r="F28" i="6" s="1"/>
  <c r="AC5" i="3"/>
  <c r="AC11" i="21"/>
  <c r="F33" i="79"/>
  <c r="J33" i="79"/>
  <c r="C34" i="81"/>
  <c r="H33" i="79"/>
  <c r="E20" i="83"/>
  <c r="F17" i="34"/>
  <c r="AA17" i="34" s="1"/>
  <c r="C51" i="10"/>
  <c r="G10" i="1"/>
  <c r="AZ527" i="3"/>
  <c r="U14" i="33"/>
  <c r="AB14" i="33"/>
  <c r="AA15" i="40"/>
  <c r="S15" i="40"/>
  <c r="AA29" i="40"/>
  <c r="S29" i="40"/>
  <c r="AA35" i="40"/>
  <c r="S35" i="40"/>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AZ555" i="3" s="1"/>
  <c r="BL553" i="3"/>
  <c r="AZ553" i="3" s="1"/>
  <c r="BA551" i="3"/>
  <c r="AZ551" i="3" s="1"/>
  <c r="BA546" i="3"/>
  <c r="BL542" i="3"/>
  <c r="BA542" i="3"/>
  <c r="BL541" i="3"/>
  <c r="AZ541" i="3" s="1"/>
  <c r="BL535" i="3"/>
  <c r="AZ535" i="3" s="1"/>
  <c r="BA531" i="3"/>
  <c r="AZ531" i="3" s="1"/>
  <c r="BA524" i="3"/>
  <c r="AZ524" i="3" s="1"/>
  <c r="BA484" i="3"/>
  <c r="AZ484" i="3" s="1"/>
  <c r="AZ498" i="3"/>
  <c r="AZ499" i="3"/>
  <c r="AZ336" i="3"/>
  <c r="AA10" i="35"/>
  <c r="S10" i="35"/>
  <c r="AZ560" i="3"/>
  <c r="W33" i="21"/>
  <c r="AC33" i="21"/>
  <c r="S38" i="21"/>
  <c r="AA38" i="21"/>
  <c r="BA570" i="3"/>
  <c r="BF5" i="3"/>
  <c r="AA10" i="21"/>
  <c r="S10" i="21"/>
  <c r="AA38" i="33"/>
  <c r="S38" i="33"/>
  <c r="J12" i="36"/>
  <c r="H12" i="36"/>
  <c r="F32" i="36"/>
  <c r="H32" i="36"/>
  <c r="J32" i="36"/>
  <c r="BA569" i="3"/>
  <c r="AZ569" i="3" s="1"/>
  <c r="BA562" i="3"/>
  <c r="BA558" i="3"/>
  <c r="AZ558" i="3" s="1"/>
  <c r="BA554" i="3"/>
  <c r="BL550" i="3"/>
  <c r="BA543" i="3"/>
  <c r="AZ543" i="3" s="1"/>
  <c r="BA540" i="3"/>
  <c r="AZ540" i="3" s="1"/>
  <c r="BA532" i="3"/>
  <c r="AZ532" i="3" s="1"/>
  <c r="BL525" i="3"/>
  <c r="AZ525" i="3" s="1"/>
  <c r="BL485" i="3"/>
  <c r="AZ485" i="3" s="1"/>
  <c r="BL483" i="3"/>
  <c r="AZ483" i="3" s="1"/>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77"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U31" i="34" s="1"/>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14" i="3" s="1"/>
  <c r="AZ358" i="3"/>
  <c r="AZ355" i="3"/>
  <c r="AZ354" i="3"/>
  <c r="AZ338" i="3"/>
  <c r="AZ322" i="3"/>
  <c r="AZ363" i="3"/>
  <c r="BL20" i="3"/>
  <c r="AZ20" i="3" s="1"/>
  <c r="BL526" i="3"/>
  <c r="AZ526" i="3" s="1"/>
  <c r="BL546" i="3"/>
  <c r="BL552" i="3"/>
  <c r="AZ552" i="3" s="1"/>
  <c r="BL556" i="3"/>
  <c r="AZ556" i="3" s="1"/>
  <c r="AZ502" i="3"/>
  <c r="AZ501" i="3"/>
  <c r="G572" i="3"/>
  <c r="BL572" i="3"/>
  <c r="BA572" i="3"/>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BA385" i="3"/>
  <c r="BL213" i="3"/>
  <c r="AZ213" i="3" s="1"/>
  <c r="BL389" i="3"/>
  <c r="AZ392" i="3"/>
  <c r="BA398" i="3"/>
  <c r="BL398" i="3"/>
  <c r="BA402" i="3"/>
  <c r="AZ402" i="3" s="1"/>
  <c r="BL404" i="3"/>
  <c r="AZ404" i="3" s="1"/>
  <c r="BA408" i="3"/>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AZ332" i="3" s="1"/>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AZ301" i="3" s="1"/>
  <c r="BA311" i="3"/>
  <c r="AZ311" i="3" s="1"/>
  <c r="BA313" i="3"/>
  <c r="AZ313" i="3" s="1"/>
  <c r="BL314" i="3"/>
  <c r="AZ314" i="3" s="1"/>
  <c r="BA319" i="3"/>
  <c r="BL319" i="3"/>
  <c r="G320" i="3"/>
  <c r="BA321" i="3"/>
  <c r="AZ321" i="3" s="1"/>
  <c r="BL326" i="3"/>
  <c r="AZ326" i="3" s="1"/>
  <c r="G329" i="3"/>
  <c r="G331" i="3"/>
  <c r="G333" i="3"/>
  <c r="BA337" i="3"/>
  <c r="AZ337" i="3" s="1"/>
  <c r="BL350" i="3"/>
  <c r="BA351" i="3"/>
  <c r="G352" i="3"/>
  <c r="BL360" i="3"/>
  <c r="AZ360" i="3" s="1"/>
  <c r="G363" i="3"/>
  <c r="G367" i="3"/>
  <c r="BA367" i="3"/>
  <c r="AZ367" i="3" s="1"/>
  <c r="BL369" i="3"/>
  <c r="BA371" i="3"/>
  <c r="AZ371" i="3" s="1"/>
  <c r="G375" i="3"/>
  <c r="BA375" i="3"/>
  <c r="AZ375" i="3" s="1"/>
  <c r="BL376" i="3"/>
  <c r="AZ376" i="3" s="1"/>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BA237" i="3"/>
  <c r="BL254" i="3"/>
  <c r="AZ254" i="3" s="1"/>
  <c r="BA263" i="3"/>
  <c r="AZ263" i="3" s="1"/>
  <c r="BA269" i="3"/>
  <c r="BA277" i="3"/>
  <c r="BL284" i="3"/>
  <c r="BL287" i="3"/>
  <c r="BL292" i="3"/>
  <c r="BA296" i="3"/>
  <c r="AZ132" i="3"/>
  <c r="BA141" i="3"/>
  <c r="AZ141" i="3" s="1"/>
  <c r="BA144" i="3"/>
  <c r="BL149" i="3"/>
  <c r="AZ149" i="3" s="1"/>
  <c r="BL196" i="3"/>
  <c r="AZ196" i="3" s="1"/>
  <c r="BA198" i="3"/>
  <c r="BL199" i="3"/>
  <c r="BA21" i="3"/>
  <c r="BL24" i="3"/>
  <c r="AZ25" i="3"/>
  <c r="BA26" i="3"/>
  <c r="AZ26" i="3" s="1"/>
  <c r="BA28" i="3"/>
  <c r="AZ28" i="3" s="1"/>
  <c r="BA32" i="3"/>
  <c r="BA36" i="3"/>
  <c r="BA37" i="3"/>
  <c r="BA44" i="3"/>
  <c r="BL51" i="3"/>
  <c r="BA53" i="3"/>
  <c r="BL59" i="3"/>
  <c r="AZ59" i="3" s="1"/>
  <c r="BL60" i="3"/>
  <c r="BA61" i="3"/>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BL148" i="3"/>
  <c r="G149" i="3"/>
  <c r="G151" i="3"/>
  <c r="G154" i="3"/>
  <c r="G157" i="3"/>
  <c r="BL157" i="3"/>
  <c r="AZ157" i="3" s="1"/>
  <c r="G158" i="3"/>
  <c r="BA158" i="3"/>
  <c r="AZ158" i="3" s="1"/>
  <c r="G161" i="3"/>
  <c r="G166" i="3"/>
  <c r="BA171" i="3"/>
  <c r="BA172" i="3"/>
  <c r="G173" i="3"/>
  <c r="BA175" i="3"/>
  <c r="BL175" i="3"/>
  <c r="G176" i="3"/>
  <c r="BL176" i="3"/>
  <c r="AZ176" i="3" s="1"/>
  <c r="BA177" i="3"/>
  <c r="G181" i="3"/>
  <c r="BA182" i="3"/>
  <c r="G183" i="3"/>
  <c r="BA186" i="3"/>
  <c r="G188" i="3"/>
  <c r="BA190" i="3"/>
  <c r="G192" i="3"/>
  <c r="BL192" i="3"/>
  <c r="AZ192" i="3" s="1"/>
  <c r="BA194" i="3"/>
  <c r="AZ194" i="3" s="1"/>
  <c r="G200" i="3"/>
  <c r="BL200" i="3"/>
  <c r="AZ200" i="3" s="1"/>
  <c r="G201" i="3"/>
  <c r="BL202" i="3"/>
  <c r="BA204" i="3"/>
  <c r="BL21" i="3"/>
  <c r="BA22" i="3"/>
  <c r="G23" i="3"/>
  <c r="BA24" i="3"/>
  <c r="BA27" i="3"/>
  <c r="BL27" i="3"/>
  <c r="G28" i="3"/>
  <c r="G30" i="3"/>
  <c r="BA30" i="3"/>
  <c r="AZ30" i="3" s="1"/>
  <c r="G31" i="3"/>
  <c r="G32" i="3"/>
  <c r="BL32" i="3"/>
  <c r="G37" i="3"/>
  <c r="BL41" i="3"/>
  <c r="AZ41" i="3" s="1"/>
  <c r="BL44" i="3"/>
  <c r="BL45" i="3"/>
  <c r="AZ45" i="3" s="1"/>
  <c r="BA48" i="3"/>
  <c r="BL48" i="3"/>
  <c r="G51" i="3"/>
  <c r="G52" i="3"/>
  <c r="BA52" i="3"/>
  <c r="BL54" i="3"/>
  <c r="BA55" i="3"/>
  <c r="AZ58" i="3"/>
  <c r="BA64" i="3"/>
  <c r="BL98" i="3"/>
  <c r="O61" i="59"/>
  <c r="B39" i="59"/>
  <c r="B40" i="59" s="1"/>
  <c r="S40" i="59" s="1"/>
  <c r="E47" i="59"/>
  <c r="E48" i="59" s="1"/>
  <c r="U48" i="59" s="1"/>
  <c r="B55" i="59"/>
  <c r="F75" i="59"/>
  <c r="F74" i="59" s="1"/>
  <c r="G54" i="3"/>
  <c r="BA54" i="3"/>
  <c r="AZ54" i="3" s="1"/>
  <c r="G56" i="3"/>
  <c r="G57" i="3"/>
  <c r="BL66" i="3"/>
  <c r="AZ66" i="3" s="1"/>
  <c r="BL67" i="3"/>
  <c r="AZ67" i="3" s="1"/>
  <c r="G68" i="3"/>
  <c r="G69" i="3"/>
  <c r="BL72" i="3"/>
  <c r="BA76" i="3"/>
  <c r="BL77" i="3"/>
  <c r="AZ77" i="3" s="1"/>
  <c r="G79" i="3"/>
  <c r="BL80" i="3"/>
  <c r="AZ80" i="3" s="1"/>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B14" i="21"/>
  <c r="S25" i="40"/>
  <c r="S16" i="39"/>
  <c r="AA16" i="39"/>
  <c r="AZ528" i="3"/>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G465" i="3"/>
  <c r="BL472" i="3"/>
  <c r="AZ472" i="3" s="1"/>
  <c r="BL476" i="3"/>
  <c r="AZ476" i="3" s="1"/>
  <c r="BA477" i="3"/>
  <c r="AZ477" i="3" s="1"/>
  <c r="BL334" i="3"/>
  <c r="G345" i="3"/>
  <c r="BA210" i="3"/>
  <c r="BA226" i="3"/>
  <c r="AZ226" i="3" s="1"/>
  <c r="B81" i="72"/>
  <c r="B81" i="71"/>
  <c r="BL391" i="3"/>
  <c r="AZ116" i="3"/>
  <c r="G399" i="3"/>
  <c r="BA208" i="3"/>
  <c r="AZ208" i="3" s="1"/>
  <c r="AZ224" i="3"/>
  <c r="BA389" i="3"/>
  <c r="AZ389" i="3" s="1"/>
  <c r="BA391" i="3"/>
  <c r="AZ391" i="3" s="1"/>
  <c r="G450" i="3"/>
  <c r="G455" i="3"/>
  <c r="BL467" i="3"/>
  <c r="BA205" i="3"/>
  <c r="AZ205" i="3" s="1"/>
  <c r="BA225" i="3"/>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AZ409" i="3" s="1"/>
  <c r="BL410" i="3"/>
  <c r="BA413" i="3"/>
  <c r="BA414" i="3"/>
  <c r="AZ414" i="3" s="1"/>
  <c r="BL432" i="3"/>
  <c r="BL462" i="3"/>
  <c r="BA466" i="3"/>
  <c r="AZ466" i="3" s="1"/>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AZ171" i="3" s="1"/>
  <c r="BL172" i="3"/>
  <c r="AZ172" i="3" s="1"/>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BA284" i="3"/>
  <c r="AZ284" i="3" s="1"/>
  <c r="BA289" i="3"/>
  <c r="AZ289" i="3" s="1"/>
  <c r="BA113" i="3"/>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251" i="3"/>
  <c r="BA253" i="3"/>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AZ129" i="3" s="1"/>
  <c r="BA136" i="3"/>
  <c r="BL153" i="3"/>
  <c r="AZ153" i="3" s="1"/>
  <c r="BA155" i="3"/>
  <c r="AZ155" i="3" s="1"/>
  <c r="G177" i="3"/>
  <c r="BL182" i="3"/>
  <c r="AZ182" i="3" s="1"/>
  <c r="BA189" i="3"/>
  <c r="AZ189" i="3" s="1"/>
  <c r="BL34" i="3"/>
  <c r="BL39" i="3"/>
  <c r="BL46" i="3"/>
  <c r="BL76" i="3"/>
  <c r="BA90" i="3"/>
  <c r="BA334" i="3"/>
  <c r="BA206" i="3"/>
  <c r="AZ206" i="3" s="1"/>
  <c r="BL221" i="3"/>
  <c r="BL231" i="3"/>
  <c r="AZ231" i="3" s="1"/>
  <c r="BA240" i="3"/>
  <c r="AZ277" i="3"/>
  <c r="BL121" i="3"/>
  <c r="AZ121" i="3" s="1"/>
  <c r="BA128" i="3"/>
  <c r="BL128" i="3"/>
  <c r="BA156" i="3"/>
  <c r="BL180" i="3"/>
  <c r="BA187" i="3"/>
  <c r="BL187" i="3"/>
  <c r="BA325" i="3"/>
  <c r="AZ325" i="3" s="1"/>
  <c r="G388" i="3"/>
  <c r="BL232" i="3"/>
  <c r="AZ232" i="3" s="1"/>
  <c r="BA241" i="3"/>
  <c r="G263" i="3"/>
  <c r="BA272" i="3"/>
  <c r="BL150" i="3"/>
  <c r="AZ150" i="3" s="1"/>
  <c r="BA154" i="3"/>
  <c r="AZ154" i="3" s="1"/>
  <c r="BA185" i="3"/>
  <c r="AZ185" i="3" s="1"/>
  <c r="BA38" i="3"/>
  <c r="BA39" i="3"/>
  <c r="BL75" i="3"/>
  <c r="BL386" i="3"/>
  <c r="AZ386" i="3" s="1"/>
  <c r="BL216" i="3"/>
  <c r="BA221" i="3"/>
  <c r="BA230" i="3"/>
  <c r="AZ230" i="3" s="1"/>
  <c r="BA258" i="3"/>
  <c r="G282" i="3"/>
  <c r="BL122" i="3"/>
  <c r="AZ122" i="3" s="1"/>
  <c r="BA125" i="3"/>
  <c r="AZ125" i="3" s="1"/>
  <c r="BL144" i="3"/>
  <c r="AZ144" i="3" s="1"/>
  <c r="BA151" i="3"/>
  <c r="AZ151" i="3" s="1"/>
  <c r="BA152" i="3"/>
  <c r="AZ152" i="3" s="1"/>
  <c r="BL156" i="3"/>
  <c r="BA163" i="3"/>
  <c r="AZ163" i="3" s="1"/>
  <c r="BL177" i="3"/>
  <c r="BA180" i="3"/>
  <c r="BA181" i="3"/>
  <c r="AZ181" i="3" s="1"/>
  <c r="BL33" i="3"/>
  <c r="AZ34" i="3"/>
  <c r="BL57" i="3"/>
  <c r="AZ57" i="3" s="1"/>
  <c r="BA75" i="3"/>
  <c r="AZ75" i="3" s="1"/>
  <c r="BA222" i="3"/>
  <c r="AZ222" i="3" s="1"/>
  <c r="BL243" i="3"/>
  <c r="AZ243" i="3" s="1"/>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BA89" i="3"/>
  <c r="AZ89" i="3" s="1"/>
  <c r="BL91" i="3"/>
  <c r="AZ91" i="3" s="1"/>
  <c r="E36" i="59"/>
  <c r="C48" i="59"/>
  <c r="D47" i="59"/>
  <c r="F52" i="59"/>
  <c r="V52" i="59" s="1"/>
  <c r="X22" i="59"/>
  <c r="BL198" i="3"/>
  <c r="AZ198" i="3" s="1"/>
  <c r="BL53" i="3"/>
  <c r="AZ53" i="3" s="1"/>
  <c r="BL61" i="3"/>
  <c r="BA72" i="3"/>
  <c r="AZ72" i="3" s="1"/>
  <c r="BA94" i="3"/>
  <c r="AZ94" i="3" s="1"/>
  <c r="BL96" i="3"/>
  <c r="AZ96" i="3" s="1"/>
  <c r="BL102" i="3"/>
  <c r="C59" i="59"/>
  <c r="D58" i="59"/>
  <c r="BL38" i="3"/>
  <c r="BA51" i="3"/>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BA74" i="3"/>
  <c r="BA87" i="3"/>
  <c r="AZ87" i="3" s="1"/>
  <c r="BA92" i="3"/>
  <c r="BA97" i="3"/>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BA73" i="3"/>
  <c r="BA101" i="3"/>
  <c r="BA106" i="3"/>
  <c r="AZ108" i="3"/>
  <c r="AA21" i="37"/>
  <c r="S21" i="37"/>
  <c r="D71" i="59"/>
  <c r="C70" i="59"/>
  <c r="D70" i="59" s="1"/>
  <c r="BA47" i="3"/>
  <c r="BA5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1" i="33"/>
  <c r="S39" i="33"/>
  <c r="U37" i="33"/>
  <c r="S37" i="33"/>
  <c r="AC37" i="33"/>
  <c r="U35" i="33"/>
  <c r="S35" i="33"/>
  <c r="AC35" i="33"/>
  <c r="W34" i="33"/>
  <c r="AA34" i="33"/>
  <c r="W27" i="33"/>
  <c r="AC8" i="33"/>
  <c r="AB9" i="33"/>
  <c r="S17" i="33"/>
  <c r="I20" i="72"/>
  <c r="BB5" i="3"/>
  <c r="E5" i="6" s="1"/>
  <c r="D12" i="11" s="1"/>
  <c r="C12" i="11" s="1"/>
  <c r="E69" i="46"/>
  <c r="B67" i="46" s="1"/>
  <c r="C24" i="46" s="1"/>
  <c r="H10" i="68"/>
  <c r="F21" i="6"/>
  <c r="E21" i="6" s="1"/>
  <c r="C10" i="12"/>
  <c r="C6" i="12" s="1"/>
  <c r="C24" i="12" s="1"/>
  <c r="E20" i="6"/>
  <c r="D3" i="79" s="1"/>
  <c r="W10" i="21"/>
  <c r="U9" i="21"/>
  <c r="AB10" i="21"/>
  <c r="W8" i="21"/>
  <c r="AP8" i="1"/>
  <c r="G8" i="1"/>
  <c r="G7" i="1"/>
  <c r="AP7" i="1"/>
  <c r="C42" i="1"/>
  <c r="C15" i="43" s="1"/>
  <c r="G19" i="72"/>
  <c r="G19" i="71"/>
  <c r="D96" i="9"/>
  <c r="B41" i="1"/>
  <c r="F30" i="44" s="1"/>
  <c r="G21" i="43"/>
  <c r="G27" i="12"/>
  <c r="G28" i="70"/>
  <c r="G26" i="70"/>
  <c r="G26" i="69"/>
  <c r="G27" i="70"/>
  <c r="G27" i="69"/>
  <c r="G28" i="69"/>
  <c r="C2" i="65"/>
  <c r="K1" i="69"/>
  <c r="K1" i="70"/>
  <c r="I4" i="6"/>
  <c r="F30" i="6"/>
  <c r="E20" i="72"/>
  <c r="E20" i="71"/>
  <c r="N16" i="4"/>
  <c r="K17" i="4" s="1"/>
  <c r="D70" i="39"/>
  <c r="C72" i="39"/>
  <c r="C67" i="40"/>
  <c r="D65" i="40"/>
  <c r="G17" i="46"/>
  <c r="C16" i="46" s="1"/>
  <c r="BL13" i="3"/>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O9" i="1"/>
  <c r="P9" i="1" s="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J1" i="65"/>
  <c r="F67" i="15"/>
  <c r="M9" i="44"/>
  <c r="I55" i="44"/>
  <c r="J54" i="44"/>
  <c r="L57" i="44"/>
  <c r="J58" i="44"/>
  <c r="J56" i="44" s="1"/>
  <c r="J59" i="44" s="1"/>
  <c r="Q52" i="44" s="1"/>
  <c r="J60" i="44"/>
  <c r="J61" i="44"/>
  <c r="Q50" i="44" s="1"/>
  <c r="C4" i="65"/>
  <c r="B39" i="1" s="1"/>
  <c r="L48" i="44"/>
  <c r="F28" i="44"/>
  <c r="J4" i="65"/>
  <c r="F26" i="15"/>
  <c r="M22" i="15"/>
  <c r="F36" i="15"/>
  <c r="M27" i="15"/>
  <c r="M6" i="15"/>
  <c r="L47" i="15"/>
  <c r="I6" i="65"/>
  <c r="L48" i="15"/>
  <c r="F33" i="12"/>
  <c r="D21" i="12"/>
  <c r="M8" i="15"/>
  <c r="F9" i="15"/>
  <c r="F15" i="44"/>
  <c r="M8" i="44"/>
  <c r="F10" i="44"/>
  <c r="F38" i="44"/>
  <c r="J36" i="15"/>
  <c r="M23" i="15"/>
  <c r="M30" i="44"/>
  <c r="M24" i="15"/>
  <c r="D21" i="69"/>
  <c r="F37" i="15"/>
  <c r="E3" i="65"/>
  <c r="M28" i="44"/>
  <c r="M10" i="44"/>
  <c r="C18" i="44"/>
  <c r="F40" i="44"/>
  <c r="J7" i="65"/>
  <c r="F8" i="44"/>
  <c r="F16" i="15"/>
  <c r="D21" i="70"/>
  <c r="F38" i="15"/>
  <c r="M24" i="44"/>
  <c r="F46" i="44"/>
  <c r="J6" i="65"/>
  <c r="M28" i="15"/>
  <c r="F42" i="15"/>
  <c r="F8" i="15"/>
  <c r="F11" i="44"/>
  <c r="M31" i="44"/>
  <c r="M9" i="15"/>
  <c r="J15" i="15"/>
  <c r="I3" i="65"/>
  <c r="F45" i="44"/>
  <c r="M26" i="15"/>
  <c r="M25" i="44"/>
  <c r="F39" i="44"/>
  <c r="I7" i="65"/>
  <c r="F43" i="44"/>
  <c r="M26" i="44"/>
  <c r="Q73" i="44" l="1"/>
  <c r="C29" i="44"/>
  <c r="L60" i="44"/>
  <c r="Q63" i="44" s="1"/>
  <c r="L59" i="44"/>
  <c r="Q75" i="44" s="1"/>
  <c r="AZ410" i="3"/>
  <c r="AB13" i="36"/>
  <c r="U13" i="36"/>
  <c r="AB34" i="35"/>
  <c r="U34" i="35"/>
  <c r="S37" i="21"/>
  <c r="AA37" i="21"/>
  <c r="S11" i="21"/>
  <c r="AA11" i="21"/>
  <c r="AC28" i="33"/>
  <c r="AZ51" i="3"/>
  <c r="AZ113" i="3"/>
  <c r="AZ36" i="3"/>
  <c r="O12" i="1"/>
  <c r="P12" i="1"/>
  <c r="AZ64" i="3"/>
  <c r="AZ258" i="3"/>
  <c r="AZ253" i="3"/>
  <c r="AZ267" i="3"/>
  <c r="AZ554" i="3"/>
  <c r="AB43" i="34"/>
  <c r="AZ160" i="3"/>
  <c r="AZ40" i="3"/>
  <c r="AZ454" i="3"/>
  <c r="B20" i="31"/>
  <c r="AA13" i="21"/>
  <c r="S13" i="21"/>
  <c r="F66" i="9"/>
  <c r="P72" i="9" s="1"/>
  <c r="AZ73" i="3"/>
  <c r="BL5" i="3"/>
  <c r="AZ65" i="3"/>
  <c r="AZ92" i="3"/>
  <c r="AZ456" i="3"/>
  <c r="AZ23" i="3"/>
  <c r="J8" i="44"/>
  <c r="F70" i="9"/>
  <c r="W9" i="33"/>
  <c r="AZ180" i="3"/>
  <c r="AZ241" i="3"/>
  <c r="AZ334" i="3"/>
  <c r="AZ225" i="3"/>
  <c r="AZ210" i="3"/>
  <c r="AZ478" i="3"/>
  <c r="AZ124" i="3"/>
  <c r="I1" i="65"/>
  <c r="F72" i="9"/>
  <c r="F29" i="84"/>
  <c r="C10" i="68"/>
  <c r="H13" i="68"/>
  <c r="H15" i="68" s="1"/>
  <c r="H25" i="68" s="1"/>
  <c r="J25" i="68" s="1"/>
  <c r="AZ61" i="3"/>
  <c r="AZ37" i="3"/>
  <c r="AZ228" i="3"/>
  <c r="N62" i="59"/>
  <c r="N61" i="59"/>
  <c r="D3" i="81"/>
  <c r="D3" i="87"/>
  <c r="AZ106" i="3"/>
  <c r="AZ97" i="3"/>
  <c r="AZ88" i="3"/>
  <c r="AZ39" i="3"/>
  <c r="AZ272" i="3"/>
  <c r="AZ283" i="3"/>
  <c r="AZ76" i="3"/>
  <c r="AZ24" i="3"/>
  <c r="AZ175" i="3"/>
  <c r="AZ148" i="3"/>
  <c r="AZ44" i="3"/>
  <c r="AZ408" i="3"/>
  <c r="AZ384" i="3"/>
  <c r="AZ572" i="3"/>
  <c r="Z5" i="59"/>
  <c r="C19" i="71"/>
  <c r="AZ49" i="3"/>
  <c r="AZ35" i="3"/>
  <c r="AZ203" i="3"/>
  <c r="AZ464" i="3"/>
  <c r="AZ449" i="3"/>
  <c r="U33" i="79"/>
  <c r="AB33" i="79"/>
  <c r="W33" i="79"/>
  <c r="AC33" i="79"/>
  <c r="H11" i="79"/>
  <c r="J11" i="79"/>
  <c r="F11" i="79"/>
  <c r="J34" i="81"/>
  <c r="H34" i="81"/>
  <c r="F34" i="81"/>
  <c r="S33" i="79"/>
  <c r="AA33" i="79"/>
  <c r="P28" i="83"/>
  <c r="N28" i="83"/>
  <c r="G20" i="83" s="1"/>
  <c r="M28" i="83"/>
  <c r="O28" i="83"/>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E7" i="59" s="1"/>
  <c r="E6" i="59" s="1"/>
  <c r="E5" i="59" s="1"/>
  <c r="U12" i="59"/>
  <c r="AZ13" i="3"/>
  <c r="AZ56" i="3"/>
  <c r="AZ136" i="3"/>
  <c r="AZ318" i="3"/>
  <c r="AZ451" i="3"/>
  <c r="AC47" i="34"/>
  <c r="W47" i="34"/>
  <c r="AZ47" i="3"/>
  <c r="V20" i="59"/>
  <c r="F19" i="59"/>
  <c r="F18" i="59" s="1"/>
  <c r="F17" i="59" s="1"/>
  <c r="F16" i="59" s="1"/>
  <c r="AZ156" i="3"/>
  <c r="AZ90" i="3"/>
  <c r="AZ246" i="3"/>
  <c r="G101" i="33"/>
  <c r="F32" i="33" s="1"/>
  <c r="J32" i="33"/>
  <c r="C16" i="71"/>
  <c r="B32" i="1"/>
  <c r="E19" i="84" s="1"/>
  <c r="B11" i="59"/>
  <c r="B10" i="59" s="1"/>
  <c r="B9" i="59" s="1"/>
  <c r="B8" i="59" s="1"/>
  <c r="B7" i="59" s="1"/>
  <c r="B6" i="59" s="1"/>
  <c r="B5"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E59" i="40" s="1"/>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D5" i="72"/>
  <c r="C5" i="72"/>
  <c r="D4" i="68"/>
  <c r="D5" i="68" s="1"/>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K7" i="1"/>
  <c r="C4" i="73"/>
  <c r="H7" i="35"/>
  <c r="AB7" i="35" s="1"/>
  <c r="T38" i="35" s="1"/>
  <c r="G38" i="35" s="1"/>
  <c r="C21" i="69"/>
  <c r="C21" i="70"/>
  <c r="C21" i="12"/>
  <c r="C34" i="12"/>
  <c r="D33" i="12" s="1"/>
  <c r="J7" i="35"/>
  <c r="P24" i="72"/>
  <c r="P25" i="72"/>
  <c r="P21" i="72"/>
  <c r="O19" i="72"/>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M28" i="46"/>
  <c r="P28" i="46"/>
  <c r="O28" i="46"/>
  <c r="G20" i="46" s="1"/>
  <c r="N28" i="46"/>
  <c r="F1" i="44"/>
  <c r="Q54" i="44"/>
  <c r="J20" i="44"/>
  <c r="Q76" i="44"/>
  <c r="J15" i="77"/>
  <c r="L47" i="77"/>
  <c r="F40" i="77"/>
  <c r="L48" i="77"/>
  <c r="M9" i="77"/>
  <c r="F36" i="77"/>
  <c r="M28" i="77"/>
  <c r="F26" i="77"/>
  <c r="C15" i="84"/>
  <c r="F7" i="15"/>
  <c r="J36" i="77"/>
  <c r="F42" i="77"/>
  <c r="AE7" i="1"/>
  <c r="M29" i="77"/>
  <c r="F43" i="77"/>
  <c r="F37" i="77"/>
  <c r="F13" i="77"/>
  <c r="M24" i="77"/>
  <c r="F8" i="77"/>
  <c r="M23" i="77"/>
  <c r="M26" i="77"/>
  <c r="F43" i="15"/>
  <c r="M22" i="77"/>
  <c r="F33" i="69"/>
  <c r="M29" i="15"/>
  <c r="F16" i="77"/>
  <c r="E2" i="65"/>
  <c r="M27" i="77"/>
  <c r="F38" i="77"/>
  <c r="M8" i="77"/>
  <c r="F33" i="70"/>
  <c r="M6" i="77"/>
  <c r="F9" i="77"/>
  <c r="F7" i="77"/>
  <c r="Q62" i="44" l="1"/>
  <c r="E347" i="3"/>
  <c r="B40" i="1"/>
  <c r="F26" i="84" s="1"/>
  <c r="C27" i="84" s="1"/>
  <c r="D26" i="84" s="1"/>
  <c r="C32" i="84" s="1"/>
  <c r="D30" i="84" s="1"/>
  <c r="AA32" i="33"/>
  <c r="S32" i="33"/>
  <c r="C19" i="83"/>
  <c r="C19" i="72"/>
  <c r="F4" i="68" s="1"/>
  <c r="F5" i="68" s="1"/>
  <c r="C33" i="33"/>
  <c r="AA34" i="81"/>
  <c r="R49" i="81" s="1"/>
  <c r="S34" i="81"/>
  <c r="AC34" i="81"/>
  <c r="V49" i="81" s="1"/>
  <c r="I49" i="81" s="1"/>
  <c r="W34" i="81"/>
  <c r="AC11" i="79"/>
  <c r="V48" i="79" s="1"/>
  <c r="I48" i="79" s="1"/>
  <c r="W11" i="79"/>
  <c r="AB34" i="81"/>
  <c r="T49" i="81" s="1"/>
  <c r="G49" i="81" s="1"/>
  <c r="U34" i="81"/>
  <c r="AA11" i="79"/>
  <c r="R48" i="79" s="1"/>
  <c r="S11" i="79"/>
  <c r="AB11" i="79"/>
  <c r="T48" i="79" s="1"/>
  <c r="G48" i="79" s="1"/>
  <c r="U11" i="79"/>
  <c r="E41" i="83"/>
  <c r="C41" i="83" s="1"/>
  <c r="C20" i="83"/>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C15" i="69"/>
  <c r="C15" i="70"/>
  <c r="C16" i="77"/>
  <c r="F41" i="15"/>
  <c r="C16" i="15"/>
  <c r="C15" i="12"/>
  <c r="F26" i="12" l="1"/>
  <c r="C27" i="12" s="1"/>
  <c r="D26" i="12" s="1"/>
  <c r="C32" i="12" s="1"/>
  <c r="D30" i="12" s="1"/>
  <c r="F24" i="77"/>
  <c r="C24" i="77" s="1"/>
  <c r="F21" i="43"/>
  <c r="C23" i="43" s="1"/>
  <c r="D21" i="43" s="1"/>
  <c r="F26" i="70"/>
  <c r="F26" i="44"/>
  <c r="C26" i="44" s="1"/>
  <c r="F24" i="15"/>
  <c r="C24" i="15" s="1"/>
  <c r="F26" i="69"/>
  <c r="C27" i="69" s="1"/>
  <c r="D26" i="69" s="1"/>
  <c r="C32" i="69" s="1"/>
  <c r="D30" i="69" s="1"/>
  <c r="M19" i="72"/>
  <c r="M19" i="83"/>
  <c r="G52" i="79"/>
  <c r="H52" i="79" s="1"/>
  <c r="G53" i="79"/>
  <c r="H53" i="79" s="1"/>
  <c r="E48" i="79"/>
  <c r="I53" i="79" s="1"/>
  <c r="J53" i="79" s="1"/>
  <c r="R49" i="79"/>
  <c r="G53" i="81"/>
  <c r="H53" i="81" s="1"/>
  <c r="G54" i="81"/>
  <c r="H54" i="81" s="1"/>
  <c r="I52" i="79"/>
  <c r="J52" i="79" s="1"/>
  <c r="I53" i="81"/>
  <c r="J53" i="81" s="1"/>
  <c r="E49" i="81"/>
  <c r="I54" i="81" s="1"/>
  <c r="J54" i="81" s="1"/>
  <c r="R50" i="81"/>
  <c r="T14" i="83"/>
  <c r="V14" i="83" s="1"/>
  <c r="T12" i="83"/>
  <c r="V12" i="83" s="1"/>
  <c r="T8" i="83"/>
  <c r="V8" i="83" s="1"/>
  <c r="T11" i="83"/>
  <c r="V11" i="83" s="1"/>
  <c r="C36" i="83"/>
  <c r="C34" i="83"/>
  <c r="T15" i="83"/>
  <c r="V15" i="83" s="1"/>
  <c r="T13" i="83"/>
  <c r="V13" i="83" s="1"/>
  <c r="T16" i="83"/>
  <c r="V16" i="83" s="1"/>
  <c r="T9" i="83"/>
  <c r="V9" i="83" s="1"/>
  <c r="T10" i="83"/>
  <c r="V10" i="83" s="1"/>
  <c r="C37" i="83"/>
  <c r="C35" i="83"/>
  <c r="C33" i="83"/>
  <c r="C38" i="83"/>
  <c r="C39" i="83"/>
  <c r="H7" i="21"/>
  <c r="U7" i="21" s="1"/>
  <c r="C38" i="71"/>
  <c r="E38" i="71" s="1"/>
  <c r="E3" i="6"/>
  <c r="AY6" i="3"/>
  <c r="F11" i="59"/>
  <c r="F10" i="59" s="1"/>
  <c r="F9" i="59" s="1"/>
  <c r="F8" i="59" s="1"/>
  <c r="F7" i="59" s="1"/>
  <c r="F6" i="59" s="1"/>
  <c r="F5"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G5" i="68" s="1"/>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Q58" i="44"/>
  <c r="Q67" i="44"/>
  <c r="Q49" i="44"/>
  <c r="Q55" i="44" s="1"/>
  <c r="F7" i="67"/>
  <c r="AE8" i="1"/>
  <c r="C50" i="81" l="1"/>
  <c r="B3" i="81" s="1"/>
  <c r="C49" i="81"/>
  <c r="C8" i="69" s="1"/>
  <c r="C48" i="79"/>
  <c r="C8" i="70" s="1"/>
  <c r="C10" i="70" s="1"/>
  <c r="C49" i="79"/>
  <c r="B3" i="79" s="1"/>
  <c r="E53" i="81"/>
  <c r="F53" i="81" s="1"/>
  <c r="E54" i="81"/>
  <c r="F54" i="81" s="1"/>
  <c r="E52" i="79"/>
  <c r="F52" i="79" s="1"/>
  <c r="E53" i="79"/>
  <c r="F53" i="79" s="1"/>
  <c r="E38" i="83"/>
  <c r="G38" i="83"/>
  <c r="I38" i="83" s="1"/>
  <c r="E35" i="83"/>
  <c r="G35" i="83"/>
  <c r="I35" i="83" s="1"/>
  <c r="E34" i="83"/>
  <c r="G34" i="83"/>
  <c r="I34" i="83" s="1"/>
  <c r="E39" i="83"/>
  <c r="G39" i="83"/>
  <c r="I39" i="83" s="1"/>
  <c r="E33" i="83"/>
  <c r="G33" i="83"/>
  <c r="I33" i="83" s="1"/>
  <c r="E37" i="83"/>
  <c r="G37" i="83"/>
  <c r="I37" i="83" s="1"/>
  <c r="E36" i="83"/>
  <c r="G36" i="83"/>
  <c r="I36" i="83" s="1"/>
  <c r="AC7" i="21"/>
  <c r="V48" i="21" s="1"/>
  <c r="I48" i="21" s="1"/>
  <c r="I52" i="21" s="1"/>
  <c r="J52" i="21" s="1"/>
  <c r="V48" i="33"/>
  <c r="I48" i="33" s="1"/>
  <c r="I52" i="33" s="1"/>
  <c r="J52" i="33"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AB7" i="33"/>
  <c r="T48" i="33" s="1"/>
  <c r="G48" i="33" s="1"/>
  <c r="U7" i="33"/>
  <c r="G52" i="21"/>
  <c r="H52" i="21" s="1"/>
  <c r="J7" i="34"/>
  <c r="E4" i="67"/>
  <c r="D77" i="9"/>
  <c r="N75" i="9" s="1"/>
  <c r="D16" i="12"/>
  <c r="C17" i="77"/>
  <c r="D16" i="70"/>
  <c r="D22" i="70"/>
  <c r="B7" i="67"/>
  <c r="D16" i="84"/>
  <c r="D22" i="12"/>
  <c r="D22" i="84"/>
  <c r="C17" i="15"/>
  <c r="E7" i="67"/>
  <c r="F41" i="77"/>
  <c r="D16" i="69"/>
  <c r="D22" i="69"/>
  <c r="C19" i="44"/>
  <c r="F1" i="83" l="1"/>
  <c r="B2" i="81"/>
  <c r="C22" i="84"/>
  <c r="C20" i="84" s="1"/>
  <c r="C16" i="84"/>
  <c r="D19" i="84"/>
  <c r="C19" i="84" s="1"/>
  <c r="B2" i="79"/>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G3" i="83"/>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S21" i="6"/>
  <c r="H21" i="6"/>
  <c r="S16" i="1"/>
  <c r="T6" i="1" s="1"/>
  <c r="I19" i="6"/>
  <c r="M27" i="6"/>
  <c r="I70" i="39"/>
  <c r="H72" i="39"/>
  <c r="H67" i="40"/>
  <c r="I65" i="40"/>
  <c r="G52" i="33"/>
  <c r="H52" i="33" s="1"/>
  <c r="G53" i="33"/>
  <c r="H53" i="33" s="1"/>
  <c r="R49" i="33"/>
  <c r="E48" i="33"/>
  <c r="R49" i="21"/>
  <c r="E48" i="21"/>
  <c r="W7" i="34"/>
  <c r="AC7" i="34"/>
  <c r="V49" i="34" s="1"/>
  <c r="I49" i="34" s="1"/>
  <c r="E3" i="67"/>
  <c r="B2" i="67"/>
  <c r="M23" i="44"/>
  <c r="F37" i="44"/>
  <c r="C13" i="12"/>
  <c r="C13" i="84"/>
  <c r="R21" i="6" l="1"/>
  <c r="R8" i="1" s="1"/>
  <c r="R20" i="6"/>
  <c r="R7" i="1" s="1"/>
  <c r="C10" i="69"/>
  <c r="C14" i="84"/>
  <c r="C17" i="84"/>
  <c r="H101" i="83"/>
  <c r="H22" i="83"/>
  <c r="AI11" i="83"/>
  <c r="AI13" i="83" s="1"/>
  <c r="AE11" i="83"/>
  <c r="AE13" i="83" s="1"/>
  <c r="AA11" i="83"/>
  <c r="AA13" i="83" s="1"/>
  <c r="AG11" i="83"/>
  <c r="AG13" i="83" s="1"/>
  <c r="AC11" i="83"/>
  <c r="AC13" i="83" s="1"/>
  <c r="Y11" i="83"/>
  <c r="Y13" i="83" s="1"/>
  <c r="J101" i="83"/>
  <c r="G22" i="83"/>
  <c r="Z7" i="83"/>
  <c r="AD11" i="83"/>
  <c r="AD13" i="83" s="1"/>
  <c r="F22" i="83"/>
  <c r="L101" i="83"/>
  <c r="M101" i="83"/>
  <c r="I101" i="83"/>
  <c r="E101" i="83"/>
  <c r="N101" i="83"/>
  <c r="F101" i="83"/>
  <c r="J22" i="83"/>
  <c r="E22" i="83"/>
  <c r="AB11" i="83"/>
  <c r="AB13" i="83" s="1"/>
  <c r="AF11" i="83"/>
  <c r="AF13" i="83" s="1"/>
  <c r="AJ11" i="83"/>
  <c r="AJ13" i="83" s="1"/>
  <c r="D101" i="83"/>
  <c r="B113" i="83"/>
  <c r="K101" i="83"/>
  <c r="G101" i="83"/>
  <c r="C101" i="83"/>
  <c r="Z11" i="83"/>
  <c r="Z13" i="83" s="1"/>
  <c r="AH11" i="83"/>
  <c r="AH13" i="83" s="1"/>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U8" i="1" s="1"/>
  <c r="C18" i="43"/>
  <c r="C19" i="43" s="1"/>
  <c r="C14" i="12"/>
  <c r="C17" i="12"/>
  <c r="I27" i="6"/>
  <c r="H19" i="6"/>
  <c r="S19" i="6"/>
  <c r="S27" i="6" s="1"/>
  <c r="T8" i="1"/>
  <c r="T11" i="1"/>
  <c r="T7" i="1"/>
  <c r="T12" i="1"/>
  <c r="T9" i="1"/>
  <c r="T13" i="1"/>
  <c r="T10" i="1"/>
  <c r="J65" i="40"/>
  <c r="I67" i="40"/>
  <c r="J70" i="39"/>
  <c r="I72" i="39"/>
  <c r="J22" i="44"/>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U7" i="1" s="1"/>
  <c r="B3" i="67"/>
  <c r="B4" i="67"/>
  <c r="F6" i="77"/>
  <c r="C13" i="70"/>
  <c r="M21" i="77"/>
  <c r="C13" i="69"/>
  <c r="M21" i="15"/>
  <c r="F6" i="15"/>
  <c r="C14" i="77"/>
  <c r="C16" i="44"/>
  <c r="C14" i="15"/>
  <c r="J20" i="15" l="1"/>
  <c r="J20" i="77"/>
  <c r="B2" i="21"/>
  <c r="C18" i="84"/>
  <c r="C23" i="84" s="1"/>
  <c r="C107" i="83"/>
  <c r="C103" i="83"/>
  <c r="C106" i="83"/>
  <c r="C104" i="83"/>
  <c r="C102" i="83"/>
  <c r="C109" i="83"/>
  <c r="C105" i="83"/>
  <c r="K107" i="83"/>
  <c r="K106" i="83"/>
  <c r="K104" i="83"/>
  <c r="K102" i="83"/>
  <c r="K109" i="83"/>
  <c r="K105" i="83"/>
  <c r="K103" i="83"/>
  <c r="D109" i="83"/>
  <c r="D107" i="83"/>
  <c r="D103" i="83"/>
  <c r="D105" i="83"/>
  <c r="D106" i="83"/>
  <c r="D102" i="83"/>
  <c r="D104" i="83"/>
  <c r="N109" i="83"/>
  <c r="N107" i="83"/>
  <c r="N106" i="83"/>
  <c r="N104" i="83"/>
  <c r="N102" i="83"/>
  <c r="N105" i="83"/>
  <c r="N103" i="83"/>
  <c r="I105" i="83"/>
  <c r="I109" i="83"/>
  <c r="I106" i="83"/>
  <c r="I104" i="83"/>
  <c r="I102" i="83"/>
  <c r="I107" i="83"/>
  <c r="I103" i="83"/>
  <c r="J107" i="83"/>
  <c r="J103" i="83"/>
  <c r="J109" i="83"/>
  <c r="J106" i="83"/>
  <c r="J104" i="83"/>
  <c r="J102" i="83"/>
  <c r="J105" i="83"/>
  <c r="G105" i="83"/>
  <c r="G106" i="83"/>
  <c r="G104" i="83"/>
  <c r="G102" i="83"/>
  <c r="G107" i="83"/>
  <c r="G103" i="83"/>
  <c r="G109" i="83"/>
  <c r="D118" i="83"/>
  <c r="E118" i="83" s="1"/>
  <c r="F118" i="83" s="1"/>
  <c r="D115" i="83"/>
  <c r="E115" i="83" s="1"/>
  <c r="F115" i="83" s="1"/>
  <c r="G115" i="83" s="1"/>
  <c r="H115" i="83" s="1"/>
  <c r="I116" i="83"/>
  <c r="J116" i="83" s="1"/>
  <c r="K116" i="83" s="1"/>
  <c r="L116" i="83" s="1"/>
  <c r="M116" i="83" s="1"/>
  <c r="B118" i="83"/>
  <c r="C118" i="83" s="1"/>
  <c r="B117" i="83"/>
  <c r="C117" i="83" s="1"/>
  <c r="B116" i="83"/>
  <c r="C116" i="83" s="1"/>
  <c r="B115" i="83"/>
  <c r="C115" i="83" s="1"/>
  <c r="I118" i="83"/>
  <c r="J118" i="83" s="1"/>
  <c r="K118" i="83" s="1"/>
  <c r="L118" i="83" s="1"/>
  <c r="M118" i="83" s="1"/>
  <c r="I117" i="83"/>
  <c r="J117" i="83" s="1"/>
  <c r="K117" i="83" s="1"/>
  <c r="L117" i="83" s="1"/>
  <c r="M117" i="83" s="1"/>
  <c r="D117" i="83"/>
  <c r="E117" i="83" s="1"/>
  <c r="F117" i="83" s="1"/>
  <c r="G117" i="83" s="1"/>
  <c r="H117" i="83" s="1"/>
  <c r="D116" i="83"/>
  <c r="E116" i="83" s="1"/>
  <c r="F116" i="83" s="1"/>
  <c r="G116" i="83" s="1"/>
  <c r="H116" i="83" s="1"/>
  <c r="G118" i="83"/>
  <c r="H118" i="83" s="1"/>
  <c r="I115" i="83"/>
  <c r="J115" i="83" s="1"/>
  <c r="K115" i="83" s="1"/>
  <c r="L115" i="83" s="1"/>
  <c r="M115" i="83" s="1"/>
  <c r="D22" i="83"/>
  <c r="C21" i="83" s="1"/>
  <c r="C29" i="83" s="1"/>
  <c r="F109" i="83"/>
  <c r="F106" i="83"/>
  <c r="F104" i="83"/>
  <c r="F102" i="83"/>
  <c r="F107" i="83"/>
  <c r="F105" i="83"/>
  <c r="F103" i="83"/>
  <c r="E109" i="83"/>
  <c r="E107" i="83"/>
  <c r="E103" i="83"/>
  <c r="E106" i="83"/>
  <c r="E104" i="83"/>
  <c r="E102" i="83"/>
  <c r="E105" i="83"/>
  <c r="M109" i="83"/>
  <c r="M105" i="83"/>
  <c r="M106" i="83"/>
  <c r="M104" i="83"/>
  <c r="M102" i="83"/>
  <c r="M107" i="83"/>
  <c r="M103" i="83"/>
  <c r="L107" i="83"/>
  <c r="L103" i="83"/>
  <c r="L104" i="83"/>
  <c r="L105" i="83"/>
  <c r="L106" i="83"/>
  <c r="L102" i="83"/>
  <c r="L109" i="83"/>
  <c r="H106" i="83"/>
  <c r="H109" i="83"/>
  <c r="H104" i="83"/>
  <c r="H103" i="83"/>
  <c r="H107" i="83"/>
  <c r="H102" i="83"/>
  <c r="H105" i="83"/>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C7" i="59"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S6" i="83" l="1"/>
  <c r="T6" i="83" s="1"/>
  <c r="V6" i="83" s="1"/>
  <c r="S2" i="83"/>
  <c r="T2" i="83" s="1"/>
  <c r="V2" i="83" s="1"/>
  <c r="S7" i="83"/>
  <c r="T7" i="83" s="1"/>
  <c r="V7" i="83" s="1"/>
  <c r="S4" i="83"/>
  <c r="T4" i="83" s="1"/>
  <c r="V4" i="83" s="1"/>
  <c r="S3" i="83"/>
  <c r="T3" i="83" s="1"/>
  <c r="V3" i="83" s="1"/>
  <c r="C23" i="83"/>
  <c r="S5" i="83"/>
  <c r="T5" i="83" s="1"/>
  <c r="V5" i="83" s="1"/>
  <c r="C6" i="59"/>
  <c r="D7" i="59"/>
  <c r="D113" i="83"/>
  <c r="J5" i="68"/>
  <c r="B14" i="68" s="1"/>
  <c r="C30" i="83"/>
  <c r="E30" i="83" s="1"/>
  <c r="C27" i="83" s="1"/>
  <c r="E29" i="83"/>
  <c r="C26" i="83" s="1"/>
  <c r="B2" i="83"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S4" i="72" l="1"/>
  <c r="T4" i="72" s="1"/>
  <c r="V4" i="72" s="1"/>
  <c r="S5" i="72"/>
  <c r="T5" i="72" s="1"/>
  <c r="V5" i="72" s="1"/>
  <c r="C23" i="72"/>
  <c r="S7" i="72"/>
  <c r="T7" i="72" s="1"/>
  <c r="V7" i="72" s="1"/>
  <c r="S3" i="72"/>
  <c r="T3" i="72" s="1"/>
  <c r="V3" i="72" s="1"/>
  <c r="S6" i="72"/>
  <c r="T6" i="72" s="1"/>
  <c r="V6" i="72" s="1"/>
  <c r="S2" i="72"/>
  <c r="T2" i="72" s="1"/>
  <c r="V2" i="72" s="1"/>
  <c r="S2" i="46"/>
  <c r="T2" i="46" s="1"/>
  <c r="V2" i="46" s="1"/>
  <c r="C23" i="46"/>
  <c r="S3" i="46"/>
  <c r="T3" i="46" s="1"/>
  <c r="V3" i="46" s="1"/>
  <c r="S4" i="46"/>
  <c r="T4" i="46" s="1"/>
  <c r="V4" i="46" s="1"/>
  <c r="S5" i="46"/>
  <c r="T5" i="46" s="1"/>
  <c r="V5" i="46" s="1"/>
  <c r="S7" i="46"/>
  <c r="T7" i="46" s="1"/>
  <c r="V7" i="46" s="1"/>
  <c r="S6" i="46"/>
  <c r="T6" i="46" s="1"/>
  <c r="V6" i="46" s="1"/>
  <c r="S7" i="71"/>
  <c r="T7" i="71" s="1"/>
  <c r="V7" i="71" s="1"/>
  <c r="C23" i="71"/>
  <c r="S2" i="71"/>
  <c r="T2" i="71" s="1"/>
  <c r="V2" i="71" s="1"/>
  <c r="S5" i="71"/>
  <c r="T5" i="71" s="1"/>
  <c r="V5" i="71" s="1"/>
  <c r="S3" i="71"/>
  <c r="T3" i="71" s="1"/>
  <c r="V3" i="71" s="1"/>
  <c r="S6" i="71"/>
  <c r="T6" i="71" s="1"/>
  <c r="V6" i="71" s="1"/>
  <c r="S4" i="71"/>
  <c r="T4" i="71" s="1"/>
  <c r="V4" i="71" s="1"/>
  <c r="D6" i="59"/>
  <c r="C5" i="59"/>
  <c r="B4" i="83"/>
  <c r="B3" i="83"/>
  <c r="D4" i="83"/>
  <c r="D113" i="71"/>
  <c r="J22" i="71" s="1"/>
  <c r="C21" i="71" s="1"/>
  <c r="H3" i="68" s="1"/>
  <c r="J3" i="68" s="1"/>
  <c r="K3" i="68" s="1"/>
  <c r="D113" i="72"/>
  <c r="J22" i="72" s="1"/>
  <c r="C21" i="72" s="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B3" i="12"/>
  <c r="D5" i="59" l="1"/>
  <c r="M20" i="83"/>
  <c r="B12" i="68"/>
  <c r="C29" i="71"/>
  <c r="E29" i="71" s="1"/>
  <c r="C26" i="71" s="1"/>
  <c r="B2" i="71" s="1"/>
  <c r="B4" i="71" s="1"/>
  <c r="E29" i="46"/>
  <c r="C26" i="46" s="1"/>
  <c r="B2" i="46" s="1"/>
  <c r="C30" i="46"/>
  <c r="E30" i="46" s="1"/>
  <c r="C27" i="46" s="1"/>
  <c r="H4" i="68"/>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B4" i="12"/>
  <c r="M20" i="72" l="1"/>
  <c r="M20" i="46"/>
  <c r="M20" i="71"/>
  <c r="J4" i="68"/>
  <c r="K4" i="68" s="1"/>
  <c r="H5" i="68"/>
  <c r="B3" i="71"/>
  <c r="D4" i="71"/>
  <c r="C30" i="71"/>
  <c r="E30" i="71" s="1"/>
  <c r="C27" i="71" s="1"/>
  <c r="C30" i="72"/>
  <c r="E30" i="72" s="1"/>
  <c r="C27" i="72" s="1"/>
  <c r="E29" i="72"/>
  <c r="C26" i="72" s="1"/>
  <c r="B2" i="72" s="1"/>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63" i="15"/>
  <c r="C55" i="15"/>
  <c r="C64" i="15" s="1"/>
  <c r="W9" i="39"/>
  <c r="AC9" i="39"/>
  <c r="V49" i="39" s="1"/>
  <c r="I49" i="39" s="1"/>
  <c r="AA9" i="40"/>
  <c r="R44" i="40" s="1"/>
  <c r="S9" i="40"/>
  <c r="F9" i="39"/>
  <c r="H9" i="39"/>
  <c r="U9" i="40"/>
  <c r="AB9" i="40"/>
  <c r="T44" i="40" s="1"/>
  <c r="G44" i="40" s="1"/>
  <c r="G48" i="40" s="1"/>
  <c r="H48" i="40" s="1"/>
  <c r="J9" i="40"/>
  <c r="C19" i="9"/>
  <c r="L51" i="77"/>
  <c r="B13" i="68" l="1"/>
  <c r="L43" i="9"/>
  <c r="B3" i="72"/>
  <c r="D4" i="72"/>
  <c r="B4" i="72"/>
  <c r="C57" i="77"/>
  <c r="C66" i="77" s="1"/>
  <c r="C67" i="77" s="1"/>
  <c r="C70" i="77" s="1"/>
  <c r="J16" i="77"/>
  <c r="J25" i="77" s="1"/>
  <c r="Q68" i="77"/>
  <c r="J39" i="77"/>
  <c r="J40" i="77" s="1"/>
  <c r="Q70" i="77"/>
  <c r="Q69" i="77" s="1"/>
  <c r="C40" i="77"/>
  <c r="C6" i="70" s="1"/>
  <c r="C24" i="70" s="1"/>
  <c r="C44" i="44"/>
  <c r="C45" i="44" s="1"/>
  <c r="B2" i="44" s="1"/>
  <c r="Q70" i="15"/>
  <c r="Q69" i="15" s="1"/>
  <c r="J39" i="15"/>
  <c r="J40" i="15" s="1"/>
  <c r="C57" i="15"/>
  <c r="C66" i="15" s="1"/>
  <c r="C67" i="15" s="1"/>
  <c r="C70" i="15" s="1"/>
  <c r="Q57" i="15"/>
  <c r="Q66" i="15"/>
  <c r="J42" i="15"/>
  <c r="J43" i="15" s="1"/>
  <c r="C43" i="15"/>
  <c r="Q48" i="15"/>
  <c r="Q54" i="15" s="1"/>
  <c r="W9" i="40"/>
  <c r="AC9" i="40"/>
  <c r="V44" i="40" s="1"/>
  <c r="I44" i="40" s="1"/>
  <c r="AB9" i="39"/>
  <c r="T49" i="39" s="1"/>
  <c r="G49" i="39" s="1"/>
  <c r="U9" i="39"/>
  <c r="I53" i="39"/>
  <c r="J53" i="39" s="1"/>
  <c r="AA9" i="39"/>
  <c r="R49" i="39" s="1"/>
  <c r="S9" i="39"/>
  <c r="E44" i="40"/>
  <c r="R45" i="40"/>
  <c r="L51" i="15"/>
  <c r="C21" i="9"/>
  <c r="C20" i="9"/>
  <c r="C29" i="70" l="1"/>
  <c r="B9" i="68"/>
  <c r="I9" i="68" s="1"/>
  <c r="C6" i="69"/>
  <c r="C43" i="77"/>
  <c r="B10" i="68" s="1"/>
  <c r="I10" i="68" s="1"/>
  <c r="Q48" i="77"/>
  <c r="Q54" i="77" s="1"/>
  <c r="Q57" i="77"/>
  <c r="Q63" i="77" s="1"/>
  <c r="Q66" i="77"/>
  <c r="Q76" i="77" s="1"/>
  <c r="J42" i="77"/>
  <c r="J43" i="77" s="1"/>
  <c r="B2" i="77"/>
  <c r="B3" i="77" s="1"/>
  <c r="C46" i="77"/>
  <c r="C35" i="70"/>
  <c r="C33" i="70" s="1"/>
  <c r="C28" i="70"/>
  <c r="C26" i="70" s="1"/>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31" i="70" l="1"/>
  <c r="C30" i="70" s="1"/>
  <c r="C36" i="70" s="1"/>
  <c r="C29" i="69"/>
  <c r="C24" i="69"/>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70"/>
  <c r="C36" i="69" l="1"/>
  <c r="C37" i="69" s="1"/>
  <c r="J10" i="68" s="1"/>
  <c r="D12" i="68"/>
  <c r="J12" i="68" s="1"/>
  <c r="K9" i="68"/>
  <c r="B5" i="39"/>
  <c r="B4" i="39"/>
  <c r="B3" i="39"/>
  <c r="B4" i="70"/>
  <c r="B3" i="70"/>
  <c r="B2" i="69" l="1"/>
  <c r="K10" i="68"/>
  <c r="D13" i="68"/>
  <c r="J13" i="68" s="1"/>
  <c r="B3" i="73"/>
  <c r="B8" i="73" s="1"/>
  <c r="K12" i="68"/>
  <c r="D19" i="9"/>
  <c r="B3" i="69"/>
  <c r="L44" i="9" l="1"/>
  <c r="D22" i="9"/>
  <c r="G19" i="9"/>
  <c r="K13" i="68"/>
  <c r="I13" i="68"/>
  <c r="B4" i="73"/>
  <c r="B5" i="69"/>
  <c r="D20" i="9"/>
  <c r="B4" i="69"/>
  <c r="L13" i="68" l="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 r="C11" i="87" l="1"/>
  <c r="F11" i="87" l="1"/>
  <c r="H11" i="87"/>
  <c r="J11" i="87"/>
  <c r="AB11" i="87" l="1"/>
  <c r="T49" i="87" s="1"/>
  <c r="G49" i="87" s="1"/>
  <c r="U11" i="87"/>
  <c r="W11" i="87"/>
  <c r="AC11" i="87"/>
  <c r="V49" i="87" s="1"/>
  <c r="I49" i="87" s="1"/>
  <c r="AA11" i="87"/>
  <c r="R49" i="87" s="1"/>
  <c r="S11" i="87"/>
  <c r="I53" i="87" l="1"/>
  <c r="J53" i="87" s="1"/>
  <c r="E49" i="87"/>
  <c r="I54" i="87" s="1"/>
  <c r="J54" i="87" s="1"/>
  <c r="R50" i="87"/>
  <c r="G53" i="87"/>
  <c r="H53" i="87" s="1"/>
  <c r="G54" i="87"/>
  <c r="H54" i="87" s="1"/>
  <c r="C49" i="87" l="1"/>
  <c r="C50" i="87"/>
  <c r="E54" i="87"/>
  <c r="F54" i="87" s="1"/>
  <c r="E53" i="87"/>
  <c r="F53" i="87" s="1"/>
  <c r="B3" i="87" l="1"/>
  <c r="B2" i="87" s="1"/>
  <c r="C8" i="84"/>
  <c r="C10" i="84" l="1"/>
  <c r="C6" i="84" s="1"/>
  <c r="C29" i="84" l="1"/>
  <c r="C24" i="84"/>
  <c r="C28" i="84" l="1"/>
  <c r="C26" i="84" s="1"/>
  <c r="C31" i="84" s="1"/>
  <c r="C30" i="84" s="1"/>
  <c r="C35" i="84"/>
  <c r="C33" i="84" s="1"/>
  <c r="C36" i="84" l="1"/>
  <c r="B2" i="84" s="1"/>
  <c r="C37" i="84" l="1"/>
  <c r="B5" i="84"/>
  <c r="B4" i="84"/>
  <c r="B3" i="84"/>
  <c r="D14" i="68" l="1"/>
  <c r="J14" i="68" s="1"/>
  <c r="I14" i="68" l="1"/>
  <c r="I15" i="68" s="1"/>
  <c r="K14" i="68"/>
  <c r="L14" i="68" l="1"/>
  <c r="L15" i="68" s="1"/>
  <c r="I16" i="68"/>
  <c r="I18" i="68" s="1"/>
  <c r="H24" i="68" s="1"/>
  <c r="J24" i="68" s="1"/>
  <c r="J26" i="68" s="1"/>
  <c r="I20" i="68"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<sst xmlns="http://schemas.openxmlformats.org/spreadsheetml/2006/main" count="9699" uniqueCount="3245">
  <si>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</si>
  <si>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</si>
  <si>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</si>
  <si>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</si>
  <si>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</si>
  <si>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</si>
  <si>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</si>
  <si>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</si>
  <si>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</si>
  <si>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</si>
  <si>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</si>
  <si>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</si>
  <si>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</si>
  <si>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</si>
  <si>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</si>
  <si>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</si>
  <si>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</si>
  <si>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</si>
  <si>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</si>
  <si>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</si>
  <si>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</si>
  <si>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</si>
  <si>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</si>
  <si>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</si>
  <si>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</si>
  <si>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</si>
  <si>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</si>
  <si>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</si>
  <si>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</si>
  <si>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</si>
  <si>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</si>
  <si>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</si>
  <si>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</si>
  <si>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</si>
  <si>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</si>
  <si>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</si>
  <si>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</si>
  <si>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</si>
  <si>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</si>
  <si>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</si>
  <si>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</si>
  <si>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</si>
  <si>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</si>
  <si>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</si>
  <si>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</si>
  <si>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</si>
  <si>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</si>
  <si>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</si>
  <si>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</si>
  <si>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</si>
  <si>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</si>
  <si>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</si>
  <si>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</si>
  <si>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</si>
  <si>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</si>
  <si>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</si>
  <si>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</si>
  <si>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</si>
  <si>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</si>
  <si>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</si>
  <si>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</si>
  <si>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</si>
  <si>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</si>
  <si>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</si>
  <si>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</si>
  <si>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</si>
  <si>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</si>
  <si>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</si>
  <si>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</si>
  <si>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</si>
  <si>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</si>
  <si>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</si>
  <si>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</si>
  <si>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</si>
  <si>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</si>
  <si>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</si>
  <si>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</si>
  <si>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</si>
  <si>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</si>
  <si>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</si>
  <si>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</si>
  <si>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</si>
  <si>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</si>
  <si>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</si>
  <si>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</si>
  <si>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</si>
  <si>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</si>
  <si>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</si>
  <si>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</si>
  <si>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</si>
  <si>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</si>
  <si>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</si>
  <si>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</si>
  <si>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</si>
  <si>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</si>
  <si>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</si>
  <si>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</si>
  <si>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</si>
  <si>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</si>
  <si>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</si>
  <si>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</si>
  <si>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</si>
  <si>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</si>
  <si>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</si>
  <si>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</si>
  <si>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</si>
  <si>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</si>
  <si>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</si>
  <si>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</si>
  <si>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</si>
  <si>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</si>
  <si>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</si>
  <si>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</si>
  <si>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</si>
  <si>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</si>
  <si>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</si>
  <si>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</si>
  <si>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</si>
  <si>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</si>
  <si>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</si>
  <si>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</si>
  <si>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</si>
  <si>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</si>
  <si>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</si>
  <si>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</si>
  <si>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</si>
  <si>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</si>
  <si>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</si>
  <si>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</si>
  <si>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</si>
  <si>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</si>
  <si>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</si>
  <si>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</si>
  <si>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</si>
  <si>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</si>
  <si>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</si>
  <si>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</si>
  <si>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</si>
  <si>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</si>
  <si>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</si>
  <si>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</si>
  <si>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</si>
  <si>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</si>
  <si>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</si>
  <si>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</si>
  <si>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</si>
  <si>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</si>
  <si>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</si>
  <si>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</si>
  <si>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</si>
  <si>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</si>
  <si>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</si>
  <si>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</si>
  <si>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</si>
  <si>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</si>
  <si>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</si>
  <si>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</si>
  <si>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</si>
  <si>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</si>
  <si>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</si>
  <si>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</si>
  <si>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</si>
  <si>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</si>
  <si>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</si>
  <si>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</si>
  <si>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</si>
  <si>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</si>
  <si>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</si>
  <si>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</si>
  <si>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</si>
  <si>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</si>
  <si>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</si>
  <si>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</si>
  <si>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</si>
  <si>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</si>
  <si>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</si>
  <si>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</si>
  <si>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</si>
  <si>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</si>
  <si>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</si>
  <si>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</si>
  <si>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</si>
  <si>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</si>
  <si>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</si>
  <si>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</si>
  <si>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</si>
  <si>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</si>
  <si>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</si>
  <si>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</si>
  <si>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</si>
  <si>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</si>
  <si>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</si>
  <si>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</si>
  <si>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</si>
  <si>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</si>
  <si>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</si>
  <si>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</si>
  <si>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</si>
  <si>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</si>
  <si>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</si>
  <si>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</si>
  <si>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</si>
  <si>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</si>
  <si>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</si>
  <si>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</si>
  <si>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</si>
  <si>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</si>
  <si>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</si>
  <si>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</si>
  <si>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</si>
  <si>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</si>
  <si>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</si>
  <si>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</si>
  <si>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</si>
  <si>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</si>
  <si>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</si>
  <si>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</si>
  <si>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</si>
  <si>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</si>
  <si>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</si>
  <si>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</si>
  <si>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</si>
  <si>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</si>
  <si>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</si>
  <si>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</si>
  <si>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</si>
  <si>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</si>
  <si>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</si>
  <si>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</si>
  <si>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</si>
  <si>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</si>
  <si>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</si>
  <si>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</si>
  <si>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</si>
  <si>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</si>
  <si>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</si>
  <si>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</si>
  <si>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</si>
  <si>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</si>
  <si>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</si>
  <si>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</si>
  <si>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</si>
  <si>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</si>
  <si>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</si>
  <si>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</si>
  <si>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</si>
  <si>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</si>
  <si>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</si>
  <si>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</si>
  <si>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</si>
  <si>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</si>
  <si>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</si>
  <si>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</si>
  <si>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</si>
  <si>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</si>
  <si>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</si>
  <si>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</si>
  <si>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</si>
  <si>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</si>
  <si>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</si>
  <si>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</si>
  <si>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</si>
  <si>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</si>
  <si>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</si>
  <si>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</si>
  <si>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</si>
  <si>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</si>
  <si>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</si>
  <si>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</si>
  <si>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</si>
  <si>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</si>
  <si>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</si>
  <si>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</si>
  <si>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</si>
  <si>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</si>
  <si>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</si>
  <si>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</si>
  <si>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</si>
  <si>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</si>
  <si>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</si>
  <si>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</si>
  <si>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</si>
  <si>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</si>
  <si>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</si>
  <si>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</si>
  <si>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</si>
  <si>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</si>
  <si>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</si>
  <si>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</si>
  <si>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</si>
  <si>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</si>
  <si>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</si>
  <si>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</si>
  <si>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</si>
  <si>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</si>
  <si>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</si>
  <si>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</si>
  <si>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</si>
  <si>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</si>
  <si>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</si>
  <si>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</si>
  <si>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</si>
  <si>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</si>
  <si>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</si>
  <si>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</si>
  <si>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</si>
  <si>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</si>
  <si>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</si>
  <si>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</si>
  <si>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</si>
  <si>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</si>
  <si>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</si>
  <si>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</si>
  <si>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</si>
  <si>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</si>
  <si>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</si>
  <si>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</si>
  <si>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</si>
  <si>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</si>
  <si>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</si>
  <si>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</si>
  <si>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</si>
  <si>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</si>
  <si>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</si>
  <si>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</si>
  <si>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</si>
  <si>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</si>
  <si>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</si>
  <si>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</si>
  <si>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</si>
  <si>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</si>
  <si>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</si>
  <si>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</si>
  <si>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</si>
  <si>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</si>
  <si>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</si>
  <si>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</si>
  <si>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</si>
  <si>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</si>
  <si>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</si>
  <si>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</si>
  <si>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</si>
  <si>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</si>
  <si>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</si>
  <si>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</si>
  <si>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</si>
  <si>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</si>
  <si>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</si>
  <si>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</si>
  <si>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</si>
  <si>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</si>
  <si>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</si>
  <si>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</si>
  <si>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</si>
  <si>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</si>
  <si>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</si>
  <si>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</si>
  <si>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</si>
  <si>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</si>
  <si>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</si>
  <si>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</si>
  <si>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</si>
  <si>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</si>
  <si>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</si>
  <si>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</si>
  <si>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</si>
  <si>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</si>
  <si>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</si>
  <si>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</si>
  <si>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</si>
  <si>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</si>
  <si>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</si>
  <si>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</si>
  <si>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</si>
  <si>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</si>
  <si>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</si>
  <si>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</si>
  <si>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</si>
  <si>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</si>
  <si>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</si>
  <si>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</si>
  <si>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</si>
  <si>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</si>
  <si>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</si>
  <si>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</si>
  <si>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</si>
  <si>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</si>
  <si>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</si>
  <si>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</si>
  <si>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</si>
  <si>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</si>
  <si>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</si>
  <si>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</si>
  <si>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</si>
  <si>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</si>
  <si>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</si>
  <si>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</si>
  <si>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</si>
  <si>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</si>
  <si>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</si>
  <si>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</si>
  <si>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</si>
  <si>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</si>
  <si>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</si>
  <si>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</si>
  <si>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</si>
  <si>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</si>
  <si>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</si>
  <si>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</si>
  <si>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</si>
  <si>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</si>
  <si>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</si>
  <si>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</si>
  <si>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</si>
  <si>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</si>
  <si>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</si>
  <si>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</si>
  <si>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</si>
  <si>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</si>
  <si>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</si>
  <si>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</si>
  <si>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</si>
  <si>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</si>
  <si>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</si>
  <si>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</si>
  <si>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</si>
  <si>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</si>
  <si>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</si>
  <si>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</si>
  <si>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</si>
  <si>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</si>
  <si>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</si>
  <si>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</si>
  <si>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</si>
  <si>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</si>
  <si>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</si>
  <si>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</si>
  <si>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</si>
  <si>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</si>
  <si>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</si>
  <si>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</si>
  <si>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</si>
  <si>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</si>
  <si>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</si>
  <si>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</si>
  <si>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</si>
  <si>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</si>
  <si>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</si>
  <si>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</si>
  <si>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</si>
  <si>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</si>
  <si>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</si>
  <si>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</si>
  <si>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</si>
  <si>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</si>
  <si>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</si>
  <si>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</si>
  <si>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</si>
  <si>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</si>
  <si>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</si>
  <si>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</si>
  <si>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</si>
  <si>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</si>
  <si>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</si>
  <si>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</si>
  <si>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</si>
  <si>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</si>
  <si>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</si>
  <si>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</si>
  <si>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</si>
  <si>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</si>
  <si>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</si>
  <si>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</si>
  <si>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</si>
  <si>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</si>
  <si>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</si>
  <si>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</si>
  <si>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</si>
  <si>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</si>
  <si>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</si>
  <si>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</si>
  <si>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</si>
  <si>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</si>
  <si>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</si>
  <si>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</si>
  <si>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</si>
  <si>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</si>
  <si>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</si>
  <si>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</si>
  <si>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</si>
  <si>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</si>
  <si>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</si>
  <si>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</si>
  <si>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</si>
  <si>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</si>
  <si>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</si>
  <si>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</si>
  <si>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</si>
  <si>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</si>
  <si>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</si>
  <si>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</si>
  <si>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</si>
  <si>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</si>
  <si>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</si>
  <si>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</si>
  <si>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</si>
  <si>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</si>
  <si>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</si>
  <si>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</si>
  <si>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</si>
  <si>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</si>
  <si>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</si>
  <si>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</si>
  <si>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</si>
  <si>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</si>
  <si>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</si>
  <si>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</si>
  <si>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</si>
  <si>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</si>
  <si>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</si>
  <si>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</si>
  <si>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</si>
  <si>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</si>
  <si>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</si>
  <si>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</si>
  <si>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</si>
  <si>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</si>
  <si>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</si>
  <si>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</si>
  <si>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</si>
  <si>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</si>
  <si>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</si>
  <si>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</si>
  <si>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</si>
  <si>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</si>
  <si>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</si>
  <si>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</si>
  <si>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</si>
  <si>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</si>
  <si>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</si>
  <si>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</si>
  <si>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</si>
  <si>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</si>
  <si>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</si>
  <si>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</si>
  <si>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</si>
  <si>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</si>
  <si>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</si>
  <si>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</si>
  <si>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</si>
  <si>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</si>
  <si>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</si>
  <si>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</si>
  <si>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</si>
  <si>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</si>
  <si>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</si>
  <si>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</si>
  <si>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</si>
  <si>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</si>
  <si>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</si>
  <si>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</si>
  <si>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</si>
  <si>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</si>
  <si>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</si>
  <si>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</si>
  <si>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</si>
  <si>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</si>
  <si>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</si>
  <si>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</si>
  <si>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</si>
  <si>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</si>
  <si>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</si>
  <si>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</si>
  <si>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</si>
  <si>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</si>
  <si>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</si>
  <si>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</si>
  <si>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</si>
  <si>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</si>
  <si>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</si>
  <si>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</si>
  <si>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</si>
  <si>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</si>
  <si>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</si>
  <si>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</si>
  <si>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</si>
  <si>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</si>
  <si>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</si>
  <si>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</si>
  <si>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</si>
  <si>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</si>
  <si>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</si>
  <si>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</si>
  <si>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</si>
  <si>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</si>
  <si>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</si>
  <si>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</si>
  <si>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</si>
  <si>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</si>
  <si>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</si>
  <si>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</si>
  <si>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</si>
  <si>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</si>
  <si>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</si>
  <si>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</si>
  <si>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</si>
  <si>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</si>
  <si>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</si>
  <si>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</si>
  <si>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</si>
  <si>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</si>
  <si>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</si>
  <si>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</si>
  <si>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</si>
  <si>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</si>
  <si>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</si>
  <si>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</si>
  <si>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</si>
  <si>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</si>
  <si>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</si>
  <si>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</si>
  <si>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</si>
  <si>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</si>
  <si>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</si>
  <si>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</si>
  <si>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</si>
  <si>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</si>
  <si>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</si>
  <si>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</si>
  <si>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</si>
  <si>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</si>
  <si>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</si>
  <si>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</si>
  <si>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</si>
  <si>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</si>
  <si>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</si>
  <si>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</si>
  <si>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</si>
  <si>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</si>
  <si>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</si>
  <si>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</si>
  <si>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</si>
  <si>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</si>
  <si>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</si>
  <si>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</si>
  <si>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</si>
  <si>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</si>
  <si>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</si>
  <si>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</si>
  <si>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</si>
  <si>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</si>
  <si>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</si>
  <si>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</si>
  <si>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</si>
  <si>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</si>
  <si>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</si>
  <si>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</si>
  <si>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</si>
  <si>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</si>
  <si>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</si>
  <si>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</si>
  <si>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</si>
  <si>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</si>
  <si>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</si>
  <si>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</si>
  <si>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</si>
  <si>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</si>
  <si>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</si>
  <si>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</si>
  <si>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</si>
  <si>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</si>
  <si>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</si>
  <si>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</si>
  <si>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</si>
  <si>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</si>
  <si>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</si>
  <si>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</si>
  <si>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</si>
  <si>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</si>
  <si>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</si>
  <si>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</si>
  <si>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</si>
  <si>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</si>
  <si>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</si>
  <si>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</si>
  <si>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</si>
  <si>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</si>
  <si>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</si>
  <si>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</si>
  <si>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</si>
  <si>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</si>
  <si>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</si>
  <si>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</si>
  <si>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</si>
  <si>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</si>
  <si>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</si>
  <si>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</si>
  <si>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</si>
  <si>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</si>
  <si>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</si>
  <si>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</si>
  <si>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</si>
  <si>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</si>
  <si>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</si>
  <si>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</si>
  <si>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</si>
  <si>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</si>
  <si>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</si>
  <si>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</si>
  <si>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</si>
  <si>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</si>
  <si>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</si>
  <si>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</si>
  <si>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</si>
  <si>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</si>
  <si>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</si>
  <si>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</si>
  <si>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</si>
  <si>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</si>
  <si>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</si>
  <si>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</si>
  <si>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</si>
  <si>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</si>
  <si>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</si>
  <si>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</si>
  <si>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</si>
  <si>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</si>
  <si>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</si>
  <si>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</si>
  <si>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</si>
  <si>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</si>
  <si>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</si>
  <si>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</si>
  <si>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</si>
  <si>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</si>
  <si>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</si>
  <si>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</si>
  <si>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</si>
  <si>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</si>
  <si>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</si>
  <si>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</si>
  <si>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</si>
  <si>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</si>
  <si>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</si>
  <si>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</si>
  <si>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</si>
  <si>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</si>
  <si>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</si>
  <si>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</si>
  <si>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</si>
  <si>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</si>
  <si>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</si>
  <si>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</si>
  <si>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</si>
  <si>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</si>
  <si>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</si>
  <si>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</si>
  <si>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</si>
  <si>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</si>
  <si>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</si>
  <si>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</si>
  <si>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</si>
  <si>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</si>
  <si>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</si>
  <si>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</si>
  <si>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</si>
  <si>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</si>
  <si>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</si>
  <si>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</si>
  <si>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</si>
  <si>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</si>
  <si>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</si>
  <si>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</si>
  <si>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</si>
  <si>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</si>
  <si>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</si>
  <si>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</si>
  <si>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</si>
  <si>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</si>
  <si>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</si>
  <si>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</si>
  <si>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</si>
  <si>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</si>
  <si>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</si>
  <si>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</si>
  <si>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</si>
  <si>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</si>
  <si>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</si>
  <si>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</si>
  <si>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</si>
  <si>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</si>
  <si>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</si>
  <si>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</si>
  <si>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</si>
  <si>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</si>
  <si>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</si>
  <si>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</si>
  <si>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</si>
  <si>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</si>
  <si>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</si>
  <si>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</si>
  <si>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</si>
  <si>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</si>
  <si>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</si>
  <si>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</si>
  <si>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</si>
  <si>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</si>
  <si>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</si>
  <si>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</si>
  <si>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</si>
  <si>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</si>
  <si>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</si>
  <si>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</si>
  <si>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</si>
  <si>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</si>
  <si>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</si>
  <si>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</si>
  <si>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</si>
  <si>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</si>
  <si>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</si>
  <si>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</si>
  <si>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</si>
  <si>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</si>
  <si>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</si>
  <si>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</si>
  <si>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</si>
  <si>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</si>
  <si>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</si>
  <si>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</si>
  <si>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</si>
  <si>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</si>
  <si>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</si>
  <si>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</si>
  <si>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</si>
  <si>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</si>
  <si>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</si>
  <si>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</si>
  <si>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</si>
  <si>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</si>
  <si>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</si>
  <si>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</si>
  <si>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</si>
  <si>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</si>
  <si>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</si>
  <si>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</si>
  <si>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</si>
  <si>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</si>
  <si>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</si>
  <si>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</si>
  <si>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</si>
  <si>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</si>
  <si>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</si>
  <si>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</si>
  <si>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</si>
  <si>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</si>
  <si>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</si>
  <si>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</si>
  <si>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</si>
  <si>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</si>
  <si>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</si>
  <si>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</si>
  <si>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</si>
  <si>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</si>
  <si>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</si>
  <si>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</si>
  <si>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</si>
  <si>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</si>
  <si>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</si>
  <si>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</si>
  <si>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</si>
  <si>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</si>
  <si>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</si>
  <si>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</si>
  <si>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</si>
  <si>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</si>
  <si>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</si>
  <si>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</si>
  <si>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</si>
  <si>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</si>
  <si>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</si>
  <si>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</si>
  <si>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</si>
  <si>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</si>
  <si>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</si>
  <si>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</si>
  <si>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</si>
  <si>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</si>
  <si>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</si>
  <si>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</si>
  <si>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</si>
  <si>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</si>
  <si>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</si>
  <si>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</si>
  <si>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</si>
  <si>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</si>
  <si>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</si>
  <si>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</si>
  <si>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</si>
  <si>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</si>
  <si>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</si>
  <si>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</si>
  <si>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</si>
  <si>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</si>
  <si>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</si>
  <si>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</si>
  <si>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</si>
  <si>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</si>
  <si>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</si>
  <si>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</si>
  <si>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</si>
  <si>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</si>
  <si>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</si>
  <si>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</si>
  <si>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</si>
  <si>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</si>
  <si>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</si>
  <si>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</si>
  <si>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</si>
  <si>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</si>
  <si>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</si>
  <si>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</si>
  <si>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</si>
  <si>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</si>
  <si>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</si>
  <si>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</si>
  <si>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</si>
  <si>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</si>
  <si>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</si>
  <si>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</si>
  <si>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</si>
  <si>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</si>
  <si>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</si>
  <si>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</si>
  <si>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</si>
  <si>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</si>
  <si>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</si>
  <si>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</si>
  <si>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</si>
  <si>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</si>
  <si>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</si>
  <si>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</si>
  <si>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</si>
  <si>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</si>
  <si>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</si>
  <si>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</si>
  <si>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</si>
  <si>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</si>
  <si>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</si>
  <si>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</si>
  <si>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</si>
  <si>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</si>
  <si>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</si>
  <si>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</si>
  <si>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</si>
  <si>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</si>
  <si>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</si>
  <si>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</si>
  <si>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</si>
  <si>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</si>
  <si>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</si>
  <si>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</si>
  <si>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</si>
  <si>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</si>
  <si>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</si>
  <si>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</si>
  <si>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</si>
  <si>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</si>
  <si>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</si>
  <si>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</si>
  <si>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</si>
  <si>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</si>
  <si>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</si>
  <si>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</si>
  <si>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</si>
  <si>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</si>
  <si>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</si>
  <si>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</si>
  <si>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</si>
  <si>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</si>
  <si>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</si>
  <si>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</si>
  <si>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</si>
  <si>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</si>
  <si>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</si>
  <si>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</si>
  <si>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</si>
  <si>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</si>
  <si>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</si>
  <si>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</si>
  <si>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</si>
  <si>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</si>
  <si>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</si>
  <si>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</si>
  <si>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</si>
  <si>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</si>
  <si>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</si>
  <si>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</si>
  <si>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</si>
  <si>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</si>
  <si>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</si>
  <si>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</si>
  <si>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</si>
  <si>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</si>
  <si>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</si>
  <si>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</si>
  <si>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</si>
  <si>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</si>
  <si>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</si>
  <si>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</si>
  <si>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</si>
  <si>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</si>
  <si>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</si>
  <si>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</si>
  <si>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</si>
  <si>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</si>
  <si>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</si>
  <si>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</si>
  <si>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</si>
  <si>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</si>
  <si>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</si>
  <si>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</si>
  <si>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</si>
  <si>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</si>
  <si>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</si>
  <si>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</si>
  <si>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</si>
  <si>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</si>
  <si>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</si>
  <si>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</si>
  <si>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</si>
  <si>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</si>
  <si>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</si>
  <si>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</si>
  <si>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</si>
  <si>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</si>
  <si>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</si>
  <si>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</si>
  <si>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</si>
  <si>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</si>
  <si>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</si>
  <si>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</si>
  <si>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</si>
  <si>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</si>
  <si>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</si>
  <si>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</si>
  <si>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</si>
  <si>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</si>
  <si>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</si>
  <si>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</si>
  <si>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</si>
  <si>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</si>
  <si>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</si>
  <si>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</si>
  <si>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</si>
  <si>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</si>
  <si>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</si>
  <si>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</si>
  <si>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</si>
  <si>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</si>
  <si>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</si>
  <si>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</si>
  <si>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</si>
  <si>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</si>
  <si>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</si>
  <si>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</si>
  <si>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</si>
  <si>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</si>
  <si>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</si>
  <si>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</si>
  <si>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</si>
  <si>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</si>
  <si>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</si>
  <si>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</si>
  <si>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</si>
  <si>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</si>
  <si>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</si>
  <si>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</si>
  <si>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</si>
  <si>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</si>
  <si>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</si>
  <si>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</si>
  <si>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</si>
  <si>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</si>
  <si>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</si>
  <si>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</si>
  <si>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</si>
  <si>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</si>
  <si>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</si>
  <si>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</si>
  <si>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</si>
  <si>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</si>
  <si>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</si>
  <si>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</si>
  <si>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</si>
  <si>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</si>
  <si>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</si>
  <si>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</si>
  <si>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</si>
  <si>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</si>
  <si>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</si>
  <si>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</si>
  <si>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</si>
  <si>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</si>
  <si>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</si>
  <si>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</si>
  <si>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</si>
  <si>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</si>
  <si>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</si>
  <si>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</si>
  <si>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</si>
  <si>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</si>
  <si>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</si>
  <si>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</si>
  <si>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</si>
  <si>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</si>
  <si>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</si>
  <si>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</si>
  <si>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</si>
  <si>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</si>
  <si>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</si>
  <si>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</si>
  <si>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</si>
  <si>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</si>
  <si>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</si>
  <si>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</si>
  <si>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</si>
  <si>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</si>
  <si>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</si>
  <si>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</si>
  <si>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</si>
  <si>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</si>
  <si>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</si>
  <si>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</si>
  <si>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</si>
  <si>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</si>
  <si>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</si>
  <si>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</si>
  <si>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</si>
  <si>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</si>
  <si>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</si>
  <si>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</si>
  <si>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</si>
  <si>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</si>
  <si>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</si>
  <si>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</si>
  <si>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</si>
  <si>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</si>
  <si>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</si>
  <si>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</si>
  <si>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</si>
  <si>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</si>
  <si>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</si>
  <si>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</si>
  <si>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</si>
  <si>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</si>
  <si>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</si>
  <si>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</si>
  <si>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</si>
  <si>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</si>
  <si>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</si>
  <si>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</si>
  <si>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</si>
  <si>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</si>
  <si>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</si>
  <si>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</si>
  <si>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</si>
  <si>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</si>
  <si>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</si>
  <si>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</si>
  <si>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</si>
  <si>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</si>
  <si>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</si>
  <si>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</si>
  <si>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</si>
  <si>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</si>
  <si>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</si>
  <si>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</si>
  <si>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</si>
  <si>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</si>
  <si>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</si>
  <si>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</si>
  <si>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</si>
  <si>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</si>
  <si>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</si>
  <si>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</si>
  <si>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</si>
  <si>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</si>
  <si>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</si>
  <si>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</si>
  <si>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</si>
  <si>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</si>
  <si>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</si>
  <si>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</si>
  <si>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</si>
  <si>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</si>
  <si>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</si>
  <si>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</si>
  <si>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</si>
  <si>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</si>
  <si>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</si>
  <si>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</si>
  <si>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</si>
  <si>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</si>
  <si>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</si>
  <si>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</si>
  <si>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</si>
  <si>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</si>
  <si>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</si>
  <si>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</si>
  <si>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</si>
  <si>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</si>
  <si>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</si>
  <si>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</si>
  <si>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</si>
  <si>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</si>
  <si>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</si>
  <si>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</si>
  <si>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</si>
  <si>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</si>
  <si>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</si>
  <si>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</si>
  <si>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</si>
  <si>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</si>
  <si>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</si>
  <si>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</si>
  <si>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</si>
  <si>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</si>
  <si>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</si>
  <si>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</si>
  <si>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</si>
  <si>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</si>
  <si>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</si>
  <si>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</si>
  <si>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</si>
  <si>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</si>
  <si>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</si>
  <si>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</si>
  <si>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</si>
  <si>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</si>
  <si>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</si>
  <si>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</si>
  <si>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</si>
  <si>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</si>
  <si>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</si>
  <si>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</si>
  <si>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</si>
  <si>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</si>
  <si>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</si>
  <si>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</si>
  <si>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</si>
  <si>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</si>
  <si>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</si>
  <si>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</si>
  <si>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</si>
  <si>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</si>
  <si>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</si>
  <si>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</si>
  <si>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</si>
  <si>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</si>
  <si>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</si>
  <si>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</si>
  <si>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</si>
  <si>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</si>
  <si>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</si>
  <si>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</si>
  <si>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</si>
  <si>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</si>
  <si>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</si>
  <si>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</si>
  <si>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</si>
  <si>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</si>
  <si>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</si>
  <si>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</si>
  <si>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</si>
  <si>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</si>
  <si>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</si>
  <si>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</si>
  <si>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</si>
  <si>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</si>
  <si>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</si>
  <si>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</si>
  <si>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</si>
  <si>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</si>
  <si>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</si>
  <si>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</si>
  <si>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</si>
  <si>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</si>
  <si>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</si>
  <si>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</si>
  <si>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</si>
  <si>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</si>
  <si>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</si>
  <si>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</si>
  <si>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</si>
  <si>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</si>
  <si>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</si>
  <si>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</si>
  <si>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</si>
  <si>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</si>
  <si>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</si>
  <si>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</si>
  <si>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</si>
  <si>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</si>
  <si>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</si>
  <si>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</si>
  <si>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</si>
  <si>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</si>
  <si>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</si>
  <si>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</si>
  <si>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</si>
  <si>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</si>
  <si>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</si>
  <si>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</si>
  <si>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</si>
  <si>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</si>
  <si>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</si>
  <si>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</si>
  <si>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</si>
  <si>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</si>
  <si>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</si>
  <si>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</si>
  <si>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</si>
  <si>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</si>
  <si>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</si>
  <si>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</si>
  <si>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</si>
  <si>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</si>
  <si>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</si>
  <si>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</si>
  <si>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</si>
  <si>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</si>
  <si>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</si>
  <si>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</si>
  <si>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</si>
  <si>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</si>
  <si>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</si>
  <si>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</si>
  <si>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</si>
  <si>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</si>
  <si>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</si>
  <si>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</si>
  <si>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</si>
  <si>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</si>
  <si>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</si>
  <si>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</si>
  <si>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</si>
  <si>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</si>
  <si>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</si>
  <si>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</si>
  <si>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</si>
  <si>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</si>
  <si>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</si>
  <si>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</si>
  <si>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</si>
  <si>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</si>
  <si>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</si>
  <si>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</si>
  <si>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</si>
  <si>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</si>
  <si>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</si>
  <si>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</si>
  <si>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</si>
  <si>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</si>
  <si>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</si>
  <si>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</si>
  <si>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</si>
  <si>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</si>
  <si>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</si>
  <si>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</si>
  <si>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</si>
  <si>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</si>
  <si>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</si>
  <si>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</si>
  <si>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</si>
  <si>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</si>
  <si>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</si>
  <si>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</si>
  <si>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</si>
  <si>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</si>
  <si>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</si>
  <si>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</si>
  <si>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</si>
  <si>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</si>
  <si>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</si>
  <si>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</si>
  <si>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</si>
  <si>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</si>
  <si>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</si>
  <si>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</si>
  <si>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</si>
  <si>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</si>
  <si>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</si>
  <si>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</si>
  <si>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</si>
  <si>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</si>
  <si>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</si>
  <si>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</si>
  <si>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</si>
  <si>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</si>
  <si>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</si>
  <si>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</si>
  <si>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</si>
  <si>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</si>
  <si>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</si>
  <si>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</si>
  <si>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</si>
  <si>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</si>
  <si>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</si>
  <si>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</si>
  <si>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</si>
  <si>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</si>
  <si>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</si>
  <si>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</si>
  <si>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</si>
  <si>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</si>
  <si>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</si>
  <si>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</si>
  <si>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</si>
  <si>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</si>
  <si>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</si>
  <si>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</si>
  <si>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</si>
  <si>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</si>
  <si>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</si>
  <si>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</si>
  <si>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</si>
  <si>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</si>
  <si>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</si>
  <si>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</si>
  <si>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</si>
  <si>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</si>
  <si>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</si>
  <si>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</si>
  <si>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</si>
  <si>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</si>
  <si>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</si>
  <si>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</si>
  <si>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</si>
  <si>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</si>
  <si>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</si>
  <si>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</si>
  <si>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</si>
  <si>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</si>
  <si>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</si>
  <si>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</si>
  <si>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</si>
  <si>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</si>
  <si>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</si>
  <si>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</si>
  <si>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</si>
  <si>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</si>
  <si>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</si>
  <si>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</si>
  <si>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</si>
  <si>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</si>
  <si>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</si>
  <si>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</si>
  <si>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</si>
  <si>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</si>
  <si>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</si>
  <si>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</si>
  <si>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</si>
  <si>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</si>
  <si>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</si>
  <si>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</si>
  <si>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</si>
  <si>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</si>
  <si>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</si>
  <si>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</si>
  <si>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</si>
  <si>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</si>
  <si>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</si>
  <si>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</si>
  <si>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</si>
  <si>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</si>
  <si>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</si>
  <si>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</si>
  <si>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</si>
  <si>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</si>
  <si>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</si>
  <si>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</si>
  <si>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</si>
  <si>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</si>
  <si>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</si>
  <si>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</si>
  <si>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</si>
  <si>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</si>
  <si>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</si>
  <si>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</si>
  <si>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</si>
  <si>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</si>
  <si>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</si>
  <si>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</si>
  <si>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</si>
  <si>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</si>
  <si>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</si>
  <si>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</si>
  <si>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</si>
  <si>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</si>
  <si>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</si>
  <si>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</si>
  <si>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</si>
  <si>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</si>
  <si>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</si>
  <si>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</si>
  <si>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</si>
  <si>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</si>
  <si>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</si>
  <si>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</si>
  <si>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</si>
  <si>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</si>
  <si>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</si>
  <si>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</si>
  <si>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</si>
  <si>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</si>
  <si>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</si>
  <si>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</si>
  <si>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</si>
  <si>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</si>
  <si>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</si>
  <si>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</si>
  <si>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</si>
  <si>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</si>
  <si>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</si>
  <si>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</si>
  <si>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</si>
  <si>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</si>
  <si>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</si>
  <si>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</si>
  <si>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</si>
  <si>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</si>
  <si>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</si>
  <si>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</si>
  <si>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</si>
  <si>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</si>
  <si>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</si>
  <si>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</si>
  <si>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</si>
  <si>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</si>
  <si>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</si>
  <si>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</si>
  <si>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</si>
  <si>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</si>
  <si>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</si>
  <si>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</si>
  <si>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</si>
  <si>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</si>
  <si>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</si>
  <si>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</si>
  <si>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</si>
  <si>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</si>
  <si>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</si>
  <si>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</si>
  <si>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</si>
  <si>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</si>
  <si>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</si>
  <si>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</si>
  <si>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</si>
  <si>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</si>
  <si>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</si>
  <si>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</si>
  <si>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</si>
  <si>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</si>
  <si>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</si>
  <si>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</si>
  <si>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</si>
  <si>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</si>
  <si>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</si>
  <si>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</si>
  <si>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</si>
  <si>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</si>
  <si>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</si>
  <si>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</si>
  <si>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</si>
  <si>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</si>
  <si>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</si>
  <si>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</si>
  <si>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</si>
  <si>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</si>
  <si>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</si>
  <si>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</si>
  <si>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</si>
  <si>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</si>
  <si>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</si>
  <si>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</si>
  <si>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</si>
  <si>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</si>
  <si>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</si>
  <si>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</si>
  <si>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</si>
  <si>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</si>
  <si>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</si>
  <si>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</si>
  <si>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</si>
  <si>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</si>
  <si>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</si>
  <si>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</si>
  <si>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</si>
  <si>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</si>
  <si>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</si>
  <si>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</si>
  <si>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</si>
  <si>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</si>
  <si>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</si>
  <si>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</si>
  <si>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</si>
  <si>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</si>
  <si>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</si>
  <si>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</si>
  <si>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</si>
  <si>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</si>
  <si>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</si>
  <si>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</si>
  <si>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</si>
  <si>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</si>
  <si>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</si>
  <si>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</si>
  <si>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</si>
  <si>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</si>
  <si>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</si>
  <si>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</si>
  <si>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</si>
  <si>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</si>
  <si>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</si>
  <si>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</si>
  <si>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</si>
  <si>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</si>
  <si>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</si>
  <si>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</si>
  <si>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</si>
  <si>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</si>
  <si>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</si>
  <si>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</si>
  <si>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</si>
  <si>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</si>
  <si>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</si>
  <si>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</si>
  <si>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</si>
  <si>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</si>
  <si>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</si>
  <si>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</si>
  <si>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</si>
  <si>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</si>
  <si>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</si>
  <si>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</si>
  <si>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</si>
  <si>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</si>
  <si>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</si>
  <si>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</si>
  <si>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</si>
  <si>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</si>
  <si>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</si>
  <si>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</si>
  <si>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</si>
  <si>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</si>
  <si>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</si>
  <si>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</si>
  <si>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</si>
  <si>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</si>
  <si>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</si>
  <si>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</si>
  <si>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</si>
  <si>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</si>
  <si>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</si>
  <si>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</si>
  <si>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</si>
  <si>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</si>
  <si>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</si>
  <si>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</si>
  <si>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</si>
  <si>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</si>
  <si>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</si>
  <si>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</si>
  <si>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</si>
  <si>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</si>
  <si>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</si>
  <si>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</si>
  <si>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</si>
  <si>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</si>
  <si>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</si>
  <si>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</si>
  <si>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</si>
  <si>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</si>
  <si>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</si>
  <si>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</si>
  <si>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</si>
  <si>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</si>
  <si>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</si>
  <si>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</si>
  <si>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</si>
  <si>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</si>
  <si>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</si>
  <si>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</si>
  <si>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</si>
  <si>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</si>
  <si>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</si>
  <si>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</si>
  <si>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</si>
  <si>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</si>
  <si>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</si>
  <si>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</si>
  <si>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</si>
  <si>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</si>
  <si>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</si>
  <si>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</si>
  <si>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</si>
  <si>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</si>
  <si>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</si>
  <si>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</si>
  <si>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</si>
  <si>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</si>
  <si>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</si>
  <si>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</si>
  <si>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</si>
  <si>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</si>
  <si>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</si>
  <si>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</si>
  <si>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</si>
  <si>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</si>
  <si>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</si>
  <si>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</si>
  <si>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</si>
  <si>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</si>
  <si>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</si>
  <si>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</si>
  <si>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</si>
  <si>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</si>
  <si>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</si>
  <si>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</si>
  <si>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</si>
  <si>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</si>
  <si>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</si>
  <si>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</si>
  <si>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</si>
  <si>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</si>
  <si>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</si>
  <si>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</si>
  <si>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</si>
  <si>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</si>
  <si>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</si>
  <si>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</si>
  <si>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</si>
  <si>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</si>
  <si>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</si>
  <si>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</si>
  <si>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</si>
  <si>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</si>
  <si>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</si>
  <si>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</si>
  <si>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</si>
  <si>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</si>
  <si>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</si>
  <si>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</si>
  <si>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</si>
  <si>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</si>
  <si>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</si>
  <si>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</si>
  <si>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</si>
  <si>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</si>
  <si>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</si>
  <si>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</si>
  <si>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</si>
  <si>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</si>
  <si>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</si>
  <si>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</si>
  <si>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</si>
  <si>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</si>
  <si>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</si>
  <si>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</si>
  <si>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</si>
  <si>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</si>
  <si>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</si>
  <si>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</si>
  <si>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</si>
  <si>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</si>
  <si>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</si>
  <si>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</si>
  <si>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</si>
  <si>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</si>
  <si>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</si>
  <si>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</si>
  <si>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</si>
  <si>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</si>
  <si>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</si>
  <si>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</si>
  <si>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</si>
  <si>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</si>
  <si>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</si>
  <si>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</si>
  <si>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</si>
  <si>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</si>
  <si>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</si>
  <si>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</si>
  <si>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</si>
  <si>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</si>
  <si>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</si>
  <si>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</si>
  <si>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</si>
  <si>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</si>
  <si>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</si>
  <si>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</si>
  <si>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</si>
  <si>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</si>
  <si>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</si>
  <si>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</si>
  <si>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</si>
  <si>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</si>
  <si>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</si>
  <si>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</si>
  <si>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</si>
  <si>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</si>
  <si>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</si>
  <si>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</si>
  <si>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</si>
  <si>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</si>
  <si>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</si>
  <si>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</si>
  <si>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</si>
  <si>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</si>
  <si>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</si>
  <si>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</si>
  <si>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</si>
  <si>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</si>
  <si>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</si>
  <si>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</si>
  <si>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</si>
  <si>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</si>
  <si>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</si>
  <si>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</si>
  <si>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</si>
  <si>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</si>
  <si>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</si>
  <si>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</si>
  <si>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</si>
  <si>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</si>
  <si>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</si>
  <si>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</si>
  <si>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</si>
  <si>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</si>
  <si>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</si>
  <si>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</si>
  <si>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</si>
  <si>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</si>
  <si>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</si>
  <si>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</si>
  <si>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</si>
  <si>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</si>
  <si>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</si>
  <si>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</si>
  <si>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</si>
  <si>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</si>
  <si>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</si>
  <si>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</si>
  <si>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</si>
  <si>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</si>
  <si>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</si>
  <si>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</si>
  <si>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</si>
  <si>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</si>
  <si>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</si>
  <si>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</si>
  <si>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</si>
  <si>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</si>
  <si>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</si>
  <si>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</si>
  <si>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</si>
  <si>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</si>
  <si>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</si>
  <si>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</si>
  <si>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</si>
  <si>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</si>
  <si>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</si>
  <si>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</si>
  <si>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</si>
  <si>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</si>
  <si>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</si>
  <si>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</si>
  <si>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</si>
  <si>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</si>
  <si>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</si>
  <si>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</si>
  <si>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</si>
  <si>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</si>
  <si>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</si>
  <si>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</si>
  <si>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</si>
  <si>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</si>
  <si>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</si>
  <si>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</si>
  <si>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</si>
  <si>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</si>
  <si>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</si>
  <si>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</si>
  <si>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</si>
  <si>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</si>
  <si>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</si>
  <si>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</si>
  <si>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</si>
  <si>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</si>
  <si>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</si>
  <si>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</si>
  <si>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</si>
  <si>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</si>
  <si>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</si>
  <si>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</si>
  <si>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</si>
  <si>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</si>
  <si>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</si>
  <si>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</si>
  <si>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</si>
  <si>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</si>
  <si>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</si>
  <si>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</si>
  <si>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</si>
  <si>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</si>
  <si>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</si>
  <si>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</si>
  <si>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</si>
  <si>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</si>
  <si>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</si>
  <si>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</si>
  <si>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</si>
  <si>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</si>
  <si>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</si>
  <si>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</si>
  <si>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</si>
  <si>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</si>
  <si>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</si>
  <si>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</si>
  <si>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</si>
  <si>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</si>
  <si>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</si>
  <si>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</si>
  <si>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</si>
  <si>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</si>
  <si>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</si>
  <si>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</si>
  <si>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</si>
  <si>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</si>
  <si>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</si>
  <si>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</si>
  <si>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</si>
  <si>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</si>
  <si>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</si>
  <si>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</si>
  <si>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</si>
  <si>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</si>
  <si>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</si>
  <si>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</si>
  <si>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</si>
  <si>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</si>
  <si>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</si>
  <si>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</si>
  <si>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</si>
  <si>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</si>
  <si>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</si>
  <si>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</si>
  <si>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</si>
  <si>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</si>
  <si>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</si>
  <si>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</si>
  <si>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</si>
  <si>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</si>
  <si>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</si>
  <si>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</si>
  <si>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</si>
  <si>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</si>
  <si>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</si>
  <si>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</si>
  <si>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</si>
  <si>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</si>
  <si>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</si>
  <si>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</si>
  <si>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</si>
  <si>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</si>
  <si>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</si>
  <si>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</si>
  <si>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</si>
  <si>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</si>
  <si>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</si>
  <si>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</si>
  <si>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</si>
  <si>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</si>
  <si>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</si>
  <si>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</si>
  <si>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</si>
  <si>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</si>
  <si>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</si>
  <si>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</si>
  <si>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</si>
  <si>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</si>
  <si>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</si>
  <si>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</si>
  <si>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</si>
  <si>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</si>
  <si>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</si>
  <si>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</si>
  <si>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</si>
  <si>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</si>
  <si>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</si>
  <si>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</si>
  <si>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</si>
  <si>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</si>
  <si>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</si>
  <si>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</si>
  <si>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</si>
  <si>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</si>
  <si>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</si>
  <si>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</si>
  <si>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</si>
  <si>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</si>
  <si>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</si>
  <si>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</si>
  <si>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</si>
  <si>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</si>
  <si>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</si>
  <si>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</si>
  <si>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</si>
  <si>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</si>
  <si>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</si>
  <si>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</si>
  <si>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</si>
  <si>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</si>
  <si>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</si>
  <si>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</si>
  <si>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</si>
  <si>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</si>
  <si>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</si>
  <si>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</si>
  <si>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</si>
  <si>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</si>
  <si>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</si>
  <si>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</si>
  <si>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</si>
  <si>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</si>
  <si>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</si>
  <si>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</si>
  <si>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</si>
  <si>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</si>
  <si>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</si>
  <si>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</si>
  <si>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</si>
  <si>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</si>
  <si>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</si>
  <si>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</si>
  <si>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</si>
  <si>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</si>
  <si>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</si>
  <si>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</si>
  <si>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</si>
  <si>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</si>
  <si>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</si>
  <si>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</si>
  <si>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</si>
  <si>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</si>
  <si>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</si>
  <si>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</si>
  <si>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</si>
  <si>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</si>
  <si>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</si>
  <si>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</si>
  <si>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</si>
  <si>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</si>
  <si>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</si>
  <si>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</si>
  <si>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</si>
  <si>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</si>
  <si>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</si>
  <si>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</si>
  <si>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</si>
  <si>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</si>
  <si>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</si>
  <si>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</si>
  <si>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</si>
  <si>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</si>
  <si>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</si>
  <si>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</si>
  <si>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</si>
  <si>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</si>
  <si>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</si>
  <si>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</si>
  <si>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</si>
  <si>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</si>
  <si>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</si>
  <si>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</si>
  <si>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</si>
  <si>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</si>
  <si>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</si>
  <si>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</si>
  <si>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</si>
  <si>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</si>
  <si>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</si>
  <si>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</si>
  <si>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</si>
  <si>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</si>
  <si>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</si>
  <si>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</si>
  <si>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</si>
  <si>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</si>
  <si>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</si>
  <si>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</si>
  <si>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</si>
  <si>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</si>
  <si>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</si>
  <si>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</si>
  <si>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</si>
  <si>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</si>
  <si>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</si>
  <si>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</si>
  <si>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</si>
  <si>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</si>
  <si>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</si>
  <si>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</si>
  <si>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</si>
  <si>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</si>
  <si>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</si>
  <si>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</si>
  <si>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</si>
  <si>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</si>
  <si>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</si>
  <si>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</si>
  <si>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</si>
  <si>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</si>
  <si>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</si>
  <si>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</si>
  <si>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</si>
  <si>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</si>
  <si>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</si>
  <si>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</si>
  <si>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</si>
  <si>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</si>
  <si>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</si>
  <si>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</si>
  <si>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</si>
  <si>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</si>
  <si>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</si>
  <si>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</si>
  <si>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</si>
  <si>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</si>
  <si>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</si>
  <si>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</si>
  <si>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</si>
  <si>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</si>
  <si>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</si>
  <si>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</si>
  <si>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</si>
  <si>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</si>
  <si>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</si>
  <si>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</si>
  <si>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</si>
  <si>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</si>
  <si>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</si>
  <si>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</si>
  <si>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</si>
  <si>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</si>
  <si>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</si>
  <si>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</si>
  <si>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</si>
  <si>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</si>
  <si>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</si>
  <si>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</si>
  <si>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</si>
  <si>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</si>
  <si>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</si>
  <si>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</si>
  <si>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</si>
  <si>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</si>
  <si>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</si>
  <si>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</si>
  <si>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</si>
  <si>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</si>
  <si>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</si>
  <si>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</si>
  <si>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</si>
  <si>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</si>
  <si>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</si>
  <si>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</si>
  <si>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</si>
  <si>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</si>
  <si>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</si>
  <si>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</si>
  <si>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</si>
  <si>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</si>
  <si>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</si>
  <si>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</si>
  <si>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</si>
  <si>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</si>
  <si>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</si>
  <si>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</si>
  <si>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</si>
  <si>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</si>
  <si>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</si>
  <si>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</si>
  <si>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</si>
  <si>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</si>
  <si>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</si>
  <si>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</si>
  <si>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</si>
  <si>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</si>
  <si>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</si>
  <si>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</si>
  <si>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</si>
  <si>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</si>
  <si>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</si>
  <si>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</si>
  <si>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</si>
  <si>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</si>
  <si>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</si>
  <si>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</si>
  <si>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</si>
  <si>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</si>
  <si>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</si>
  <si>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</si>
  <si>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</si>
  <si>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</si>
  <si>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</si>
  <si>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</si>
  <si>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</si>
  <si>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</si>
  <si>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</si>
  <si>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</si>
  <si>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</si>
  <si>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</si>
  <si>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</si>
  <si>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</si>
  <si>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</si>
  <si>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</si>
  <si>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</si>
  <si>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</si>
  <si>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</si>
  <si>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</si>
  <si>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</si>
  <si>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</si>
  <si>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</si>
  <si>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</si>
  <si>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</si>
  <si>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</si>
  <si>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</si>
  <si>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</si>
  <si>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</si>
  <si>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</si>
  <si>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</si>
  <si>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</si>
  <si>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</si>
  <si>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</si>
  <si>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</si>
  <si>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</si>
  <si>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</si>
  <si>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</si>
  <si>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</si>
  <si>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</si>
  <si>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</si>
  <si>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</si>
  <si>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</si>
  <si>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</si>
  <si>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</si>
  <si>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</si>
  <si>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</si>
  <si>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</si>
  <si>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</si>
  <si>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</si>
  <si>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</si>
  <si>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</si>
  <si>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</si>
  <si>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</si>
  <si>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</si>
  <si>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</si>
  <si>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</si>
  <si>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</si>
  <si>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</si>
  <si>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</si>
  <si>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</si>
  <si>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</si>
  <si>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</si>
  <si>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</si>
  <si>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</si>
  <si>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</si>
  <si>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</si>
  <si>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</si>
  <si>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</si>
  <si>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</si>
  <si>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</si>
  <si>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</si>
  <si>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</si>
  <si>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</si>
  <si>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</si>
  <si>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</si>
  <si>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</si>
  <si>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</si>
  <si>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</si>
  <si>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</si>
  <si>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</si>
  <si>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</si>
  <si>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</si>
  <si>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</si>
  <si>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</si>
  <si>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</si>
  <si>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</si>
  <si>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</si>
  <si>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</si>
  <si>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</si>
  <si>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</si>
  <si>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</si>
  <si>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</si>
  <si>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</si>
  <si>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</si>
  <si>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</si>
  <si>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</si>
  <si>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</si>
  <si>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</si>
  <si>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</si>
  <si>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</si>
  <si>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</si>
  <si>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</si>
  <si>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</si>
  <si>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</si>
  <si>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</si>
  <si>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</si>
  <si>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</si>
  <si>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</si>
  <si>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</si>
  <si>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</si>
  <si>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</si>
  <si>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</si>
  <si>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</si>
  <si>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</si>
  <si>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</si>
  <si>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</si>
  <si>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</si>
  <si>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</si>
  <si>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</si>
  <si>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</si>
  <si>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</si>
  <si>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</si>
  <si>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</si>
  <si>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</si>
  <si>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</si>
  <si>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</si>
  <si>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</si>
  <si>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</si>
  <si>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</si>
  <si>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</si>
  <si>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</si>
  <si>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</si>
  <si>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</si>
  <si>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</si>
  <si>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</si>
  <si>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</si>
  <si>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</si>
  <si>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</si>
  <si>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</si>
  <si>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</si>
  <si>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</si>
  <si>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</si>
  <si>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</si>
  <si>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</si>
  <si>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</si>
  <si>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</si>
  <si>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</si>
  <si>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</si>
  <si>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</si>
  <si>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</si>
  <si>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</si>
  <si>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</si>
  <si>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</si>
  <si>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</si>
  <si>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</si>
  <si>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</si>
  <si>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</si>
  <si>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</si>
  <si>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</si>
  <si>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</si>
  <si>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</si>
  <si>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</si>
  <si>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</si>
  <si>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</si>
  <si>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</si>
  <si>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</si>
  <si>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</si>
  <si>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</si>
  <si>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</si>
  <si>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</si>
  <si>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</si>
  <si>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</si>
  <si>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</si>
  <si>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</si>
  <si>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</si>
  <si>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</si>
  <si>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</si>
  <si>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</si>
  <si>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</si>
  <si>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</si>
  <si>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</si>
  <si>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</si>
  <si>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</si>
  <si>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</si>
  <si>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</si>
  <si>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</si>
  <si>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</si>
  <si>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</si>
  <si>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</si>
  <si>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</si>
  <si>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</si>
  <si>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</si>
  <si>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</si>
  <si>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</si>
  <si>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</si>
  <si>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</si>
  <si>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</si>
  <si>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</si>
  <si>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</si>
  <si>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</si>
  <si>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</si>
  <si>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</si>
  <si>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</si>
  <si>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</si>
  <si>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</si>
  <si>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</si>
  <si>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</si>
  <si>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</si>
  <si>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</si>
  <si>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</si>
  <si>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</si>
  <si>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</si>
  <si>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</si>
  <si>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</si>
  <si>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</si>
  <si>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</si>
  <si>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</si>
  <si>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</si>
  <si>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</si>
  <si>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</si>
  <si>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</si>
  <si>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</si>
  <si>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</si>
  <si>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</si>
  <si>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</si>
  <si>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</si>
  <si>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</si>
  <si>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</si>
  <si>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</si>
  <si>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</si>
  <si>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</si>
  <si>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</si>
  <si>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</si>
  <si>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</si>
  <si>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</si>
  <si>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</si>
  <si>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</si>
  <si>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</si>
  <si>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</si>
  <si>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</si>
  <si>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</si>
  <si>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</si>
  <si>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</si>
  <si>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</si>
  <si>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</si>
  <si>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</si>
  <si>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</si>
  <si>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</si>
  <si>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</si>
  <si>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</si>
  <si>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</si>
  <si>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</si>
  <si>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</si>
  <si>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</si>
  <si>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</si>
  <si>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</si>
  <si>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</si>
  <si>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</si>
  <si>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</si>
  <si>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</si>
  <si>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</si>
  <si>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</si>
  <si>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</si>
  <si>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</si>
  <si>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</si>
  <si>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</si>
  <si>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</si>
  <si>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</si>
  <si>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</si>
  <si>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</si>
  <si>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</si>
  <si>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</si>
  <si>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</si>
  <si>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</si>
  <si>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</si>
  <si>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</si>
  <si>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</si>
  <si>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</si>
  <si>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</si>
  <si>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</si>
  <si>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</si>
  <si>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</si>
  <si>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</si>
  <si>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</si>
  <si>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</si>
  <si>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</si>
  <si>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</si>
  <si>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</si>
  <si>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</si>
  <si>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</si>
  <si>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</si>
  <si>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</si>
  <si>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</si>
  <si>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</si>
  <si>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</si>
  <si>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</si>
  <si>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</si>
  <si>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</si>
  <si>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</si>
  <si>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</si>
  <si>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</si>
  <si>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</si>
  <si>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</si>
  <si>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</si>
  <si>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</si>
  <si>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</si>
  <si>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</si>
  <si>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</si>
  <si>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</si>
  <si>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</si>
  <si>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</si>
  <si>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</si>
  <si>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</si>
  <si>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</si>
  <si>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</si>
  <si>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</si>
  <si>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</si>
  <si>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</si>
  <si>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</si>
  <si>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</si>
  <si>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</si>
  <si>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</si>
  <si>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</si>
  <si>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</si>
  <si>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</si>
  <si>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</si>
  <si>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</si>
  <si>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</si>
  <si>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</si>
  <si>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</si>
  <si>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</si>
  <si>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</si>
  <si>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</si>
  <si>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</si>
  <si>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</si>
  <si>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</si>
  <si>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</si>
  <si>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</si>
  <si>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</si>
  <si>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</si>
  <si>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</si>
  <si>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</si>
  <si>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</si>
  <si>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</si>
  <si>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</si>
  <si>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</si>
  <si>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</si>
  <si>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</si>
  <si>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</si>
  <si>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</si>
  <si>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</si>
  <si>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</si>
  <si>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</si>
  <si>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</si>
  <si>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</si>
  <si>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</si>
  <si>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</si>
  <si>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</si>
  <si>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</si>
  <si>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</si>
  <si>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</si>
  <si>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</si>
  <si>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</si>
  <si>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</si>
  <si>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</si>
  <si>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</si>
  <si>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</si>
  <si>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</si>
  <si>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</si>
  <si>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</si>
  <si>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</si>
  <si>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</si>
  <si>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</si>
  <si>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</si>
  <si>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</si>
  <si>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</si>
  <si>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</si>
  <si>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</si>
  <si>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</si>
  <si>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</si>
  <si>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</si>
  <si>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</si>
  <si>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</si>
  <si>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</si>
  <si>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</si>
  <si>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</si>
  <si>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</si>
  <si>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</si>
  <si>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</si>
  <si>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</si>
  <si>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</si>
  <si>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</si>
  <si>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</si>
  <si>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</si>
  <si>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</si>
  <si>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</si>
  <si>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</si>
  <si>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</si>
  <si>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</si>
  <si>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</si>
  <si>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</si>
  <si>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</si>
  <si>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</si>
  <si>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</si>
  <si>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</si>
  <si>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</si>
  <si>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</si>
  <si>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</si>
  <si>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</si>
  <si>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</si>
  <si>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</si>
  <si>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</si>
  <si>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</si>
  <si>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</si>
  <si>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</si>
  <si>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</si>
  <si>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</si>
  <si>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</si>
  <si>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</si>
  <si>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</si>
  <si>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</si>
  <si>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</si>
  <si>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</si>
  <si>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</si>
  <si>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</si>
  <si>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</si>
  <si>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</si>
  <si>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</si>
  <si>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</si>
  <si>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</si>
  <si>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</si>
  <si>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</si>
  <si>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</si>
  <si>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</si>
  <si>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</si>
  <si>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</si>
  <si>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</si>
  <si>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</si>
  <si>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</si>
  <si>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</si>
  <si>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</si>
  <si>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</si>
  <si>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</si>
  <si>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</si>
  <si>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</si>
  <si>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</si>
  <si>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</si>
  <si>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</si>
  <si>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</si>
  <si>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</si>
  <si>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</si>
  <si>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</si>
  <si>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</si>
  <si>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</si>
  <si>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</si>
  <si>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</si>
  <si>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</si>
  <si>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</si>
  <si>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</si>
  <si>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</si>
  <si>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</si>
  <si>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</si>
  <si>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</si>
  <si>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</si>
  <si>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</si>
  <si>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</si>
  <si>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</si>
  <si>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</si>
  <si>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</si>
  <si>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</si>
  <si>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</si>
  <si>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</si>
  <si>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</si>
  <si>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</si>
  <si>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</si>
  <si>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</si>
  <si>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</si>
  <si>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</si>
  <si>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</si>
  <si>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</si>
  <si>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</si>
  <si>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</si>
  <si>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</si>
  <si>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</si>
  <si>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</si>
  <si>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</si>
  <si>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</si>
  <si>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</si>
  <si>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</si>
  <si>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</si>
  <si>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</si>
  <si>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</si>
  <si>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</si>
  <si>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</si>
  <si>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</si>
  <si>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</si>
  <si>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</si>
  <si>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</si>
  <si>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</si>
  <si>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</si>
  <si>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</si>
  <si>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</si>
  <si>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</si>
  <si>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</si>
  <si>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</si>
  <si>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</si>
  <si>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</si>
  <si>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</si>
  <si>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</si>
  <si>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</si>
  <si>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</si>
  <si>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</si>
  <si>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</si>
  <si>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</si>
  <si>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</si>
  <si>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</si>
  <si>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</si>
  <si>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</si>
  <si>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</si>
  <si>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</si>
  <si>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</si>
  <si>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</si>
  <si>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</si>
  <si>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</si>
  <si>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</si>
  <si>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</si>
  <si>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</si>
  <si>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</si>
  <si>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</si>
  <si>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</si>
  <si>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</si>
  <si>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</si>
  <si>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</si>
  <si>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</si>
  <si>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</si>
  <si>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</si>
  <si>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</si>
  <si>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</si>
  <si>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</si>
  <si>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</si>
  <si>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</si>
  <si>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</si>
  <si>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</si>
  <si>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</si>
  <si>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</si>
  <si>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</si>
  <si>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</si>
  <si>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</si>
  <si>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</si>
  <si>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</si>
  <si>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</si>
  <si>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</si>
  <si>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</si>
  <si>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</si>
  <si>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</si>
  <si>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</si>
  <si>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</si>
  <si>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</si>
  <si>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</si>
  <si>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</si>
  <si>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</si>
  <si>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</si>
  <si>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</si>
  <si>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</si>
  <si>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</si>
  <si>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</si>
  <si>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</si>
  <si>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</si>
  <si>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</si>
  <si>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</si>
  <si>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</si>
  <si>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</si>
  <si>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</si>
  <si>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</si>
  <si>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</si>
  <si>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</si>
  <si>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</si>
  <si>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</si>
  <si>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</si>
  <si>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</si>
  <si>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</si>
  <si>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</si>
  <si>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</si>
  <si>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</si>
  <si>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</si>
  <si>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</si>
  <si>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</si>
  <si>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</si>
  <si>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</si>
  <si>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</si>
  <si>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</si>
  <si>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</si>
  <si>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</si>
  <si>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</si>
  <si>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</si>
  <si>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</si>
  <si>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</si>
  <si>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</si>
  <si>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</si>
  <si>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</si>
  <si>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</si>
  <si>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</si>
  <si>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</si>
  <si>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</si>
  <si>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</si>
  <si>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</si>
  <si>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</si>
  <si>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</si>
  <si>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</si>
  <si>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</si>
  <si>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</si>
  <si>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</si>
  <si>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</si>
  <si>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</si>
  <si>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</si>
  <si>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</si>
  <si>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</si>
  <si>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</si>
  <si>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</si>
  <si>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</si>
  <si>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</si>
  <si>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</si>
  <si>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</si>
  <si>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</si>
  <si>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</si>
  <si>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</si>
  <si>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</si>
  <si>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</si>
  <si>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</si>
  <si>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</si>
  <si>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</si>
  <si>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</si>
  <si>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</si>
  <si>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</si>
  <si>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</si>
  <si>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</si>
  <si>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</si>
  <si>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</si>
  <si>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</si>
  <si>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</si>
  <si>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</si>
  <si>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</si>
  <si>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</si>
  <si>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</si>
  <si>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</si>
  <si>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</si>
  <si>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</si>
  <si>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</si>
  <si>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</si>
  <si>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</si>
  <si>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</si>
  <si>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</si>
  <si>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</si>
  <si>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</si>
  <si>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</si>
  <si>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</si>
  <si>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</si>
  <si>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</si>
  <si>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</si>
  <si>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</si>
  <si>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</si>
  <si>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</si>
  <si>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</si>
  <si>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</si>
  <si>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</si>
  <si>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</si>
  <si>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</si>
  <si>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</si>
  <si>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</si>
  <si>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</si>
  <si>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</si>
  <si>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</si>
  <si>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</si>
  <si>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</si>
  <si>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</si>
  <si>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</si>
  <si>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</si>
  <si>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</si>
  <si>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</si>
  <si>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</si>
  <si>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</si>
  <si>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</si>
  <si>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</si>
  <si>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</si>
  <si>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</si>
  <si>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</si>
  <si>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</si>
  <si>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</si>
  <si>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</si>
  <si>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</si>
  <si>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</si>
  <si>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</si>
  <si>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</si>
  <si>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</si>
  <si>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</si>
  <si>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</si>
  <si>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</si>
  <si>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</si>
  <si>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</si>
  <si>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</si>
  <si>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</si>
  <si>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</si>
  <si>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</si>
  <si>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</si>
  <si>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</si>
  <si>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</si>
  <si>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</si>
  <si>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</si>
  <si>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</si>
  <si>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</si>
  <si>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</si>
  <si>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</si>
  <si>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</si>
  <si>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</si>
  <si>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</si>
  <si>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</si>
  <si>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</si>
  <si>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</si>
  <si>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</si>
  <si>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</si>
  <si>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</si>
  <si>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</si>
  <si>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</si>
  <si>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</si>
  <si>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</si>
  <si>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</si>
  <si>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</si>
  <si>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</si>
  <si>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</si>
  <si>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</si>
  <si>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</si>
  <si>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</si>
  <si>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</si>
  <si>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</si>
  <si>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</si>
  <si>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</si>
  <si>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</si>
  <si>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</si>
  <si>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</si>
  <si>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</si>
  <si>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</si>
  <si>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</si>
  <si>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</si>
  <si>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</si>
  <si>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</si>
  <si>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</si>
  <si>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</si>
  <si>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</si>
  <si>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</si>
  <si>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</si>
  <si>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</si>
  <si>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</si>
  <si>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</si>
  <si>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</si>
  <si>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</si>
  <si>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</si>
  <si>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</si>
  <si>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</si>
  <si>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</si>
  <si>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</si>
  <si>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</si>
  <si>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</si>
  <si>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</si>
  <si>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</si>
  <si>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</si>
  <si>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</si>
  <si>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</si>
  <si>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</si>
  <si>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</si>
  <si>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</si>
  <si>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</si>
  <si>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</si>
  <si>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</si>
  <si>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</si>
  <si>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</si>
  <si>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</si>
  <si>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</si>
  <si>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</si>
  <si>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</si>
  <si>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</si>
  <si>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</si>
  <si>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</si>
  <si>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</si>
  <si>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</si>
  <si>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</si>
  <si>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</si>
  <si>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</si>
  <si>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</si>
  <si>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</si>
  <si>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</si>
  <si>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</si>
  <si>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</si>
  <si>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</si>
  <si>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</si>
  <si>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</si>
  <si>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</si>
  <si>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</si>
  <si>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</si>
  <si>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</si>
  <si>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</si>
  <si>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</si>
  <si>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</si>
  <si>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</si>
  <si>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</si>
  <si>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</si>
  <si>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</si>
  <si>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</si>
  <si>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</si>
  <si>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</si>
  <si>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</si>
  <si>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</si>
  <si>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</si>
  <si>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</si>
  <si>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</si>
  <si>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</si>
  <si>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</si>
  <si>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</si>
  <si>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</si>
  <si>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</si>
  <si>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</si>
  <si>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</si>
  <si>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</si>
  <si>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</si>
  <si>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</si>
  <si>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</si>
  <si>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</si>
  <si>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</si>
  <si>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</si>
  <si>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</si>
  <si>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</si>
  <si>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</si>
  <si>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</si>
  <si>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</si>
  <si>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</si>
  <si>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</si>
  <si>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</si>
  <si>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</si>
  <si>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</si>
  <si>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</si>
  <si>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</si>
  <si>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</si>
  <si>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</si>
  <si>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</si>
  <si>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底商</t>
  </si>
  <si>
    <t>办公楼</t>
  </si>
  <si>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</si>
  <si>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</si>
  <si>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</si>
  <si>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</si>
  <si>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</si>
  <si>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</si>
  <si>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</si>
  <si>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</si>
  <si>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</si>
  <si>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</si>
  <si>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</si>
  <si>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</si>
  <si>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</si>
  <si>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</si>
  <si>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</si>
  <si>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</si>
  <si>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</si>
  <si>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</si>
  <si>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</si>
  <si>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</si>
  <si>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</si>
  <si>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</si>
  <si>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</si>
  <si>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</si>
  <si>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</si>
  <si>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</si>
  <si>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</si>
  <si>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</si>
  <si>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</si>
  <si>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</si>
  <si>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</si>
  <si>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</si>
  <si>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</si>
  <si>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</si>
  <si>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</si>
  <si>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</si>
  <si>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</si>
  <si>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</si>
  <si>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</si>
  <si>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</si>
  <si>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</si>
  <si>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</si>
  <si>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</si>
  <si>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</si>
  <si>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</si>
  <si>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</si>
  <si>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</si>
  <si>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</si>
  <si>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</si>
  <si>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</si>
  <si>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</si>
  <si>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</si>
  <si>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</si>
  <si>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</si>
  <si>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</si>
  <si>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</si>
  <si>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</si>
  <si>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</si>
  <si>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</si>
  <si>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</si>
  <si>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</si>
  <si>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</si>
  <si>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</si>
  <si>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</si>
  <si>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</si>
  <si>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</si>
  <si>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</si>
  <si>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</si>
  <si>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</si>
  <si>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</si>
  <si>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</si>
  <si>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</si>
  <si>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</si>
  <si>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</si>
  <si>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</si>
  <si>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</si>
  <si>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</si>
  <si>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</si>
  <si>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</si>
  <si>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</si>
  <si>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</si>
  <si>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</si>
  <si>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</si>
  <si>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</si>
  <si>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</si>
  <si>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</si>
  <si>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</si>
  <si>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</si>
  <si>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</si>
  <si>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</si>
  <si>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</si>
  <si>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</si>
  <si>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</si>
  <si>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</si>
  <si>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</si>
  <si>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</si>
  <si>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</si>
  <si>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</si>
  <si>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</si>
  <si>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</si>
  <si>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</si>
  <si>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</si>
  <si>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</si>
  <si>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</si>
  <si>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</si>
  <si>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</si>
  <si>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</si>
  <si>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</si>
  <si>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</si>
  <si>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</si>
  <si>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</si>
  <si>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</si>
  <si>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</si>
  <si>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</si>
  <si>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</si>
  <si>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</si>
  <si>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</si>
  <si>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</si>
  <si>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</si>
  <si>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</si>
  <si>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</si>
  <si>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</si>
  <si>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</si>
  <si>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</si>
  <si>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</si>
  <si>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</si>
  <si>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</si>
  <si>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</si>
  <si>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</si>
  <si>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</si>
  <si>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</si>
  <si>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</si>
  <si>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</si>
  <si>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</si>
  <si>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</si>
  <si>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</si>
  <si>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</si>
  <si>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</si>
  <si>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</si>
  <si>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</si>
  <si>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</si>
  <si>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</si>
  <si>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</si>
  <si>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</si>
  <si>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</si>
  <si>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</si>
  <si>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</si>
  <si>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</si>
  <si>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</si>
  <si>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</si>
  <si>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</si>
  <si>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</si>
  <si>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</si>
  <si>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</si>
  <si>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</si>
  <si>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</si>
  <si>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</si>
  <si>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</si>
  <si>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</si>
  <si>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</si>
  <si>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</si>
  <si>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</si>
  <si>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</si>
  <si>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</si>
  <si>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</si>
  <si>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</si>
  <si>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</si>
  <si>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</si>
  <si>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</si>
  <si>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</si>
  <si>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</si>
  <si>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公寓</t>
  </si>
  <si>
    <t>公寓</t>
    <phoneticPr fontId="7" type="noConversion"/>
  </si>
  <si>
    <r>
      <rPr>
        <sz val="11"/>
        <color theme="1"/>
        <rFont val="宋体"/>
        <family val="3"/>
        <charset val="134"/>
      </rPr>
      <t>商业</t>
    </r>
    <r>
      <rPr>
        <sz val="11"/>
        <color theme="1"/>
        <rFont val="Arial"/>
        <family val="2"/>
      </rPr>
      <t>-</t>
    </r>
    <r>
      <rPr>
        <sz val="11"/>
        <color theme="1"/>
        <rFont val="宋体"/>
        <family val="3"/>
        <charset val="134"/>
      </rPr>
      <t>自持</t>
    </r>
    <phoneticPr fontId="14" type="noConversion"/>
  </si>
  <si>
    <r>
      <rPr>
        <sz val="11"/>
        <color theme="1"/>
        <rFont val="宋体"/>
        <family val="3"/>
        <charset val="134"/>
      </rPr>
      <t>办公</t>
    </r>
    <r>
      <rPr>
        <sz val="11"/>
        <color theme="1"/>
        <rFont val="Arial"/>
        <family val="2"/>
      </rPr>
      <t>-</t>
    </r>
    <r>
      <rPr>
        <sz val="11"/>
        <color theme="1"/>
        <rFont val="宋体"/>
        <family val="3"/>
        <charset val="134"/>
      </rPr>
      <t>自持</t>
    </r>
    <phoneticPr fontId="14" type="noConversion"/>
  </si>
  <si>
    <t>复地时代中心</t>
    <phoneticPr fontId="228" type="noConversion"/>
  </si>
  <si>
    <t>通州富力中心</t>
    <phoneticPr fontId="228" type="noConversion"/>
  </si>
  <si>
    <t>合景中心</t>
    <phoneticPr fontId="228" type="noConversion"/>
  </si>
  <si>
    <t>城市支路</t>
  </si>
  <si>
    <r>
      <rPr>
        <sz val="11"/>
        <rFont val="宋体"/>
        <family val="3"/>
        <charset val="134"/>
      </rPr>
      <t>城市支路</t>
    </r>
    <r>
      <rPr>
        <sz val="11"/>
        <rFont val="Arial"/>
        <family val="2"/>
      </rPr>
      <t>-</t>
    </r>
    <r>
      <rPr>
        <sz val="11"/>
        <rFont val="宋体"/>
        <family val="3"/>
        <charset val="134"/>
      </rPr>
      <t>滨榆西路</t>
    </r>
    <phoneticPr fontId="3" type="noConversion"/>
  </si>
  <si>
    <t>城市支路</t>
    <phoneticPr fontId="228" type="noConversion"/>
  </si>
  <si>
    <t>距北运河距离</t>
    <phoneticPr fontId="228" type="noConversion"/>
  </si>
  <si>
    <r>
      <rPr>
        <sz val="11"/>
        <color indexed="8"/>
        <rFont val="宋体"/>
        <family val="3"/>
        <charset val="134"/>
      </rPr>
      <t>小于</t>
    </r>
    <r>
      <rPr>
        <sz val="11"/>
        <color indexed="8"/>
        <rFont val="Arial"/>
        <family val="2"/>
      </rPr>
      <t>500</t>
    </r>
    <r>
      <rPr>
        <sz val="11"/>
        <color indexed="8"/>
        <rFont val="宋体"/>
        <family val="3"/>
        <charset val="134"/>
      </rPr>
      <t>米</t>
    </r>
    <phoneticPr fontId="228" type="noConversion"/>
  </si>
  <si>
    <r>
      <t>500-1000</t>
    </r>
    <r>
      <rPr>
        <sz val="11"/>
        <color indexed="8"/>
        <rFont val="宋体"/>
        <family val="3"/>
        <charset val="134"/>
      </rPr>
      <t>米</t>
    </r>
    <phoneticPr fontId="228" type="noConversion"/>
  </si>
  <si>
    <r>
      <t>7</t>
    </r>
    <r>
      <rPr>
        <sz val="12"/>
        <color indexed="8"/>
        <rFont val="宋体"/>
        <family val="3"/>
        <charset val="134"/>
      </rPr>
      <t>单元</t>
    </r>
    <phoneticPr fontId="228" type="noConversion"/>
  </si>
  <si>
    <r>
      <t>5</t>
    </r>
    <r>
      <rPr>
        <sz val="12"/>
        <color indexed="8"/>
        <rFont val="宋体"/>
        <family val="3"/>
        <charset val="134"/>
      </rPr>
      <t>单元</t>
    </r>
    <phoneticPr fontId="228" type="noConversion"/>
  </si>
  <si>
    <t>基本价格</t>
    <phoneticPr fontId="228" type="noConversion"/>
  </si>
  <si>
    <t>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</si>
</sst>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
      <sz val="11"/>
      <color theme="1"/>
      <name val="Arial"/>
      <family val="3"/>
      <charset val="134"/>
    </font>
    <font>
      <sz val="12"/>
      <color indexed="8"/>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286" fillId="0" borderId="2" xfId="16"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0" fontId="291" fillId="0" borderId="2" xfId="0" applyFont="1" applyBorder="1" applyAlignment="1" applyProtection="1">
      <alignment horizontal="center" vertical="center"/>
      <protection locked="0"/>
    </xf>
    <xf numFmtId="0" fontId="71" fillId="9" borderId="64" xfId="1" applyFont="1" applyFill="1" applyBorder="1" applyAlignment="1" applyProtection="1">
      <alignment horizontal="center" vertical="center" wrapText="1"/>
      <protection locked="0"/>
    </xf>
    <xf numFmtId="0" fontId="71" fillId="9" borderId="12" xfId="1" applyFont="1" applyFill="1" applyBorder="1" applyAlignment="1">
      <alignment horizontal="center" vertical="center" wrapText="1"/>
    </xf>
    <xf numFmtId="0" fontId="71" fillId="9" borderId="50" xfId="1" applyFont="1" applyFill="1" applyBorder="1" applyAlignment="1" applyProtection="1">
      <alignment horizontal="center" vertical="center" wrapText="1"/>
      <protection locked="0"/>
    </xf>
    <xf numFmtId="0" fontId="71" fillId="9" borderId="5" xfId="1" applyFont="1" applyFill="1" applyBorder="1" applyAlignment="1">
      <alignment horizontal="center" vertical="center" wrapText="1"/>
    </xf>
    <xf numFmtId="0" fontId="81" fillId="9" borderId="5" xfId="1" applyFont="1" applyFill="1" applyBorder="1" applyAlignment="1" applyProtection="1">
      <alignment horizontal="center" vertical="center" wrapText="1"/>
      <protection locked="0"/>
    </xf>
    <xf numFmtId="10" fontId="75" fillId="9" borderId="2" xfId="2" applyNumberFormat="1" applyFont="1" applyFill="1" applyBorder="1" applyAlignment="1" applyProtection="1">
      <alignment horizontal="center" vertical="center"/>
    </xf>
    <xf numFmtId="180" fontId="288" fillId="0" borderId="0" xfId="16" applyNumberFormat="1" applyFont="1">
      <alignment vertical="center"/>
    </xf>
    <xf numFmtId="0" fontId="292" fillId="0" borderId="0" xfId="16"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8" xfId="1" applyFont="1" applyFill="1" applyBorder="1" applyAlignment="1">
      <alignment horizontal="center" vertical="center" wrapText="1"/>
    </xf>
    <xf numFmtId="0" fontId="84" fillId="5" borderId="19"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90" fillId="0" borderId="11"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5"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9" xfId="1" applyFont="1" applyFill="1" applyBorder="1" applyAlignment="1">
      <alignment horizontal="center" vertical="center" wrapText="1"/>
    </xf>
    <xf numFmtId="0" fontId="84" fillId="5" borderId="8" xfId="1" applyFont="1" applyFill="1" applyBorder="1" applyAlignment="1">
      <alignment horizontal="center" vertical="center" wrapText="1"/>
    </xf>
    <xf numFmtId="0" fontId="83" fillId="17" borderId="2" xfId="1"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 xfId="1" applyFont="1" applyFill="1" applyBorder="1" applyAlignment="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49" fillId="23" borderId="2" xfId="3" applyNumberFormat="1"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31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6.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35.png"/><Relationship Id="rId16" Type="http://schemas.openxmlformats.org/officeDocument/2006/relationships/image" Target="../media/image56.png"/><Relationship Id="rId1" Type="http://schemas.openxmlformats.org/officeDocument/2006/relationships/image" Target="../media/image42.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151471</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CCCAD093-721A-4AA5-AB1C-5194EAA5CD75}"/>
            </a:ext>
          </a:extLst>
        </xdr:cNvPr>
        <xdr:cNvPicPr>
          <a:picLocks noChangeAspect="1"/>
        </xdr:cNvPicPr>
      </xdr:nvPicPr>
      <xdr:blipFill>
        <a:blip xmlns:r="http://schemas.openxmlformats.org/officeDocument/2006/relationships" r:embed="rId1"/>
        <a:stretch>
          <a:fillRect/>
        </a:stretch>
      </xdr:blipFill>
      <xdr:spPr>
        <a:xfrm>
          <a:off x="17830800" y="171450"/>
          <a:ext cx="5276190" cy="4571429"/>
        </a:xfrm>
        <a:prstGeom prst="rect">
          <a:avLst/>
        </a:prstGeom>
      </xdr:spPr>
    </xdr:pic>
    <xdr:clientData/>
  </xdr:twoCellAnchor>
  <xdr:twoCellAnchor editAs="oneCell">
    <xdr:from>
      <xdr:col>2</xdr:col>
      <xdr:colOff>476249</xdr:colOff>
      <xdr:row>4</xdr:row>
      <xdr:rowOff>152400</xdr:rowOff>
    </xdr:from>
    <xdr:to>
      <xdr:col>12</xdr:col>
      <xdr:colOff>352424</xdr:colOff>
      <xdr:row>10</xdr:row>
      <xdr:rowOff>153035</xdr:rowOff>
    </xdr:to>
    <xdr:pic>
      <xdr:nvPicPr>
        <xdr:cNvPr id="10" name="图片 9">
          <a:extLst>
            <a:ext uri="{FF2B5EF4-FFF2-40B4-BE49-F238E27FC236}">
              <a16:creationId xmlns:a16="http://schemas.microsoft.com/office/drawing/2014/main" id="{AB196675-206A-4828-A6C1-FA2FE815B2D1}"/>
            </a:ext>
          </a:extLst>
        </xdr:cNvPr>
        <xdr:cNvPicPr/>
      </xdr:nvPicPr>
      <xdr:blipFill>
        <a:blip xmlns:r="http://schemas.openxmlformats.org/officeDocument/2006/relationships" r:embed="rId2"/>
        <a:stretch>
          <a:fillRect/>
        </a:stretch>
      </xdr:blipFill>
      <xdr:spPr>
        <a:xfrm>
          <a:off x="1847849" y="838200"/>
          <a:ext cx="6734175" cy="1029335"/>
        </a:xfrm>
        <a:prstGeom prst="rect">
          <a:avLst/>
        </a:prstGeom>
      </xdr:spPr>
    </xdr:pic>
    <xdr:clientData/>
  </xdr:twoCellAnchor>
  <xdr:twoCellAnchor editAs="oneCell">
    <xdr:from>
      <xdr:col>2</xdr:col>
      <xdr:colOff>447675</xdr:colOff>
      <xdr:row>1</xdr:row>
      <xdr:rowOff>28575</xdr:rowOff>
    </xdr:from>
    <xdr:to>
      <xdr:col>8</xdr:col>
      <xdr:colOff>571500</xdr:colOff>
      <xdr:row>4</xdr:row>
      <xdr:rowOff>133350</xdr:rowOff>
    </xdr:to>
    <xdr:pic>
      <xdr:nvPicPr>
        <xdr:cNvPr id="11" name="图片 10">
          <a:extLst>
            <a:ext uri="{FF2B5EF4-FFF2-40B4-BE49-F238E27FC236}">
              <a16:creationId xmlns:a16="http://schemas.microsoft.com/office/drawing/2014/main" id="{25BDA693-FBCC-430A-ADF5-382748FA27F3}"/>
            </a:ext>
          </a:extLst>
        </xdr:cNvPr>
        <xdr:cNvPicPr/>
      </xdr:nvPicPr>
      <xdr:blipFill>
        <a:blip xmlns:r="http://schemas.openxmlformats.org/officeDocument/2006/relationships" r:embed="rId3"/>
        <a:stretch>
          <a:fillRect/>
        </a:stretch>
      </xdr:blipFill>
      <xdr:spPr>
        <a:xfrm>
          <a:off x="1819275" y="200025"/>
          <a:ext cx="4238625" cy="619125"/>
        </a:xfrm>
        <a:prstGeom prst="rect">
          <a:avLst/>
        </a:prstGeom>
      </xdr:spPr>
    </xdr:pic>
    <xdr:clientData/>
  </xdr:twoCellAnchor>
  <xdr:twoCellAnchor editAs="oneCell">
    <xdr:from>
      <xdr:col>1</xdr:col>
      <xdr:colOff>495300</xdr:colOff>
      <xdr:row>34</xdr:row>
      <xdr:rowOff>133350</xdr:rowOff>
    </xdr:from>
    <xdr:to>
      <xdr:col>8</xdr:col>
      <xdr:colOff>523875</xdr:colOff>
      <xdr:row>39</xdr:row>
      <xdr:rowOff>9525</xdr:rowOff>
    </xdr:to>
    <xdr:pic>
      <xdr:nvPicPr>
        <xdr:cNvPr id="12" name="图片 11">
          <a:extLst>
            <a:ext uri="{FF2B5EF4-FFF2-40B4-BE49-F238E27FC236}">
              <a16:creationId xmlns:a16="http://schemas.microsoft.com/office/drawing/2014/main" id="{EA3C5D6D-2EFA-4F6F-9D34-BA28E907479F}"/>
            </a:ext>
          </a:extLst>
        </xdr:cNvPr>
        <xdr:cNvPicPr/>
      </xdr:nvPicPr>
      <xdr:blipFill>
        <a:blip xmlns:r="http://schemas.openxmlformats.org/officeDocument/2006/relationships" r:embed="rId4"/>
        <a:stretch>
          <a:fillRect/>
        </a:stretch>
      </xdr:blipFill>
      <xdr:spPr>
        <a:xfrm>
          <a:off x="1181100" y="5962650"/>
          <a:ext cx="4829175" cy="733425"/>
        </a:xfrm>
        <a:prstGeom prst="rect">
          <a:avLst/>
        </a:prstGeom>
      </xdr:spPr>
    </xdr:pic>
    <xdr:clientData/>
  </xdr:twoCellAnchor>
  <xdr:twoCellAnchor editAs="oneCell">
    <xdr:from>
      <xdr:col>1</xdr:col>
      <xdr:colOff>447675</xdr:colOff>
      <xdr:row>37</xdr:row>
      <xdr:rowOff>161925</xdr:rowOff>
    </xdr:from>
    <xdr:to>
      <xdr:col>9</xdr:col>
      <xdr:colOff>235585</xdr:colOff>
      <xdr:row>49</xdr:row>
      <xdr:rowOff>116205</xdr:rowOff>
    </xdr:to>
    <xdr:pic>
      <xdr:nvPicPr>
        <xdr:cNvPr id="13" name="图片 12">
          <a:extLst>
            <a:ext uri="{FF2B5EF4-FFF2-40B4-BE49-F238E27FC236}">
              <a16:creationId xmlns:a16="http://schemas.microsoft.com/office/drawing/2014/main" id="{D42C6950-03D3-44A4-AEE9-5D3613FF8FBC}"/>
            </a:ext>
          </a:extLst>
        </xdr:cNvPr>
        <xdr:cNvPicPr/>
      </xdr:nvPicPr>
      <xdr:blipFill>
        <a:blip xmlns:r="http://schemas.openxmlformats.org/officeDocument/2006/relationships" r:embed="rId5"/>
        <a:stretch>
          <a:fillRect/>
        </a:stretch>
      </xdr:blipFill>
      <xdr:spPr>
        <a:xfrm>
          <a:off x="1133475" y="6505575"/>
          <a:ext cx="5274310" cy="2011680"/>
        </a:xfrm>
        <a:prstGeom prst="rect">
          <a:avLst/>
        </a:prstGeom>
      </xdr:spPr>
    </xdr:pic>
    <xdr:clientData/>
  </xdr:twoCellAnchor>
  <xdr:twoCellAnchor editAs="oneCell">
    <xdr:from>
      <xdr:col>2</xdr:col>
      <xdr:colOff>19050</xdr:colOff>
      <xdr:row>71</xdr:row>
      <xdr:rowOff>28575</xdr:rowOff>
    </xdr:from>
    <xdr:to>
      <xdr:col>9</xdr:col>
      <xdr:colOff>492760</xdr:colOff>
      <xdr:row>75</xdr:row>
      <xdr:rowOff>53340</xdr:rowOff>
    </xdr:to>
    <xdr:pic>
      <xdr:nvPicPr>
        <xdr:cNvPr id="14" name="图片 13">
          <a:extLst>
            <a:ext uri="{FF2B5EF4-FFF2-40B4-BE49-F238E27FC236}">
              <a16:creationId xmlns:a16="http://schemas.microsoft.com/office/drawing/2014/main" id="{AF7C7633-68ED-4DBB-9511-EE8292CB1588}"/>
            </a:ext>
          </a:extLst>
        </xdr:cNvPr>
        <xdr:cNvPicPr/>
      </xdr:nvPicPr>
      <xdr:blipFill>
        <a:blip xmlns:r="http://schemas.openxmlformats.org/officeDocument/2006/relationships" r:embed="rId6"/>
        <a:stretch>
          <a:fillRect/>
        </a:stretch>
      </xdr:blipFill>
      <xdr:spPr>
        <a:xfrm>
          <a:off x="1390650" y="12201525"/>
          <a:ext cx="5274310" cy="710565"/>
        </a:xfrm>
        <a:prstGeom prst="rect">
          <a:avLst/>
        </a:prstGeom>
      </xdr:spPr>
    </xdr:pic>
    <xdr:clientData/>
  </xdr:twoCellAnchor>
  <xdr:twoCellAnchor editAs="oneCell">
    <xdr:from>
      <xdr:col>2</xdr:col>
      <xdr:colOff>38099</xdr:colOff>
      <xdr:row>75</xdr:row>
      <xdr:rowOff>0</xdr:rowOff>
    </xdr:from>
    <xdr:to>
      <xdr:col>11</xdr:col>
      <xdr:colOff>638174</xdr:colOff>
      <xdr:row>89</xdr:row>
      <xdr:rowOff>50800</xdr:rowOff>
    </xdr:to>
    <xdr:pic>
      <xdr:nvPicPr>
        <xdr:cNvPr id="15" name="图片 14">
          <a:extLst>
            <a:ext uri="{FF2B5EF4-FFF2-40B4-BE49-F238E27FC236}">
              <a16:creationId xmlns:a16="http://schemas.microsoft.com/office/drawing/2014/main" id="{B57A9682-B304-4ED0-97F5-2FBC36B2A972}"/>
            </a:ext>
          </a:extLst>
        </xdr:cNvPr>
        <xdr:cNvPicPr/>
      </xdr:nvPicPr>
      <xdr:blipFill>
        <a:blip xmlns:r="http://schemas.openxmlformats.org/officeDocument/2006/relationships" r:embed="rId7"/>
        <a:stretch>
          <a:fillRect/>
        </a:stretch>
      </xdr:blipFill>
      <xdr:spPr>
        <a:xfrm>
          <a:off x="1409699" y="12858750"/>
          <a:ext cx="6772275" cy="2451100"/>
        </a:xfrm>
        <a:prstGeom prst="rect">
          <a:avLst/>
        </a:prstGeom>
      </xdr:spPr>
    </xdr:pic>
    <xdr:clientData/>
  </xdr:twoCellAnchor>
  <xdr:twoCellAnchor editAs="oneCell">
    <xdr:from>
      <xdr:col>10</xdr:col>
      <xdr:colOff>276225</xdr:colOff>
      <xdr:row>20</xdr:row>
      <xdr:rowOff>38100</xdr:rowOff>
    </xdr:from>
    <xdr:to>
      <xdr:col>18</xdr:col>
      <xdr:colOff>685063</xdr:colOff>
      <xdr:row>50</xdr:row>
      <xdr:rowOff>56505</xdr:rowOff>
    </xdr:to>
    <xdr:pic>
      <xdr:nvPicPr>
        <xdr:cNvPr id="16" name="图片 15">
          <a:extLst>
            <a:ext uri="{FF2B5EF4-FFF2-40B4-BE49-F238E27FC236}">
              <a16:creationId xmlns:a16="http://schemas.microsoft.com/office/drawing/2014/main" id="{10185393-D4E3-46BF-BECA-8413EC82B54E}"/>
            </a:ext>
          </a:extLst>
        </xdr:cNvPr>
        <xdr:cNvPicPr>
          <a:picLocks noChangeAspect="1"/>
        </xdr:cNvPicPr>
      </xdr:nvPicPr>
      <xdr:blipFill>
        <a:blip xmlns:r="http://schemas.openxmlformats.org/officeDocument/2006/relationships" r:embed="rId8"/>
        <a:stretch>
          <a:fillRect/>
        </a:stretch>
      </xdr:blipFill>
      <xdr:spPr>
        <a:xfrm>
          <a:off x="7134225" y="3467100"/>
          <a:ext cx="5895238" cy="5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2&#24180;\2021-1-0692&#21271;&#20140;&#22478;&#24066;&#21103;&#20013;&#24515;&#31449;&#32508;&#21512;&#20132;&#36890;&#26530;&#32445;FZX-0101-0702&#12289;0704&#12289;0705&#12289;0706&#12289;0707&#12289;0708&#22320;&#22359;F3&#20854;&#20182;&#31867;&#22810;&#21151;&#33021;&#29992;&#22320;\&#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L5">
            <v>6.35</v>
          </cell>
        </row>
        <row r="6">
          <cell r="L6">
            <v>5.79</v>
          </cell>
        </row>
        <row r="20">
          <cell r="K20">
            <v>3</v>
          </cell>
        </row>
        <row r="21">
          <cell r="B21">
            <v>5000</v>
          </cell>
          <cell r="C21">
            <v>0.25</v>
          </cell>
          <cell r="K21">
            <v>0.02</v>
          </cell>
        </row>
        <row r="22">
          <cell r="B22">
            <v>5000</v>
          </cell>
          <cell r="C22">
            <v>0.2</v>
          </cell>
          <cell r="K22">
            <v>0.02</v>
          </cell>
        </row>
        <row r="23">
          <cell r="B23">
            <v>6000</v>
          </cell>
          <cell r="C23">
            <v>0.35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81070.11平方米。根据《建设工程规划许可证》[]、《出让合同》[]，估价对象规划建筑面积为780200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根据《国有土地使用证》[]，估价对象（分摊）出让国有建设用地使用权面积为81070.11平方米。根据《建设工程规划许可证》[]、《出让合同》[]，估价对象规划建筑面积为780200平方米。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81070.11</v>
      </c>
    </row>
    <row r="44" spans="1:2">
      <c r="A44" s="2592" t="s">
        <v>2718</v>
      </c>
      <c r="B44" s="2593" t="str">
        <f>'预评函-2'!O3</f>
        <v>规划建筑面积/㎡</v>
      </c>
    </row>
    <row r="45" spans="1:2">
      <c r="A45" s="2592" t="s">
        <v>2700</v>
      </c>
      <c r="B45" s="2593">
        <f>'预评函-2'!O5</f>
        <v>780200</v>
      </c>
    </row>
    <row r="46" spans="1:2">
      <c r="A46" s="2592" t="s">
        <v>2701</v>
      </c>
      <c r="B46" s="2593">
        <f ca="1">'预评函-2'!P5</f>
        <v>51331</v>
      </c>
    </row>
    <row r="47" spans="1:2">
      <c r="A47" s="2592" t="s">
        <v>2702</v>
      </c>
      <c r="B47" s="2593">
        <f ca="1">'预评函-2'!Q5</f>
        <v>5334</v>
      </c>
    </row>
    <row r="48" spans="1:2">
      <c r="A48" s="2592" t="s">
        <v>2703</v>
      </c>
      <c r="B48" s="2593">
        <f ca="1">'预评函-2'!R5</f>
        <v>416139</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42" t="str">
        <f>IF(B10="北京市","北京市",C10)&amp;F10&amp;B16&amp;"国有建设用地使用权"&amp;B9&amp;"预评估"</f>
        <v>北京市储备国有建设用地使用权预评估</v>
      </c>
      <c r="C1" s="3843"/>
      <c r="D1" s="3843"/>
      <c r="E1" s="3843"/>
      <c r="F1" s="3843"/>
      <c r="G1" s="3843"/>
      <c r="H1" s="3843"/>
      <c r="I1" s="3844"/>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48"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49"/>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45"/>
      <c r="C12" s="3846"/>
      <c r="D12" s="3847"/>
      <c r="E12" s="1618" t="s">
        <v>2047</v>
      </c>
      <c r="F12" s="3863" t="s">
        <v>2866</v>
      </c>
      <c r="G12" s="3864"/>
      <c r="H12" s="3864"/>
      <c r="I12" s="3865"/>
      <c r="J12" s="3062"/>
      <c r="K12" s="3045"/>
      <c r="L12" s="3041"/>
      <c r="M12" s="3041"/>
      <c r="N12" s="3042"/>
      <c r="O12" s="3043"/>
      <c r="P12" s="3042"/>
      <c r="Q12" s="3042"/>
      <c r="R12" s="3042"/>
      <c r="S12" s="3042"/>
      <c r="T12" s="3042"/>
      <c r="U12" s="3042"/>
    </row>
    <row r="13" spans="1:21">
      <c r="A13" s="1609" t="s">
        <v>2045</v>
      </c>
      <c r="B13" s="3845"/>
      <c r="C13" s="3846"/>
      <c r="D13" s="3847"/>
      <c r="E13" s="1618" t="s">
        <v>2047</v>
      </c>
      <c r="F13" s="3863" t="s">
        <v>2867</v>
      </c>
      <c r="G13" s="3864"/>
      <c r="H13" s="3864"/>
      <c r="I13" s="3865"/>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3170</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60"/>
      <c r="E20" s="3861"/>
      <c r="F20" s="3861"/>
      <c r="G20" s="3861"/>
      <c r="H20" s="3861"/>
      <c r="I20" s="3862"/>
      <c r="J20" s="3062"/>
      <c r="K20" s="3045"/>
      <c r="L20" s="3041"/>
      <c r="M20" s="3041"/>
      <c r="N20" s="3042"/>
      <c r="O20" s="3043"/>
      <c r="P20" s="3042"/>
      <c r="Q20" s="3042"/>
      <c r="R20" s="3042"/>
      <c r="S20" s="3042"/>
      <c r="T20" s="3042"/>
      <c r="U20" s="3042"/>
    </row>
    <row r="21" spans="1:21">
      <c r="A21" s="1677" t="s">
        <v>1944</v>
      </c>
      <c r="B21" s="1678" t="s">
        <v>1945</v>
      </c>
      <c r="C21" s="1673">
        <f>'数据-汇总表'!E3</f>
        <v>780200</v>
      </c>
      <c r="D21" s="1674" t="s">
        <v>1946</v>
      </c>
      <c r="E21" s="3850" t="s">
        <v>1984</v>
      </c>
      <c r="F21" s="3851"/>
      <c r="G21" s="3851"/>
      <c r="H21" s="3851"/>
      <c r="I21" s="3852"/>
      <c r="J21" s="3062"/>
      <c r="K21" s="3045"/>
      <c r="L21" s="3041"/>
      <c r="M21" s="3041"/>
      <c r="N21" s="3042"/>
      <c r="O21" s="3043"/>
      <c r="P21" s="3042"/>
      <c r="Q21" s="3042"/>
      <c r="R21" s="3042"/>
      <c r="S21" s="3042"/>
      <c r="T21" s="3042"/>
      <c r="U21" s="3042"/>
    </row>
    <row r="22" spans="1:21">
      <c r="A22" s="2799" t="s">
        <v>941</v>
      </c>
      <c r="B22" s="1586" t="s">
        <v>1947</v>
      </c>
      <c r="C22" s="1608">
        <f>'数据-汇总表'!D3</f>
        <v>81070.11</v>
      </c>
      <c r="D22" s="1609" t="s">
        <v>1946</v>
      </c>
      <c r="E22" s="3850" t="s">
        <v>2868</v>
      </c>
      <c r="F22" s="3851"/>
      <c r="G22" s="3851"/>
      <c r="H22" s="3851"/>
      <c r="I22" s="3852"/>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53" t="s">
        <v>1952</v>
      </c>
      <c r="C24" s="3854"/>
      <c r="D24" s="3855" t="s">
        <v>1953</v>
      </c>
      <c r="E24" s="3856"/>
      <c r="F24" s="1626" t="s">
        <v>1954</v>
      </c>
      <c r="G24" s="3062"/>
      <c r="H24" s="3062"/>
      <c r="I24" s="3066"/>
      <c r="J24" s="3062"/>
      <c r="K24" s="3841"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4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4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27" t="s">
        <v>1987</v>
      </c>
      <c r="B31" s="1678" t="s">
        <v>1988</v>
      </c>
      <c r="C31" s="3866"/>
      <c r="D31" s="3867"/>
      <c r="E31" s="3062"/>
      <c r="F31" s="3062"/>
      <c r="G31" s="3062"/>
      <c r="H31" s="3062"/>
      <c r="I31" s="3066"/>
      <c r="J31" s="3062"/>
      <c r="K31" s="3048"/>
      <c r="L31" s="3042"/>
      <c r="M31" s="3042"/>
      <c r="N31" s="3042"/>
      <c r="O31" s="3042"/>
      <c r="P31" s="3042"/>
      <c r="Q31" s="3042"/>
      <c r="R31" s="3042"/>
      <c r="S31" s="3042"/>
      <c r="T31" s="3042"/>
      <c r="U31" s="3042"/>
    </row>
    <row r="32" spans="1:21">
      <c r="A32" s="3827"/>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27"/>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28"/>
      <c r="B34" s="1586" t="s">
        <v>1991</v>
      </c>
      <c r="C34" s="3829"/>
      <c r="D34" s="3830"/>
      <c r="E34" s="3062"/>
      <c r="F34" s="3062"/>
      <c r="G34" s="3062"/>
      <c r="H34" s="3062"/>
      <c r="I34" s="3066"/>
      <c r="J34" s="3062"/>
      <c r="K34" s="3048"/>
      <c r="L34" s="3042"/>
      <c r="M34" s="3042"/>
      <c r="N34" s="3042"/>
      <c r="O34" s="3042"/>
      <c r="P34" s="3042"/>
      <c r="Q34" s="3042"/>
      <c r="R34" s="3042"/>
      <c r="S34" s="3042"/>
      <c r="T34" s="3042"/>
      <c r="U34" s="3042"/>
    </row>
    <row r="35" spans="1:28">
      <c r="A35" s="3831" t="s">
        <v>837</v>
      </c>
      <c r="B35" s="1640"/>
      <c r="C35" s="1687" t="str">
        <f>IF(B35="场地平整","——","具体情况：")</f>
        <v>具体情况：</v>
      </c>
      <c r="D35" s="3833"/>
      <c r="E35" s="3834"/>
      <c r="F35" s="3834"/>
      <c r="G35" s="3834"/>
      <c r="H35" s="3834"/>
      <c r="I35" s="3835"/>
      <c r="J35" s="3062"/>
      <c r="K35" s="3049"/>
      <c r="L35" s="3041"/>
      <c r="M35" s="3041"/>
      <c r="N35" s="3042"/>
      <c r="O35" s="3043"/>
      <c r="P35" s="3042"/>
      <c r="Q35" s="3042"/>
      <c r="R35" s="3042"/>
      <c r="S35" s="3042"/>
      <c r="T35" s="3042"/>
      <c r="U35" s="3042"/>
    </row>
    <row r="36" spans="1:28">
      <c r="A36" s="3827"/>
      <c r="B36" s="3836" t="s">
        <v>2040</v>
      </c>
      <c r="C36" s="3837"/>
      <c r="D36" s="1703"/>
      <c r="E36" s="3838"/>
      <c r="F36" s="3838"/>
      <c r="G36" s="1609" t="str">
        <f>IF(B35="场地未平整","估价结果处理","")</f>
        <v/>
      </c>
      <c r="H36" s="3839"/>
      <c r="I36" s="3839"/>
      <c r="J36" s="3062"/>
      <c r="K36" s="3049"/>
      <c r="L36" s="3041"/>
      <c r="M36" s="3041"/>
      <c r="N36" s="3042"/>
      <c r="O36" s="3043"/>
      <c r="P36" s="3042"/>
      <c r="Q36" s="3042"/>
      <c r="R36" s="3042"/>
      <c r="S36" s="3042"/>
      <c r="T36" s="3042"/>
      <c r="U36" s="3042"/>
    </row>
    <row r="37" spans="1:28" ht="28.5">
      <c r="A37" s="3827"/>
      <c r="B37" s="3857"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27"/>
      <c r="B38" s="3858"/>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28"/>
      <c r="B39" s="3859"/>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40" t="s">
        <v>1971</v>
      </c>
      <c r="T40" s="1649" t="str">
        <f>NUMBERSTRING(7-K40,1)&amp;"通"</f>
        <v>七通</v>
      </c>
      <c r="U40" s="3042"/>
    </row>
    <row r="41" spans="1:28">
      <c r="A41" s="1588"/>
      <c r="B41" s="3832" t="s">
        <v>1709</v>
      </c>
      <c r="C41" s="3832"/>
      <c r="D41" s="3832"/>
      <c r="E41" s="3832"/>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40"/>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U15" sqref="AU15"/>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81070.106</v>
      </c>
      <c r="B3" s="21">
        <f>IF(C3="否",G5-AT5,G5)</f>
        <v>780200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780200</v>
      </c>
      <c r="H5" s="26">
        <f t="shared" ref="H5:AT5" si="0">SUM(H13:H641)</f>
        <v>780200</v>
      </c>
      <c r="I5" s="26">
        <f t="shared" si="0"/>
        <v>168000</v>
      </c>
      <c r="J5" s="26">
        <f t="shared" si="0"/>
        <v>0</v>
      </c>
      <c r="K5" s="26">
        <f t="shared" si="0"/>
        <v>306100</v>
      </c>
      <c r="L5" s="26">
        <f t="shared" si="0"/>
        <v>0</v>
      </c>
      <c r="M5" s="26">
        <f t="shared" si="0"/>
        <v>306100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780200</v>
      </c>
      <c r="BA5" s="28">
        <f t="shared" si="1"/>
        <v>780200</v>
      </c>
      <c r="BB5" s="28">
        <f t="shared" si="1"/>
        <v>168000</v>
      </c>
      <c r="BC5" s="28">
        <f t="shared" si="1"/>
        <v>306100</v>
      </c>
      <c r="BD5" s="28">
        <f t="shared" si="1"/>
        <v>306100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81070.100000000006</v>
      </c>
      <c r="F6" s="26" t="s">
        <v>1</v>
      </c>
      <c r="G6" s="26" t="s">
        <v>2</v>
      </c>
      <c r="H6" s="32">
        <f>SUMIF(I$12:AB$12,"总值",I6:AB6)</f>
        <v>81070.100000000006</v>
      </c>
      <c r="I6" s="26">
        <f t="shared" ref="I6:AB6" si="2">ROUND($A$3*I5/$B$3,2)</f>
        <v>17456.78</v>
      </c>
      <c r="J6" s="26">
        <f t="shared" si="2"/>
        <v>0</v>
      </c>
      <c r="K6" s="26">
        <f t="shared" si="2"/>
        <v>31806.66</v>
      </c>
      <c r="L6" s="26">
        <f t="shared" si="2"/>
        <v>0</v>
      </c>
      <c r="M6" s="26">
        <f t="shared" si="2"/>
        <v>31806.66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81070.11</v>
      </c>
      <c r="AZ6" s="26" t="s">
        <v>3</v>
      </c>
      <c r="BA6" s="26">
        <f>ROUND($AY$6*BA5/$AZ$5,2)</f>
        <v>81070.11</v>
      </c>
      <c r="BB6" s="26">
        <f>ROUND($AY$6*BB5/$AZ$5,2)</f>
        <v>17456.78</v>
      </c>
      <c r="BC6" s="26">
        <f t="shared" ref="BC6:BH6" si="4">ROUND($AY$6*BC5/$AZ$5,2)</f>
        <v>31806.67</v>
      </c>
      <c r="BD6" s="26">
        <f t="shared" si="4"/>
        <v>31806.67</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3228</v>
      </c>
      <c r="J11" s="70"/>
      <c r="K11" s="2730" t="s">
        <v>3055</v>
      </c>
      <c r="L11" s="70"/>
      <c r="M11" s="69" t="s">
        <v>3056</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公寓</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81070.11</v>
      </c>
      <c r="F13" s="80"/>
      <c r="G13" s="81">
        <f t="shared" ref="G13:G20" si="7">H13+AC13+AT13</f>
        <v>780200</v>
      </c>
      <c r="H13" s="32">
        <f t="shared" ref="H13:H20" si="8">SUMIF(I$12:AB$12,"总值",I13:AB13)</f>
        <v>780200</v>
      </c>
      <c r="I13" s="3323">
        <v>168000</v>
      </c>
      <c r="J13" s="2728"/>
      <c r="K13" s="3323">
        <v>306100</v>
      </c>
      <c r="L13" s="3323"/>
      <c r="M13" s="3323">
        <f>K13</f>
        <v>306100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81070.11</v>
      </c>
      <c r="AZ13" s="26">
        <f t="shared" ref="AZ13:AZ20" si="11">BA13+BL13</f>
        <v>780200</v>
      </c>
      <c r="BA13" s="26">
        <f t="shared" ref="BA13:BA20" si="12">SUM(BB13:BK13)</f>
        <v>780200</v>
      </c>
      <c r="BB13" s="26">
        <f t="shared" ref="BB13:BB20" si="13">IF($D13="是",I13-J13,0)</f>
        <v>168000</v>
      </c>
      <c r="BC13" s="26">
        <f t="shared" ref="BC13:BC20" si="14">IF($D13="是",K13-L13,0)</f>
        <v>306100</v>
      </c>
      <c r="BD13" s="26">
        <f t="shared" ref="BD13:BD20" si="15">IF($D13="是",M13-N13,0)</f>
        <v>306100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3146</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3146</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8" t="s">
        <v>0</v>
      </c>
      <c r="B1" s="3868" t="s">
        <v>4</v>
      </c>
      <c r="C1" s="3868" t="s">
        <v>5</v>
      </c>
      <c r="D1" s="3869" t="s">
        <v>40</v>
      </c>
      <c r="E1" s="3869" t="s">
        <v>41</v>
      </c>
      <c r="F1" s="3869"/>
      <c r="G1" s="3869"/>
      <c r="H1" s="3869"/>
      <c r="I1" s="3869"/>
      <c r="J1" s="3869"/>
      <c r="K1" s="3869"/>
      <c r="L1" s="3869"/>
      <c r="M1" s="3869"/>
    </row>
    <row r="2" spans="1:13" ht="27" customHeight="1">
      <c r="A2" s="3868"/>
      <c r="B2" s="3868"/>
      <c r="C2" s="3868"/>
      <c r="D2" s="3869"/>
      <c r="E2" s="3869" t="s">
        <v>24</v>
      </c>
      <c r="F2" s="3869" t="s">
        <v>25</v>
      </c>
      <c r="G2" s="3869"/>
      <c r="H2" s="3869"/>
      <c r="I2" s="3869"/>
      <c r="J2" s="3869" t="s">
        <v>26</v>
      </c>
      <c r="K2" s="3869"/>
      <c r="L2" s="3869"/>
      <c r="M2" s="3869"/>
    </row>
    <row r="3" spans="1:13" ht="28.5">
      <c r="A3" s="3868"/>
      <c r="B3" s="3868"/>
      <c r="C3" s="3868"/>
      <c r="D3" s="3869"/>
      <c r="E3" s="38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9" t="s">
        <v>42</v>
      </c>
      <c r="B9" s="3869"/>
      <c r="C9" s="38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19" sqref="F19:F20"/>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12.75" style="1896" customWidth="1"/>
    <col min="20"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9" t="s">
        <v>201</v>
      </c>
      <c r="B2" s="3879"/>
      <c r="C2" s="3879"/>
      <c r="D2" s="1886" t="s">
        <v>202</v>
      </c>
      <c r="E2" s="105" t="s">
        <v>203</v>
      </c>
      <c r="F2" s="3071"/>
      <c r="G2" s="1179"/>
      <c r="H2" s="1180"/>
      <c r="I2" s="1181" t="s">
        <v>847</v>
      </c>
      <c r="J2" s="3071"/>
      <c r="K2" s="3071"/>
      <c r="L2" s="3071"/>
      <c r="M2" s="3071"/>
      <c r="N2" s="3071"/>
      <c r="O2" s="3071"/>
      <c r="P2" s="3071"/>
    </row>
    <row r="3" spans="1:16" ht="15.75" thickBot="1">
      <c r="A3" s="3880" t="s">
        <v>204</v>
      </c>
      <c r="B3" s="3880"/>
      <c r="C3" s="3880"/>
      <c r="D3" s="3365">
        <f>'数据-基础表'!AY6</f>
        <v>81070.11</v>
      </c>
      <c r="E3" s="106">
        <f>'数据-基础表'!AZ5</f>
        <v>780200</v>
      </c>
      <c r="F3" s="3071"/>
      <c r="G3" s="276" t="s">
        <v>848</v>
      </c>
      <c r="H3" s="271" t="s">
        <v>849</v>
      </c>
      <c r="I3" s="1887">
        <f>ROUND('数据-基础表'!B3/'数据-基础表'!A3,2)</f>
        <v>9.6199999999999992</v>
      </c>
      <c r="J3" s="3071"/>
      <c r="K3" s="3071"/>
      <c r="L3" s="3071"/>
      <c r="M3" s="3071"/>
      <c r="N3" s="3071"/>
      <c r="O3" s="3071"/>
      <c r="P3" s="3071"/>
    </row>
    <row r="4" spans="1:16" ht="15">
      <c r="A4" s="3881"/>
      <c r="B4" s="3882"/>
      <c r="C4" s="3883"/>
      <c r="D4" s="107" t="s">
        <v>202</v>
      </c>
      <c r="E4" s="108" t="s">
        <v>203</v>
      </c>
      <c r="F4" s="3071"/>
      <c r="G4" s="1182"/>
      <c r="H4" s="271" t="s">
        <v>850</v>
      </c>
      <c r="I4" s="1887">
        <f>ROUND(SUMIF('数据-基础表'!I9:AS9,"地上",'数据-基础表'!I5:AS5)/'数据-基础表'!A3,2)</f>
        <v>9.6199999999999992</v>
      </c>
      <c r="J4" s="3071"/>
      <c r="K4" s="3071"/>
      <c r="L4" s="3071"/>
      <c r="M4" s="3071"/>
      <c r="N4" s="3071"/>
      <c r="O4" s="3071"/>
      <c r="P4" s="3071"/>
    </row>
    <row r="5" spans="1:16">
      <c r="A5" s="109" t="s">
        <v>205</v>
      </c>
      <c r="B5" s="3884" t="s">
        <v>228</v>
      </c>
      <c r="C5" s="3884"/>
      <c r="D5" s="110">
        <f>ROUND($D$3*E5/$E$3,2)</f>
        <v>17456.78</v>
      </c>
      <c r="E5" s="111">
        <f>SUMIF('数据-基础表'!$11:$11,"住宅",'数据-基础表'!$5:$5)</f>
        <v>168000</v>
      </c>
      <c r="F5" s="3071"/>
      <c r="G5" s="276" t="s">
        <v>851</v>
      </c>
      <c r="H5" s="271" t="s">
        <v>849</v>
      </c>
      <c r="I5" s="1887">
        <f>ROUND(E31/D31,2)</f>
        <v>9.6199999999999992</v>
      </c>
      <c r="J5" s="3071"/>
      <c r="K5" s="3071"/>
      <c r="L5" s="3071"/>
      <c r="M5" s="3071"/>
      <c r="N5" s="3071"/>
      <c r="O5" s="3071"/>
      <c r="P5" s="3071"/>
    </row>
    <row r="6" spans="1:16" ht="15" thickBot="1">
      <c r="A6" s="112"/>
      <c r="B6" s="3884" t="s">
        <v>206</v>
      </c>
      <c r="C6" s="3884"/>
      <c r="D6" s="110">
        <f>ROUND($D$3*E6/$E$3,2)</f>
        <v>63613.33</v>
      </c>
      <c r="E6" s="111">
        <f>E3-E5</f>
        <v>612200</v>
      </c>
      <c r="F6" s="3071"/>
      <c r="G6" s="1182"/>
      <c r="H6" s="271" t="s">
        <v>850</v>
      </c>
      <c r="I6" s="1887">
        <f>ROUND(F31/D31,2)</f>
        <v>9.6199999999999992</v>
      </c>
      <c r="J6" s="3071"/>
      <c r="K6" s="3071"/>
      <c r="L6" s="3071"/>
      <c r="M6" s="3071"/>
      <c r="N6" s="3071"/>
      <c r="O6" s="3071"/>
      <c r="P6" s="3071"/>
    </row>
    <row r="7" spans="1:16" ht="15">
      <c r="A7" s="3876"/>
      <c r="B7" s="3877"/>
      <c r="C7" s="3878"/>
      <c r="D7" s="107" t="s">
        <v>202</v>
      </c>
      <c r="E7" s="113" t="s">
        <v>229</v>
      </c>
      <c r="F7" s="3071"/>
      <c r="G7" s="1137" t="s">
        <v>1633</v>
      </c>
      <c r="H7" s="1138"/>
      <c r="I7" s="1757">
        <f>ROUND((F19+F20)/D3,2)</f>
        <v>5.85</v>
      </c>
      <c r="J7" s="3071"/>
      <c r="K7" s="3071"/>
      <c r="L7" s="3071"/>
      <c r="M7" s="3071"/>
      <c r="N7" s="3071"/>
      <c r="O7" s="3071"/>
      <c r="P7" s="3071"/>
    </row>
    <row r="8" spans="1:16">
      <c r="A8" s="109" t="s">
        <v>207</v>
      </c>
      <c r="B8" s="114" t="s">
        <v>208</v>
      </c>
      <c r="C8" s="110" t="s">
        <v>209</v>
      </c>
      <c r="D8" s="110">
        <f t="shared" ref="D8:D15" si="0">ROUND($D$3*E8/$E$3,2)</f>
        <v>81070.11</v>
      </c>
      <c r="E8" s="115">
        <f>SUMIF('数据-基础表'!BB10:BK10,"地上",'数据-基础表'!BB5:BK5)</f>
        <v>780200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f>ROUND((F19+F20)/D3,2)</f>
        <v>5.85</v>
      </c>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f>247100+55000+167500</f>
        <v>469600</v>
      </c>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81070.11</v>
      </c>
      <c r="E16" s="119">
        <f>SUM(E8:E15)</f>
        <v>780200</v>
      </c>
      <c r="F16" s="3071"/>
      <c r="G16" s="3072"/>
      <c r="H16" s="954" t="s">
        <v>217</v>
      </c>
      <c r="I16" s="955"/>
      <c r="J16" s="1895"/>
      <c r="K16" s="3870" t="s">
        <v>2545</v>
      </c>
      <c r="L16" s="3871"/>
      <c r="M16" s="3871"/>
      <c r="N16" s="3871"/>
      <c r="O16" s="3871"/>
      <c r="P16" s="3872"/>
    </row>
    <row r="17" spans="1:19" ht="15">
      <c r="A17" s="120" t="s">
        <v>214</v>
      </c>
      <c r="B17" s="121" t="s">
        <v>215</v>
      </c>
      <c r="C17" s="2175" t="s">
        <v>2298</v>
      </c>
      <c r="D17" s="107" t="s">
        <v>202</v>
      </c>
      <c r="E17" s="123" t="s">
        <v>203</v>
      </c>
      <c r="F17" s="124"/>
      <c r="G17" s="1317"/>
      <c r="H17" s="956" t="s">
        <v>216</v>
      </c>
      <c r="I17" s="957" t="s">
        <v>2297</v>
      </c>
      <c r="J17" s="1895"/>
      <c r="K17" s="3873" t="s">
        <v>2546</v>
      </c>
      <c r="L17" s="3874"/>
      <c r="M17" s="3875"/>
      <c r="N17" s="3873" t="s">
        <v>2547</v>
      </c>
      <c r="O17" s="3874"/>
      <c r="P17" s="3875"/>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3229</v>
      </c>
      <c r="D19" s="110">
        <f t="shared" ref="D19:D26" si="1">ROUND($D$3*E19/$E$3,2)</f>
        <v>17456.78</v>
      </c>
      <c r="E19" s="133">
        <f t="shared" ref="E19:E26" si="2">SUM(F19:G19)</f>
        <v>168000</v>
      </c>
      <c r="F19" s="3324">
        <f>'数据-基础表'!I13</f>
        <v>168000</v>
      </c>
      <c r="G19" s="3074"/>
      <c r="H19" s="960">
        <f>ROUND($D$3*I19/$E$3,2)</f>
        <v>0</v>
      </c>
      <c r="I19" s="115">
        <f>IF($I$17="自定义",P19,M19)</f>
        <v>0</v>
      </c>
      <c r="J19" s="1895"/>
      <c r="K19" s="2449">
        <f t="shared" ref="K19:K26" si="3">ROUND(E$28*E19/E$27,2)</f>
        <v>0</v>
      </c>
      <c r="L19" s="271">
        <f t="shared" ref="L19:L26" si="4">ROUND(IF(COUNTIF(C19,"*住宅*")&gt;0,E$29*E19/E$32,0),2)</f>
        <v>0</v>
      </c>
      <c r="M19" s="2450">
        <f>K19+L19</f>
        <v>0</v>
      </c>
      <c r="N19" s="2451"/>
      <c r="O19" s="2452"/>
      <c r="P19" s="2453">
        <f>N19+O19</f>
        <v>0</v>
      </c>
      <c r="R19" s="271">
        <f t="shared" ref="R19:S26" si="5">D19+H19</f>
        <v>17456.78</v>
      </c>
      <c r="S19" s="2178">
        <f t="shared" si="5"/>
        <v>168000</v>
      </c>
    </row>
    <row r="20" spans="1:19">
      <c r="A20" s="136"/>
      <c r="B20" s="114" t="s">
        <v>224</v>
      </c>
      <c r="C20" s="2735" t="s">
        <v>3057</v>
      </c>
      <c r="D20" s="110">
        <f t="shared" si="1"/>
        <v>31806.67</v>
      </c>
      <c r="E20" s="133">
        <f t="shared" si="2"/>
        <v>306100</v>
      </c>
      <c r="F20" s="3073">
        <f>'数据-基础表'!K5</f>
        <v>306100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31806.67</v>
      </c>
      <c r="S20" s="2178">
        <f t="shared" si="5"/>
        <v>306100</v>
      </c>
    </row>
    <row r="21" spans="1:19">
      <c r="A21" s="136"/>
      <c r="B21" s="114" t="s">
        <v>224</v>
      </c>
      <c r="C21" s="2735" t="s">
        <v>3058</v>
      </c>
      <c r="D21" s="110">
        <f t="shared" si="1"/>
        <v>31806.67</v>
      </c>
      <c r="E21" s="133">
        <f t="shared" si="2"/>
        <v>306100</v>
      </c>
      <c r="F21" s="3073">
        <f>F20</f>
        <v>306100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31806.67</v>
      </c>
      <c r="S21" s="2178">
        <f t="shared" si="5"/>
        <v>306100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29.25" thickBot="1">
      <c r="A27" s="136"/>
      <c r="B27" s="110"/>
      <c r="C27" s="126" t="s">
        <v>213</v>
      </c>
      <c r="D27" s="133">
        <f>SUM(D19:D26)</f>
        <v>81070.12</v>
      </c>
      <c r="E27" s="140">
        <f>IF(SUM(E19:E26)='数据-基础表'!BA5,SUM(E19:E26),IF(F27="地上面积有误","面积有误","地下面积有误"))</f>
        <v>780200</v>
      </c>
      <c r="F27" s="133">
        <f>IF(SUM(F19:F26)=E8,SUM(F19:F26),"地上面积有误")</f>
        <v>780200</v>
      </c>
      <c r="G27" s="111">
        <f>SUM(G19:G26)</f>
        <v>0</v>
      </c>
      <c r="H27" s="961">
        <f>SUM(H19:H26)</f>
        <v>0</v>
      </c>
      <c r="I27" s="962">
        <f>SUM(I19:I26)</f>
        <v>0</v>
      </c>
      <c r="J27" s="1895"/>
      <c r="K27" s="2458">
        <f>SUM(K19:K26)</f>
        <v>0</v>
      </c>
      <c r="L27" s="2459">
        <f>SUM(L19:L26)</f>
        <v>0</v>
      </c>
      <c r="M27" s="2460">
        <f>SUM(M19:M26)</f>
        <v>0</v>
      </c>
      <c r="N27" s="2458">
        <f t="shared" ref="N27:O27" si="10">SUM(N19:N26)</f>
        <v>0</v>
      </c>
      <c r="O27" s="2459">
        <f t="shared" si="10"/>
        <v>0</v>
      </c>
      <c r="P27" s="2461">
        <f>SUM(P19:P26)</f>
        <v>0</v>
      </c>
      <c r="R27" s="2182" t="str">
        <f>IF(SUM(R19:R26)=$D$3,SUM(R19:R26),SUM(R19:R26)&amp;"误差"&amp;ROUND(SUM(R19:R26)-$D$3,2))</f>
        <v>81070.12误差0.01</v>
      </c>
      <c r="S27" s="271">
        <f>IF(SUM(S19:S26)=$E$3,SUM(S19:S26),SUM(S19:S26)&amp;"误差"&amp;ROUND(SUM(S19:S26)-E3,2))</f>
        <v>780200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81070.12</v>
      </c>
      <c r="E31" s="1321">
        <f>E27+E30</f>
        <v>780200</v>
      </c>
      <c r="F31" s="1322">
        <f>F27+F30</f>
        <v>780200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77" priority="1" stopIfTrue="1" operator="containsText" text="面积有误">
      <formula>NOT(ISERROR(SEARCH("面积有误",E27)))</formula>
    </cfRule>
    <cfRule type="cellIs" dxfId="276" priority="3" stopIfTrue="1" operator="equal">
      <formula>"地下面积有误"</formula>
    </cfRule>
  </conditionalFormatting>
  <conditionalFormatting sqref="F27">
    <cfRule type="cellIs" dxfId="2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28" sqref="G28"/>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公寓</v>
      </c>
      <c r="B6" s="2214" t="str">
        <f>IF(A6=0,"","经营性")</f>
        <v>经营性</v>
      </c>
      <c r="C6" s="170" t="s">
        <v>1665</v>
      </c>
      <c r="D6" s="2185">
        <f>SUMIF(项目基本情况!D$15:I$15,C6,项目基本情况!D$18:I$18)</f>
        <v>50</v>
      </c>
      <c r="E6" s="2186">
        <f>IF(B6="","",SUMIF(项目基本情况!D$15:I$15,C6,项目基本情况!D$17:I$17))</f>
        <v>62671</v>
      </c>
      <c r="F6" s="171">
        <f>SUMIF(项目基本情况!D$15:I$15,C6,项目基本情况!D$19:I$19)</f>
        <v>50</v>
      </c>
      <c r="G6" s="172">
        <f>IF(ISERROR(ROUND(POWER(1+H6,D6-F6)*(POWER(1+H6,F6)-1)/(POWER(1+H6,D6)-1),3)),0,ROUND(POWER(1+H6,D6-F6)*(POWER(1+H6,F6)-1)/(POWER(1+H6,D6)-1),3))</f>
        <v>0</v>
      </c>
      <c r="H6" s="2736"/>
      <c r="I6" s="2736"/>
      <c r="J6" s="173"/>
      <c r="K6" s="176">
        <f>SUMIF('数据-汇总表'!C$19:C$33,'数据-取费表'!A6,'数据-汇总表'!E$19:E$33)</f>
        <v>168000</v>
      </c>
      <c r="L6" s="2737">
        <f>'[2]4个单元汇总表'!$B$23</f>
        <v>6000</v>
      </c>
      <c r="M6" s="174">
        <f t="shared" ref="M6:M14" si="0">ROUND(K6*L6/10000,0)</f>
        <v>100800</v>
      </c>
      <c r="N6" s="2738">
        <v>0</v>
      </c>
      <c r="O6" s="174">
        <f>IF($N$5="成新度","——",ROUND(M6*N6,0))</f>
        <v>0</v>
      </c>
      <c r="P6" s="175">
        <f>IF($N$5="成新度","——",M6-O6)</f>
        <v>100800</v>
      </c>
      <c r="Q6" s="2739">
        <f>'[2]4个单元汇总表'!$C$23</f>
        <v>0.35</v>
      </c>
      <c r="R6" s="176">
        <f>SUMIF('数据-汇总表'!C$19:C$33,A6,'数据-汇总表'!R$19:R$33)</f>
        <v>17456.78</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306100</v>
      </c>
      <c r="L7" s="2737">
        <f>'[2]4个单元汇总表'!$B$21</f>
        <v>5000</v>
      </c>
      <c r="M7" s="174">
        <f t="shared" si="0"/>
        <v>153050</v>
      </c>
      <c r="N7" s="2738">
        <v>0</v>
      </c>
      <c r="O7" s="174">
        <f t="shared" ref="O7:O14" si="3">IF($N$5="成新度","——",ROUND(M7*N7,0))</f>
        <v>0</v>
      </c>
      <c r="P7" s="175">
        <f t="shared" ref="P7:P14" si="4">IF($N$5="成新度","——",M7-O7)</f>
        <v>153050</v>
      </c>
      <c r="Q7" s="2739">
        <f>'[2]4个单元汇总表'!$C$21</f>
        <v>0.25</v>
      </c>
      <c r="R7" s="176">
        <f>SUMIF('数据-汇总表'!C$19:C$33,A7,'数据-汇总表'!R$19:R$33)</f>
        <v>31806.67</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'不动产比较法-商业租金'!C48</f>
        <v>6.6</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0">
        <v>7.0000000000000001E-3</v>
      </c>
      <c r="AL7" s="3381">
        <v>8.0000000000000004E-4</v>
      </c>
      <c r="AM7" s="3382">
        <v>8.0000000000000002E-3</v>
      </c>
      <c r="AN7" s="2244" t="s">
        <v>3072</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306100</v>
      </c>
      <c r="L8" s="2737">
        <f>'[2]4个单元汇总表'!$B$22</f>
        <v>5000</v>
      </c>
      <c r="M8" s="174">
        <f>ROUND(K8*L8/10000,0)</f>
        <v>153050</v>
      </c>
      <c r="N8" s="2738">
        <v>0</v>
      </c>
      <c r="O8" s="174">
        <f t="shared" si="3"/>
        <v>0</v>
      </c>
      <c r="P8" s="175">
        <f t="shared" si="4"/>
        <v>153050</v>
      </c>
      <c r="Q8" s="2739">
        <f>'[2]4个单元汇总表'!$C$22</f>
        <v>0.2</v>
      </c>
      <c r="R8" s="176">
        <f>SUMIF('数据-汇总表'!C$19:C$33,A8,'数据-汇总表'!R$19:R$33)</f>
        <v>31806.67</v>
      </c>
      <c r="S8" s="131">
        <f>IF('数据-汇总表'!$I$17="按面积比例",SUMIF('数据-汇总表'!C$19:C$33,A8,'数据-汇总表'!K$19:K$33),SUMIF('数据-汇总表'!C$19:C$33,A8,'数据-汇总表'!N$19:N$33))</f>
        <v>0</v>
      </c>
      <c r="T8" s="2111" t="str">
        <f t="shared" si="5"/>
        <v>0</v>
      </c>
      <c r="U8" s="177">
        <f>'不动产比较法-办公租金'!C49</f>
        <v>4</v>
      </c>
      <c r="V8" s="178">
        <v>0</v>
      </c>
      <c r="W8" s="3383">
        <v>0.05</v>
      </c>
      <c r="X8" s="2198"/>
      <c r="Y8" s="179">
        <v>1</v>
      </c>
      <c r="Z8" s="180"/>
      <c r="AA8" s="173"/>
      <c r="AB8" s="173"/>
      <c r="AC8" s="2201"/>
      <c r="AD8" s="181"/>
      <c r="AE8" s="958">
        <f t="shared" ca="1" si="6"/>
        <v>50</v>
      </c>
      <c r="AF8" s="138"/>
      <c r="AG8" s="1194">
        <f t="shared" si="7"/>
        <v>0</v>
      </c>
      <c r="AH8" s="138"/>
      <c r="AI8" s="184">
        <v>365</v>
      </c>
      <c r="AJ8" s="185"/>
      <c r="AK8" s="3380">
        <v>3.0000000000000001E-3</v>
      </c>
      <c r="AL8" s="3381">
        <v>2.9999999999999997E-4</v>
      </c>
      <c r="AM8" s="3382">
        <v>3.0000000000000001E-3</v>
      </c>
      <c r="AN8" s="2244" t="s">
        <v>3074</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0"/>
      <c r="AL9" s="3381"/>
      <c r="AM9" s="3382"/>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v>4000</v>
      </c>
      <c r="M14" s="174">
        <f t="shared" si="0"/>
        <v>0</v>
      </c>
      <c r="N14" s="191">
        <v>0</v>
      </c>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780200</v>
      </c>
      <c r="L16" s="203">
        <f>ROUND(M16*10000/SUM(K6:K14),0)</f>
        <v>5215</v>
      </c>
      <c r="M16" s="203">
        <f>SUM(M6:M14)</f>
        <v>406900</v>
      </c>
      <c r="N16" s="204">
        <f>ROUND(SUMPRODUCT(M6:M14,N6:N14)/M16,3)</f>
        <v>0</v>
      </c>
      <c r="O16" s="203">
        <f>SUM(O6:O14)</f>
        <v>0</v>
      </c>
      <c r="P16" s="203">
        <f>SUM(P6:P14)</f>
        <v>406900</v>
      </c>
      <c r="Q16" s="205">
        <f>ROUND(SUMPRODUCT(Q6:Q13,K6:K13)/SUMPRODUCT((Q6:Q13&gt;0)*(K6:K13)),2)</f>
        <v>0.25</v>
      </c>
      <c r="R16" s="2188">
        <f>SUM(R6:R13)</f>
        <v>81070.12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7">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6">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74" priority="12" stopIfTrue="1" operator="containsText" text="自行计算">
      <formula>NOT(ISERROR(SEARCH("自行计算",T6)))</formula>
    </cfRule>
    <cfRule type="containsText" dxfId="273" priority="13" stopIfTrue="1" operator="containsText" text="自行计算">
      <formula>NOT(ISERROR(SEARCH("自行计算",T6)))</formula>
    </cfRule>
  </conditionalFormatting>
  <conditionalFormatting sqref="T6:T13">
    <cfRule type="containsText" dxfId="272" priority="10" stopIfTrue="1" operator="containsText" text="自行计算">
      <formula>NOT(ISERROR(SEARCH("自行计算",T6)))</formula>
    </cfRule>
    <cfRule type="containsText" dxfId="271" priority="11" stopIfTrue="1" operator="containsText" text="自行计算">
      <formula>NOT(ISERROR(SEARCH("自行计算",T6)))</formula>
    </cfRule>
  </conditionalFormatting>
  <conditionalFormatting sqref="T12:T13">
    <cfRule type="containsText" dxfId="270" priority="4" stopIfTrue="1" operator="containsText" text="自行计算">
      <formula>NOT(ISERROR(SEARCH("自行计算",T12)))</formula>
    </cfRule>
    <cfRule type="containsText" dxfId="269" priority="5" stopIfTrue="1" operator="containsText" text="自行计算">
      <formula>NOT(ISERROR(SEARCH("自行计算",T12)))</formula>
    </cfRule>
  </conditionalFormatting>
  <conditionalFormatting sqref="T12:T13">
    <cfRule type="containsText" dxfId="268" priority="2" stopIfTrue="1" operator="containsText" text="自行计算">
      <formula>NOT(ISERROR(SEARCH("自行计算",T12)))</formula>
    </cfRule>
    <cfRule type="containsText" dxfId="267" priority="3" stopIfTrue="1" operator="containsText" text="自行计算">
      <formula>NOT(ISERROR(SEARCH("自行计算",T12)))</formula>
    </cfRule>
  </conditionalFormatting>
  <conditionalFormatting sqref="T6:T15">
    <cfRule type="expression" dxfId="26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5" t="s">
        <v>1651</v>
      </c>
      <c r="B1" s="3886"/>
      <c r="C1" s="3886"/>
      <c r="D1" s="3886"/>
      <c r="E1" s="3886"/>
      <c r="F1" s="3886"/>
      <c r="G1" s="3886"/>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3159</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3160</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3155</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3158</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3157</v>
      </c>
      <c r="D8" s="3124"/>
      <c r="E8" s="3124"/>
      <c r="F8" s="3128"/>
      <c r="G8" s="3128"/>
      <c r="H8" s="3112"/>
      <c r="I8" s="3112"/>
      <c r="J8" s="3112"/>
      <c r="K8" s="3112"/>
      <c r="L8" s="3112"/>
      <c r="M8" s="3112"/>
      <c r="N8" s="3112"/>
      <c r="O8" s="3112"/>
      <c r="P8" s="3112"/>
      <c r="Q8" s="3112"/>
      <c r="R8" s="3112"/>
    </row>
    <row r="9" spans="1:18" ht="81">
      <c r="A9" s="3117"/>
      <c r="B9" s="3120" t="s">
        <v>1644</v>
      </c>
      <c r="C9" s="3362" t="s">
        <v>3156</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3161</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780200</v>
      </c>
      <c r="C1" s="3181"/>
      <c r="D1" s="3181"/>
      <c r="E1" s="3181"/>
      <c r="F1" s="3181"/>
      <c r="G1" s="3182"/>
      <c r="H1" s="3182"/>
      <c r="I1" s="3182"/>
      <c r="J1" s="3182"/>
    </row>
    <row r="2" spans="1:10" ht="16.5">
      <c r="A2" s="3172" t="s">
        <v>2822</v>
      </c>
      <c r="B2" s="3172">
        <f>SUM(C14:C23)</f>
        <v>81070.11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416139</v>
      </c>
      <c r="C5" s="3172">
        <f ca="1">ROUND(B5*10000/$B$1,0)</f>
        <v>5334</v>
      </c>
      <c r="D5" s="3172">
        <f ca="1">ROUND(B5*10000/$B$2,0)</f>
        <v>51331</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780200</v>
      </c>
      <c r="C14" s="3178">
        <f>结果表!K38</f>
        <v>81070.11</v>
      </c>
      <c r="D14" s="3178">
        <f ca="1">结果表!C42</f>
        <v>416139</v>
      </c>
      <c r="E14" s="3178">
        <f ca="1">ROUND(D14*10000/B14,0)</f>
        <v>5334</v>
      </c>
      <c r="F14" s="3178">
        <f ca="1">ROUND(D14*10000/C14,0)</f>
        <v>51331</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activeCell="C14" sqref="C14"/>
    </sheetView>
  </sheetViews>
  <sheetFormatPr defaultRowHeight="13.5"/>
  <cols>
    <col min="1" max="1" width="17.75" customWidth="1"/>
    <col min="2" max="2" width="16.625" customWidth="1"/>
    <col min="3" max="3" width="16.5" customWidth="1"/>
    <col min="4" max="4" width="23.75" customWidth="1"/>
  </cols>
  <sheetData>
    <row r="1" spans="1:4" ht="45" customHeight="1">
      <c r="A1" s="3887" t="s">
        <v>3069</v>
      </c>
      <c r="B1" s="3887"/>
      <c r="C1" s="3887"/>
      <c r="D1" s="3887"/>
    </row>
    <row r="2" spans="1:4" ht="28.5">
      <c r="A2" s="3320"/>
      <c r="B2" s="3320" t="s">
        <v>3041</v>
      </c>
      <c r="C2" s="3320" t="s">
        <v>3042</v>
      </c>
      <c r="D2" s="3320" t="s">
        <v>3043</v>
      </c>
    </row>
    <row r="3" spans="1:4" ht="39" customHeight="1">
      <c r="A3" s="3320" t="s">
        <v>3044</v>
      </c>
      <c r="B3" s="3320">
        <f ca="1">土储要求测算表!J12</f>
        <v>14470</v>
      </c>
      <c r="C3" s="3320" t="s">
        <v>3045</v>
      </c>
      <c r="D3" s="3320" t="s">
        <v>3045</v>
      </c>
    </row>
    <row r="4" spans="1:4" ht="39" customHeight="1">
      <c r="A4" s="3320" t="s">
        <v>3046</v>
      </c>
      <c r="B4" s="3320">
        <f ca="1">土储要求测算表!J13</f>
        <v>13595</v>
      </c>
      <c r="C4" s="3320">
        <f>土储要求测算表!H10</f>
        <v>306100</v>
      </c>
      <c r="D4" s="3320">
        <f ca="1">ROUND(B4*C4/10000,2)</f>
        <v>416142.95</v>
      </c>
    </row>
    <row r="5" spans="1:4" ht="14.25">
      <c r="A5" s="3320" t="s">
        <v>3047</v>
      </c>
      <c r="B5" s="3320" t="s">
        <v>3048</v>
      </c>
      <c r="C5" s="3320">
        <f>C4</f>
        <v>306100</v>
      </c>
      <c r="D5" s="3321">
        <f ca="1">D4</f>
        <v>416142.95</v>
      </c>
    </row>
    <row r="6" spans="1:4" ht="14.25">
      <c r="A6" s="3322"/>
      <c r="B6" s="3322"/>
      <c r="C6" s="3322"/>
      <c r="D6" s="3322"/>
    </row>
    <row r="7" spans="1:4" ht="28.5">
      <c r="A7" s="3320"/>
      <c r="B7" s="3320" t="s">
        <v>3049</v>
      </c>
      <c r="C7" s="3320" t="s">
        <v>3050</v>
      </c>
      <c r="D7" s="3320" t="s">
        <v>3043</v>
      </c>
    </row>
    <row r="8" spans="1:4" ht="28.5">
      <c r="A8" s="3320" t="s">
        <v>3052</v>
      </c>
      <c r="B8" s="3320">
        <f ca="1">ROUND(B3*0.25,0)</f>
        <v>3618</v>
      </c>
      <c r="C8" s="3320" t="str">
        <f>C3</f>
        <v>——</v>
      </c>
      <c r="D8" s="3320" t="str">
        <f>D3</f>
        <v>——</v>
      </c>
    </row>
    <row r="9" spans="1:4" ht="28.5">
      <c r="A9" s="3320" t="s">
        <v>3053</v>
      </c>
      <c r="B9" s="3320">
        <f ca="1">ROUND(B4*0.25,0)</f>
        <v>3399</v>
      </c>
      <c r="C9" s="3320">
        <f>C4</f>
        <v>306100</v>
      </c>
      <c r="D9" s="3320">
        <f ca="1">ROUND(B9*C9/10000,2)</f>
        <v>104043.39</v>
      </c>
    </row>
    <row r="10" spans="1:4" ht="28.5">
      <c r="A10" s="3320" t="s">
        <v>3051</v>
      </c>
      <c r="B10" s="3320" t="s">
        <v>3048</v>
      </c>
      <c r="C10" s="3320">
        <f>C9</f>
        <v>306100</v>
      </c>
      <c r="D10" s="3321">
        <f ca="1">D9</f>
        <v>104043.39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6"/>
  <sheetViews>
    <sheetView workbookViewId="0">
      <selection activeCell="J14" sqref="J14"/>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9.625" style="3317" customWidth="1"/>
    <col min="8" max="8" width="9.875" style="3317" customWidth="1"/>
    <col min="9" max="9" width="14.5" style="3318" customWidth="1"/>
    <col min="10" max="10" width="11.875" style="3318" customWidth="1"/>
    <col min="11" max="11" width="7.75" style="3319" customWidth="1"/>
    <col min="12" max="14" width="12.5" style="3317" customWidth="1"/>
    <col min="15" max="15" width="5.625" style="3317" customWidth="1"/>
    <col min="16" max="16384" width="9" style="3317"/>
  </cols>
  <sheetData>
    <row r="1" spans="1:16" s="3272" customFormat="1" ht="14.25">
      <c r="A1" s="3888" t="s">
        <v>3166</v>
      </c>
      <c r="B1" s="3888"/>
      <c r="C1" s="3888"/>
      <c r="D1" s="3888"/>
      <c r="E1" s="3888"/>
      <c r="F1" s="3888"/>
      <c r="G1" s="3888"/>
      <c r="H1" s="3888"/>
      <c r="I1" s="3889"/>
      <c r="J1" s="3888"/>
      <c r="K1" s="3889"/>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0.79410000000000003</v>
      </c>
      <c r="I3" s="3281">
        <f>基准地价商业!C24</f>
        <v>1.0609999999999999</v>
      </c>
      <c r="J3" s="3282">
        <f t="shared" ref="J3:J4" ca="1" si="0">ROUND((B3*C3+D3)*E3*F3*G3*H3*I3,0)</f>
        <v>11946</v>
      </c>
      <c r="K3" s="3283">
        <f t="shared" ref="K3:K10" ca="1" si="1">J3*0.25</f>
        <v>2986.5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0.79559999999999997</v>
      </c>
      <c r="I4" s="3281">
        <f>基准地价办公!C24</f>
        <v>1.0591999999999999</v>
      </c>
      <c r="J4" s="3282">
        <f t="shared" ca="1" si="0"/>
        <v>11889</v>
      </c>
      <c r="K4" s="3283">
        <f t="shared" ca="1" si="1"/>
        <v>2972.25</v>
      </c>
      <c r="L4" s="3285"/>
      <c r="M4" s="3371"/>
      <c r="N4" s="3371"/>
    </row>
    <row r="5" spans="1:16" s="3284" customFormat="1" ht="10.5">
      <c r="A5" s="3389" t="s">
        <v>3227</v>
      </c>
      <c r="B5" s="3279">
        <f>B4</f>
        <v>10110</v>
      </c>
      <c r="C5" s="3280">
        <f>C4</f>
        <v>1</v>
      </c>
      <c r="D5" s="3389">
        <f>D4</f>
        <v>-6</v>
      </c>
      <c r="E5" s="3281">
        <f>基准地价商务公寓!C18</f>
        <v>1</v>
      </c>
      <c r="F5" s="3281">
        <f>F4</f>
        <v>1.3963000000000001</v>
      </c>
      <c r="G5" s="3281">
        <f ca="1">G4</f>
        <v>1</v>
      </c>
      <c r="H5" s="3281">
        <f>H4</f>
        <v>0.79559999999999997</v>
      </c>
      <c r="I5" s="3281">
        <f>I4</f>
        <v>1.0591999999999999</v>
      </c>
      <c r="J5" s="3282">
        <f ca="1">基准地价商务公寓!C29</f>
        <v>11889</v>
      </c>
      <c r="K5" s="3283"/>
      <c r="L5" s="3371"/>
      <c r="M5" s="3371"/>
      <c r="N5" s="3371"/>
    </row>
    <row r="6" spans="1:16" s="3272" customFormat="1" ht="14.25">
      <c r="A6" s="3890" t="s">
        <v>3032</v>
      </c>
      <c r="B6" s="3890"/>
      <c r="C6" s="3890"/>
      <c r="D6" s="3890"/>
      <c r="E6" s="3890"/>
      <c r="F6" s="3890"/>
      <c r="G6" s="3890"/>
      <c r="H6" s="3890"/>
      <c r="I6" s="3890"/>
      <c r="J6" s="3890" t="s">
        <v>3008</v>
      </c>
      <c r="K6" s="3890"/>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剩余法商业!C8</f>
        <v>32600</v>
      </c>
      <c r="C9" s="3290">
        <v>0</v>
      </c>
      <c r="D9" s="3289">
        <v>0</v>
      </c>
      <c r="E9" s="3289">
        <v>0</v>
      </c>
      <c r="F9" s="3289">
        <v>0</v>
      </c>
      <c r="G9" s="3289">
        <v>0</v>
      </c>
      <c r="H9" s="3290">
        <v>0</v>
      </c>
      <c r="I9" s="3292">
        <f t="shared" ref="I9:I10" si="2">B9</f>
        <v>32600</v>
      </c>
      <c r="J9" s="3296">
        <f ca="1">剩余法商业!C37</f>
        <v>15551</v>
      </c>
      <c r="K9" s="3294">
        <f t="shared" ca="1" si="1"/>
        <v>3887.75</v>
      </c>
    </row>
    <row r="10" spans="1:16" s="3272" customFormat="1" ht="14.25">
      <c r="A10" s="3274" t="s">
        <v>3020</v>
      </c>
      <c r="B10" s="3289">
        <f>剩余法办公!C8</f>
        <v>29537</v>
      </c>
      <c r="C10" s="3297">
        <f>H10</f>
        <v>306100</v>
      </c>
      <c r="D10" s="3291">
        <v>0</v>
      </c>
      <c r="E10" s="3297">
        <v>0</v>
      </c>
      <c r="F10" s="3297">
        <v>0</v>
      </c>
      <c r="G10" s="3297">
        <v>0</v>
      </c>
      <c r="H10" s="3297">
        <f>'数据-汇总表'!F20</f>
        <v>306100</v>
      </c>
      <c r="I10" s="3292">
        <f t="shared" si="2"/>
        <v>29537</v>
      </c>
      <c r="J10" s="3296">
        <f ca="1">剩余法办公!C37</f>
        <v>14326</v>
      </c>
      <c r="K10" s="3294">
        <f t="shared" ca="1" si="1"/>
        <v>3581.5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3226</v>
      </c>
      <c r="B12" s="3300">
        <f ca="1">J3</f>
        <v>11946</v>
      </c>
      <c r="C12" s="3384">
        <v>0.3</v>
      </c>
      <c r="D12" s="3301">
        <f ca="1">J9</f>
        <v>15551</v>
      </c>
      <c r="E12" s="3302">
        <f t="shared" ref="E12:E13" si="3">1-C12</f>
        <v>0.7</v>
      </c>
      <c r="F12" s="3291"/>
      <c r="G12" s="3302"/>
      <c r="H12" s="3297">
        <v>0</v>
      </c>
      <c r="I12" s="3303">
        <v>0</v>
      </c>
      <c r="J12" s="3296">
        <f ca="1">ROUND(B12*C12+D12*E12,0)</f>
        <v>14470</v>
      </c>
      <c r="K12" s="3304">
        <f ca="1">ROUND(J12*0.25,0)</f>
        <v>3618</v>
      </c>
      <c r="L12" s="3305"/>
      <c r="M12" s="3305">
        <v>12385</v>
      </c>
      <c r="N12" s="3305"/>
      <c r="O12" s="3305"/>
    </row>
    <row r="13" spans="1:16" s="3272" customFormat="1" ht="14.25">
      <c r="A13" s="3274" t="s">
        <v>1665</v>
      </c>
      <c r="B13" s="3300">
        <f ca="1">J4</f>
        <v>11889</v>
      </c>
      <c r="C13" s="3384">
        <v>0.3</v>
      </c>
      <c r="D13" s="3301">
        <f ca="1">J10</f>
        <v>14326</v>
      </c>
      <c r="E13" s="3302">
        <f t="shared" si="3"/>
        <v>0.7</v>
      </c>
      <c r="F13" s="3291"/>
      <c r="G13" s="3302"/>
      <c r="H13" s="3297">
        <f>H10</f>
        <v>306100</v>
      </c>
      <c r="I13" s="3303">
        <f ca="1">ROUND(J13*H13/10000,2)</f>
        <v>416142.95</v>
      </c>
      <c r="J13" s="3296">
        <f ca="1">ROUND(B13*C13+D13*E13,0)</f>
        <v>13595</v>
      </c>
      <c r="K13" s="3304">
        <f ca="1">ROUND(J13*0.25,0)</f>
        <v>3399</v>
      </c>
      <c r="L13" s="3368">
        <f ca="1">K13*H13/10000</f>
        <v>104043.39</v>
      </c>
      <c r="M13" s="3368">
        <v>11192</v>
      </c>
      <c r="N13" s="3368"/>
      <c r="P13" s="3306"/>
    </row>
    <row r="14" spans="1:16" s="3272" customFormat="1" ht="14.25">
      <c r="A14" s="3780" t="s">
        <v>3227</v>
      </c>
      <c r="B14" s="3781">
        <f ca="1">J5</f>
        <v>11889</v>
      </c>
      <c r="C14" s="3782">
        <v>0.3</v>
      </c>
      <c r="D14" s="3783">
        <f ca="1">剩余法商务公寓!B3</f>
        <v>21538</v>
      </c>
      <c r="E14" s="3784">
        <v>0.7</v>
      </c>
      <c r="F14" s="3785"/>
      <c r="G14" s="3784"/>
      <c r="H14" s="3786">
        <f>'数据-汇总表'!F19</f>
        <v>168000</v>
      </c>
      <c r="I14" s="3303">
        <f ca="1">ROUND(J14*H14/10000,2)</f>
        <v>313202.40000000002</v>
      </c>
      <c r="J14" s="3296">
        <f ca="1">ROUND(B14*C14+D14*E14,0)</f>
        <v>18643</v>
      </c>
      <c r="K14" s="3304">
        <f ca="1">ROUND(J14*0.25,0)</f>
        <v>4661</v>
      </c>
      <c r="L14" s="3368">
        <f ca="1">K14*H14/10000</f>
        <v>78304.800000000003</v>
      </c>
      <c r="M14" s="3368"/>
      <c r="N14" s="3368"/>
      <c r="P14" s="3306"/>
    </row>
    <row r="15" spans="1:16" s="3272" customFormat="1" ht="14.25">
      <c r="A15" s="3307" t="s">
        <v>3026</v>
      </c>
      <c r="B15" s="3308"/>
      <c r="C15" s="3308"/>
      <c r="D15" s="3308"/>
      <c r="E15" s="3308"/>
      <c r="F15" s="3308"/>
      <c r="G15" s="3308"/>
      <c r="H15" s="3308">
        <f>H13+H14</f>
        <v>474100</v>
      </c>
      <c r="I15" s="3309">
        <f ca="1">I14+I13</f>
        <v>729345.35000000009</v>
      </c>
      <c r="J15" s="3308"/>
      <c r="K15" s="3310"/>
      <c r="L15" s="3309">
        <f ca="1">L14+L13</f>
        <v>182348.19</v>
      </c>
    </row>
    <row r="16" spans="1:16" s="3272" customFormat="1" ht="14.25">
      <c r="A16" s="3276" t="s">
        <v>3029</v>
      </c>
      <c r="B16" s="3311"/>
      <c r="C16" s="3311"/>
      <c r="D16" s="3311"/>
      <c r="E16" s="3311"/>
      <c r="F16" s="3311"/>
      <c r="G16" s="3311"/>
      <c r="H16" s="3311"/>
      <c r="I16" s="3303">
        <f ca="1">ROUND((K13*H13+H14*K14)/10000,2)</f>
        <v>182348.19</v>
      </c>
      <c r="J16" s="3311"/>
      <c r="K16" s="3312"/>
    </row>
    <row r="17" spans="1:11" s="3272" customFormat="1" ht="14.25">
      <c r="A17" s="3276" t="s">
        <v>3030</v>
      </c>
      <c r="B17" s="3311"/>
      <c r="C17" s="3311"/>
      <c r="D17" s="3311"/>
      <c r="E17" s="3311"/>
      <c r="F17" s="3311"/>
      <c r="G17" s="3311"/>
      <c r="H17" s="3311"/>
      <c r="I17" s="3313">
        <v>811368.04</v>
      </c>
      <c r="J17" s="3311"/>
      <c r="K17" s="3312"/>
    </row>
    <row r="18" spans="1:11" s="3272" customFormat="1" ht="14.25">
      <c r="A18" s="3276" t="s">
        <v>3031</v>
      </c>
      <c r="B18" s="3311"/>
      <c r="C18" s="3311"/>
      <c r="D18" s="3311"/>
      <c r="E18" s="3311"/>
      <c r="F18" s="3311"/>
      <c r="G18" s="3311"/>
      <c r="H18" s="3311"/>
      <c r="I18" s="3333">
        <f ca="1">I16+I17</f>
        <v>993716.23</v>
      </c>
      <c r="J18" s="3311"/>
      <c r="K18" s="3312"/>
    </row>
    <row r="19" spans="1:11" s="3314" customFormat="1">
      <c r="I19" s="3315"/>
      <c r="J19" s="3315"/>
      <c r="K19" s="3316"/>
    </row>
    <row r="20" spans="1:11">
      <c r="I20" s="3318">
        <f ca="1">I18/H15*10000</f>
        <v>20960.055473528788</v>
      </c>
    </row>
    <row r="22" spans="1:11">
      <c r="I22" s="3367"/>
    </row>
    <row r="23" spans="1:11">
      <c r="H23" s="3317" t="s">
        <v>3241</v>
      </c>
      <c r="I23" s="3318" t="s">
        <v>3242</v>
      </c>
      <c r="J23" s="3318">
        <v>0</v>
      </c>
    </row>
    <row r="24" spans="1:11">
      <c r="G24" s="3795" t="s">
        <v>3243</v>
      </c>
      <c r="H24" s="3794">
        <f ca="1">I18</f>
        <v>993716.23</v>
      </c>
      <c r="I24" s="3318">
        <v>547414</v>
      </c>
      <c r="J24" s="3367">
        <f ca="1">H24+I24</f>
        <v>1541130.23</v>
      </c>
    </row>
    <row r="25" spans="1:11">
      <c r="G25" s="3795" t="s">
        <v>3244</v>
      </c>
      <c r="H25" s="3317">
        <f>H15</f>
        <v>474100</v>
      </c>
      <c r="I25" s="3318">
        <v>363000</v>
      </c>
      <c r="J25" s="3318">
        <f>H25+I25</f>
        <v>837100</v>
      </c>
    </row>
    <row r="26" spans="1:11">
      <c r="J26" s="3318">
        <f ca="1">J24/J25*10000</f>
        <v>18410.347987098314</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5" t="str">
        <f>项目基本情况!K2</f>
        <v>北京市储备国有建设用地使用权</v>
      </c>
      <c r="B2" s="3936"/>
      <c r="C2" s="3937"/>
      <c r="D2" s="3937"/>
      <c r="E2" s="3937"/>
      <c r="F2" s="3937"/>
      <c r="G2" s="3936"/>
      <c r="H2" s="3936"/>
      <c r="I2" s="3938"/>
      <c r="J2" s="1910"/>
      <c r="K2" s="1909"/>
      <c r="L2" s="1909"/>
      <c r="M2" s="1909"/>
      <c r="N2" s="1909"/>
      <c r="O2" s="1909"/>
      <c r="P2" s="1909"/>
      <c r="Q2" s="1909"/>
      <c r="R2" s="1909"/>
      <c r="S2" s="1909"/>
      <c r="T2" s="1909"/>
      <c r="U2" s="1909"/>
      <c r="V2" s="1909"/>
    </row>
    <row r="3" spans="1:22" ht="14.25">
      <c r="A3" s="3928" t="s">
        <v>296</v>
      </c>
      <c r="B3" s="3929"/>
      <c r="C3" s="3929"/>
      <c r="D3" s="3929"/>
      <c r="E3" s="3929"/>
      <c r="F3" s="3929"/>
      <c r="G3" s="3929"/>
      <c r="H3" s="3929"/>
      <c r="I3" s="3929"/>
      <c r="J3" s="1910"/>
      <c r="K3" s="1909"/>
      <c r="L3" s="1909"/>
      <c r="M3" s="1909"/>
      <c r="N3" s="1909"/>
      <c r="O3" s="1909"/>
      <c r="P3" s="1909"/>
      <c r="Q3" s="1909"/>
      <c r="R3" s="1909"/>
      <c r="S3" s="1909"/>
      <c r="T3" s="1909"/>
      <c r="U3" s="1909"/>
      <c r="V3" s="1909"/>
    </row>
    <row r="4" spans="1:22" ht="14.25">
      <c r="A4" s="254" t="s">
        <v>297</v>
      </c>
      <c r="B4" s="255" t="s">
        <v>298</v>
      </c>
      <c r="C4" s="256" t="s">
        <v>3153</v>
      </c>
      <c r="D4" s="256" t="s">
        <v>3154</v>
      </c>
      <c r="E4" s="3894" t="s">
        <v>299</v>
      </c>
      <c r="F4" s="3895"/>
      <c r="G4" s="3895"/>
      <c r="H4" s="3895"/>
      <c r="I4" s="3930"/>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893" t="s">
        <v>300</v>
      </c>
      <c r="B5" s="3922">
        <v>25</v>
      </c>
      <c r="C5" s="3920">
        <v>3</v>
      </c>
      <c r="D5" s="3924">
        <v>7</v>
      </c>
      <c r="E5" s="257" t="s">
        <v>301</v>
      </c>
      <c r="F5" s="258"/>
      <c r="G5" s="258"/>
      <c r="H5" s="258"/>
      <c r="I5" s="259"/>
      <c r="J5" s="1910"/>
      <c r="K5" s="1909"/>
      <c r="L5" s="1909"/>
      <c r="M5" s="1909"/>
      <c r="N5" s="1909"/>
      <c r="O5" s="1909"/>
      <c r="P5" s="1909"/>
      <c r="Q5" s="1909"/>
      <c r="R5" s="1909"/>
      <c r="S5" s="1909"/>
      <c r="T5" s="1909"/>
      <c r="U5" s="1909"/>
      <c r="V5" s="1909"/>
    </row>
    <row r="6" spans="1:22" ht="14.25">
      <c r="A6" s="3893"/>
      <c r="B6" s="3922"/>
      <c r="C6" s="3923"/>
      <c r="D6" s="3924"/>
      <c r="E6" s="257" t="s">
        <v>302</v>
      </c>
      <c r="F6" s="258"/>
      <c r="G6" s="258"/>
      <c r="H6" s="258"/>
      <c r="I6" s="259"/>
      <c r="J6" s="1910"/>
      <c r="K6" s="1909"/>
      <c r="L6" s="1909"/>
      <c r="M6" s="1909"/>
      <c r="N6" s="1909"/>
      <c r="O6" s="1909"/>
      <c r="P6" s="1909"/>
      <c r="Q6" s="1909"/>
      <c r="R6" s="1909"/>
      <c r="S6" s="1909"/>
      <c r="T6" s="1909"/>
      <c r="U6" s="1909"/>
      <c r="V6" s="1909"/>
    </row>
    <row r="7" spans="1:22" ht="14.25">
      <c r="A7" s="3893"/>
      <c r="B7" s="3922"/>
      <c r="C7" s="3921"/>
      <c r="D7" s="3924"/>
      <c r="E7" s="257" t="s">
        <v>303</v>
      </c>
      <c r="F7" s="258"/>
      <c r="G7" s="258"/>
      <c r="H7" s="258"/>
      <c r="I7" s="259"/>
      <c r="J7" s="1910"/>
      <c r="K7" s="1909"/>
      <c r="L7" s="1909"/>
      <c r="M7" s="1909"/>
      <c r="N7" s="1909"/>
      <c r="O7" s="1909"/>
      <c r="P7" s="1909"/>
      <c r="Q7" s="1909"/>
      <c r="R7" s="1909"/>
      <c r="S7" s="1909"/>
      <c r="T7" s="1909"/>
      <c r="U7" s="1909"/>
      <c r="V7" s="1909"/>
    </row>
    <row r="8" spans="1:22" ht="14.25">
      <c r="A8" s="3893" t="s">
        <v>304</v>
      </c>
      <c r="B8" s="3922">
        <v>15</v>
      </c>
      <c r="C8" s="3920"/>
      <c r="D8" s="3924"/>
      <c r="E8" s="257" t="s">
        <v>305</v>
      </c>
      <c r="F8" s="258"/>
      <c r="G8" s="258"/>
      <c r="H8" s="258"/>
      <c r="I8" s="259"/>
      <c r="J8" s="1910"/>
      <c r="K8" s="1909"/>
      <c r="L8" s="1909"/>
      <c r="M8" s="1909"/>
      <c r="N8" s="1909"/>
      <c r="O8" s="1909"/>
      <c r="P8" s="1909"/>
      <c r="Q8" s="1909"/>
      <c r="R8" s="1909"/>
      <c r="S8" s="1909"/>
      <c r="T8" s="1909"/>
      <c r="U8" s="1909"/>
      <c r="V8" s="1909"/>
    </row>
    <row r="9" spans="1:22" ht="14.25">
      <c r="A9" s="3893"/>
      <c r="B9" s="3922"/>
      <c r="C9" s="3921"/>
      <c r="D9" s="3924"/>
      <c r="E9" s="257" t="s">
        <v>306</v>
      </c>
      <c r="F9" s="258"/>
      <c r="G9" s="258"/>
      <c r="H9" s="258"/>
      <c r="I9" s="259"/>
      <c r="J9" s="1910"/>
      <c r="K9" s="1909"/>
      <c r="L9" s="1909"/>
      <c r="M9" s="1909"/>
      <c r="N9" s="1909"/>
      <c r="O9" s="1909"/>
      <c r="P9" s="1909"/>
      <c r="Q9" s="1909"/>
      <c r="R9" s="1909"/>
      <c r="S9" s="1909"/>
      <c r="T9" s="1909"/>
      <c r="U9" s="1909"/>
      <c r="V9" s="1909"/>
    </row>
    <row r="10" spans="1:22" ht="14.25">
      <c r="A10" s="3893" t="s">
        <v>307</v>
      </c>
      <c r="B10" s="3922">
        <v>15</v>
      </c>
      <c r="C10" s="3920"/>
      <c r="D10" s="3924"/>
      <c r="E10" s="257" t="s">
        <v>308</v>
      </c>
      <c r="F10" s="258"/>
      <c r="G10" s="258"/>
      <c r="H10" s="258"/>
      <c r="I10" s="259"/>
      <c r="J10" s="1910"/>
      <c r="K10" s="1909"/>
      <c r="L10" s="1909"/>
      <c r="M10" s="1909"/>
      <c r="N10" s="1909"/>
      <c r="O10" s="1909"/>
      <c r="P10" s="1909"/>
      <c r="Q10" s="1909"/>
      <c r="R10" s="1909"/>
      <c r="S10" s="1909"/>
      <c r="T10" s="1909"/>
      <c r="U10" s="1909"/>
      <c r="V10" s="1909"/>
    </row>
    <row r="11" spans="1:22" ht="14.25">
      <c r="A11" s="3893"/>
      <c r="B11" s="3922"/>
      <c r="C11" s="3921"/>
      <c r="D11" s="3924"/>
      <c r="E11" s="257" t="s">
        <v>309</v>
      </c>
      <c r="F11" s="258"/>
      <c r="G11" s="258"/>
      <c r="H11" s="258"/>
      <c r="I11" s="259"/>
      <c r="J11" s="1910"/>
      <c r="K11" s="1909"/>
      <c r="L11" s="1909"/>
      <c r="M11" s="1909"/>
      <c r="N11" s="1909"/>
      <c r="O11" s="1909"/>
      <c r="P11" s="1909"/>
      <c r="Q11" s="1909"/>
      <c r="R11" s="1909"/>
      <c r="S11" s="1909"/>
      <c r="T11" s="1909"/>
      <c r="U11" s="1909"/>
      <c r="V11" s="1909"/>
    </row>
    <row r="12" spans="1:22" ht="14.25">
      <c r="A12" s="3893" t="s">
        <v>310</v>
      </c>
      <c r="B12" s="3922">
        <v>15</v>
      </c>
      <c r="C12" s="3920"/>
      <c r="D12" s="3924"/>
      <c r="E12" s="257" t="s">
        <v>311</v>
      </c>
      <c r="F12" s="258"/>
      <c r="G12" s="258"/>
      <c r="H12" s="258"/>
      <c r="I12" s="259"/>
      <c r="J12" s="1910"/>
      <c r="K12" s="1909"/>
      <c r="L12" s="1909"/>
      <c r="M12" s="1909"/>
      <c r="N12" s="1909"/>
      <c r="O12" s="1909"/>
      <c r="P12" s="1909"/>
      <c r="Q12" s="1909"/>
      <c r="R12" s="1909"/>
      <c r="S12" s="1909"/>
      <c r="T12" s="1909"/>
      <c r="U12" s="1909"/>
      <c r="V12" s="1909"/>
    </row>
    <row r="13" spans="1:22" ht="14.25">
      <c r="A13" s="3893"/>
      <c r="B13" s="3922"/>
      <c r="C13" s="3921"/>
      <c r="D13" s="3924"/>
      <c r="E13" s="257" t="s">
        <v>312</v>
      </c>
      <c r="F13" s="258"/>
      <c r="G13" s="258"/>
      <c r="H13" s="258"/>
      <c r="I13" s="259"/>
      <c r="J13" s="1910"/>
      <c r="K13" s="1909"/>
      <c r="L13" s="1909"/>
      <c r="M13" s="1909"/>
      <c r="N13" s="1909"/>
      <c r="O13" s="1909"/>
      <c r="P13" s="1909"/>
      <c r="Q13" s="1909"/>
      <c r="R13" s="1909"/>
      <c r="S13" s="1909"/>
      <c r="T13" s="1909"/>
      <c r="U13" s="1909"/>
      <c r="V13" s="1909"/>
    </row>
    <row r="14" spans="1:22" ht="14.25">
      <c r="A14" s="3893" t="s">
        <v>313</v>
      </c>
      <c r="B14" s="3922">
        <v>30</v>
      </c>
      <c r="C14" s="3920"/>
      <c r="D14" s="3924"/>
      <c r="E14" s="257" t="s">
        <v>314</v>
      </c>
      <c r="F14" s="258"/>
      <c r="G14" s="258"/>
      <c r="H14" s="258"/>
      <c r="I14" s="259"/>
      <c r="J14" s="1910"/>
      <c r="K14" s="1909"/>
      <c r="L14" s="1909"/>
      <c r="M14" s="1909"/>
      <c r="N14" s="1909"/>
      <c r="O14" s="1909"/>
      <c r="P14" s="1909"/>
      <c r="Q14" s="1909"/>
      <c r="R14" s="1909"/>
      <c r="S14" s="1909"/>
      <c r="T14" s="1909"/>
      <c r="U14" s="1909"/>
      <c r="V14" s="1909"/>
    </row>
    <row r="15" spans="1:22" ht="14.25">
      <c r="A15" s="3893"/>
      <c r="B15" s="3922"/>
      <c r="C15" s="3923"/>
      <c r="D15" s="3924"/>
      <c r="E15" s="257" t="s">
        <v>315</v>
      </c>
      <c r="F15" s="258"/>
      <c r="G15" s="258"/>
      <c r="H15" s="258"/>
      <c r="I15" s="259"/>
      <c r="J15" s="1910"/>
      <c r="K15" s="1909"/>
      <c r="L15" s="1909"/>
      <c r="M15" s="1909"/>
      <c r="N15" s="1909"/>
      <c r="O15" s="1909"/>
      <c r="P15" s="1909"/>
      <c r="Q15" s="1909"/>
      <c r="R15" s="1909"/>
      <c r="S15" s="1909"/>
      <c r="T15" s="1909"/>
      <c r="U15" s="1909"/>
      <c r="V15" s="1909"/>
    </row>
    <row r="16" spans="1:22" ht="14.25">
      <c r="A16" s="3893"/>
      <c r="B16" s="3922"/>
      <c r="C16" s="3921"/>
      <c r="D16" s="3924"/>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25" t="s">
        <v>2956</v>
      </c>
      <c r="F18" s="3926"/>
      <c r="G18" s="3926"/>
      <c r="H18" s="3926"/>
      <c r="I18" s="3926"/>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363922</v>
      </c>
      <c r="D19" s="267">
        <f ca="1">SUMIF(INDIRECT("'"&amp;D4&amp;"'"&amp;"!A:A"),结果表!B19,INDIRECT("'"&amp;D4&amp;"'"&amp;"!B:B"))</f>
        <v>438518</v>
      </c>
      <c r="E19" s="264" t="s">
        <v>321</v>
      </c>
      <c r="F19" s="265" t="s">
        <v>320</v>
      </c>
      <c r="G19" s="268">
        <f ca="1">ROUND(C19*$C$18+D19*$D$18,0)</f>
        <v>416139</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11889</v>
      </c>
      <c r="D20" s="273">
        <f ca="1">SUMIF(INDIRECT("'"&amp;D4&amp;"'"&amp;"!A:A"),结果表!B20,INDIRECT("'"&amp;D4&amp;"'"&amp;"!B:B"))</f>
        <v>14326</v>
      </c>
      <c r="E20" s="270"/>
      <c r="F20" s="271" t="s">
        <v>323</v>
      </c>
      <c r="G20" s="274">
        <f ca="1">ROUND(C20*$C$18+D20*$D$18,0)</f>
        <v>13595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44890</v>
      </c>
      <c r="D21" s="148">
        <f ca="1">SUMIF(INDIRECT("'"&amp;D4&amp;"'"&amp;"!A:A"),结果表!B21,INDIRECT("'"&amp;D4&amp;"'"&amp;"!B:B"))</f>
        <v>137870</v>
      </c>
      <c r="E21" s="270"/>
      <c r="F21" s="276" t="s">
        <v>325</v>
      </c>
      <c r="G21" s="278">
        <f ca="1">ROUND(C21*$C$18+D21*$D$18,0)</f>
        <v>109976</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0.20497798978902071</v>
      </c>
      <c r="E22" s="280"/>
      <c r="F22" s="281"/>
      <c r="G22" s="282">
        <f ca="1">ROUND(G19/('数据-汇总表'!D3/666.67),0)</f>
        <v>3422</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899"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900"/>
      <c r="B25" s="1273" t="s">
        <v>329</v>
      </c>
      <c r="C25" s="286">
        <f>IF(B30=0,0,C30)</f>
        <v>0</v>
      </c>
      <c r="D25" s="287"/>
      <c r="E25" s="307"/>
      <c r="F25" s="307"/>
      <c r="G25" s="307"/>
      <c r="H25" s="307"/>
      <c r="I25" s="307"/>
      <c r="J25" s="1909"/>
      <c r="K25" s="1207" t="str">
        <f ca="1">项目基本情况!B16&amp;"国有建设用地使用权价格："&amp;O38&amp;"万元"</f>
        <v>储备国有建设用地使用权价格：416139万元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大写金额：人民币肆拾壹亿陆仟壹佰叁拾玖万元整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单位面积地价：51331元/平方米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楼面地价：5334元/平方米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27" t="s">
        <v>2958</v>
      </c>
      <c r="B31" s="3927"/>
      <c r="C31" s="3927"/>
      <c r="D31" s="3927"/>
      <c r="E31" s="3927"/>
      <c r="F31" s="3927"/>
      <c r="G31" s="3927"/>
      <c r="H31" s="3927"/>
      <c r="I31" s="3927"/>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416139</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5334</v>
      </c>
      <c r="D33" s="1332" t="s">
        <v>1679</v>
      </c>
      <c r="E33" s="3899"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51331</v>
      </c>
      <c r="D34" s="1334" t="s">
        <v>1679</v>
      </c>
      <c r="E34" s="3943"/>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3422</v>
      </c>
      <c r="D35" s="1337" t="s">
        <v>1681</v>
      </c>
      <c r="E35" s="3944"/>
      <c r="F35" s="297" t="s">
        <v>340</v>
      </c>
      <c r="G35" s="968"/>
      <c r="H35" s="967" t="s">
        <v>341</v>
      </c>
      <c r="I35" s="307"/>
      <c r="J35" s="1909"/>
      <c r="K35" s="3917" t="s">
        <v>348</v>
      </c>
      <c r="L35" s="3917" t="s">
        <v>349</v>
      </c>
      <c r="M35" s="1216" t="s">
        <v>350</v>
      </c>
      <c r="N35" s="3917" t="s">
        <v>351</v>
      </c>
      <c r="O35" s="3917" t="s">
        <v>352</v>
      </c>
      <c r="P35" s="1909"/>
      <c r="V35" s="1909"/>
    </row>
    <row r="36" spans="1:26" ht="16.5" customHeight="1">
      <c r="A36" s="299" t="s">
        <v>342</v>
      </c>
      <c r="B36" s="300" t="s">
        <v>331</v>
      </c>
      <c r="C36" s="301" t="s">
        <v>343</v>
      </c>
      <c r="D36" s="301" t="s">
        <v>344</v>
      </c>
      <c r="E36" s="302" t="s">
        <v>345</v>
      </c>
      <c r="F36" s="307"/>
      <c r="G36" s="307"/>
      <c r="H36" s="307"/>
      <c r="I36" s="307"/>
      <c r="J36" s="1911"/>
      <c r="K36" s="3918"/>
      <c r="L36" s="3918"/>
      <c r="M36" s="1218" t="s">
        <v>353</v>
      </c>
      <c r="N36" s="3918"/>
      <c r="O36" s="3918"/>
      <c r="P36" s="1909"/>
      <c r="V36" s="1909"/>
    </row>
    <row r="37" spans="1:26" ht="16.5" customHeight="1" thickBot="1">
      <c r="A37" s="1212" t="s">
        <v>346</v>
      </c>
      <c r="B37" s="303"/>
      <c r="C37" s="290"/>
      <c r="D37" s="290"/>
      <c r="E37" s="291"/>
      <c r="F37" s="307"/>
      <c r="G37" s="307"/>
      <c r="H37" s="307"/>
      <c r="I37" s="307"/>
      <c r="J37" s="1911"/>
      <c r="K37" s="3919"/>
      <c r="L37" s="3919"/>
      <c r="M37" s="1219"/>
      <c r="N37" s="3919"/>
      <c r="O37" s="3919"/>
      <c r="P37" s="1909"/>
      <c r="V37" s="1909"/>
    </row>
    <row r="38" spans="1:26" ht="16.5" customHeight="1" thickBot="1">
      <c r="A38" s="1212" t="s">
        <v>347</v>
      </c>
      <c r="B38" s="303"/>
      <c r="C38" s="290"/>
      <c r="D38" s="290"/>
      <c r="E38" s="291"/>
      <c r="F38" s="307"/>
      <c r="G38" s="307"/>
      <c r="H38" s="307"/>
      <c r="I38" s="307"/>
      <c r="J38" s="1911"/>
      <c r="K38" s="1220">
        <f>'数据-汇总表'!D3</f>
        <v>81070.11</v>
      </c>
      <c r="L38" s="1221">
        <f>'数据-汇总表'!E3</f>
        <v>780200</v>
      </c>
      <c r="M38" s="1221">
        <f ca="1">C34</f>
        <v>51331</v>
      </c>
      <c r="N38" s="1221">
        <f ca="1">C33</f>
        <v>5334</v>
      </c>
      <c r="O38" s="1222">
        <f ca="1">C32</f>
        <v>416139</v>
      </c>
      <c r="P38" s="1909"/>
      <c r="V38" s="1909"/>
    </row>
    <row r="39" spans="1:26" ht="16.5" customHeight="1" thickBot="1">
      <c r="A39" s="1217"/>
      <c r="B39" s="304"/>
      <c r="C39" s="305"/>
      <c r="D39" s="305"/>
      <c r="E39" s="306"/>
      <c r="F39" s="307"/>
      <c r="G39" s="307"/>
      <c r="H39" s="307"/>
      <c r="I39" s="307"/>
      <c r="J39" s="1911"/>
      <c r="K39" s="3957" t="str">
        <f>MID(A44,3,LEN(A44)-2)</f>
        <v/>
      </c>
      <c r="L39" s="3958"/>
      <c r="M39" s="3958"/>
      <c r="N39" s="3959"/>
      <c r="O39" s="1339" t="str">
        <f>C44</f>
        <v>——</v>
      </c>
      <c r="P39" s="1909"/>
      <c r="V39" s="1909"/>
    </row>
    <row r="40" spans="1:26" ht="19.5" thickBot="1">
      <c r="A40" s="103" t="s">
        <v>862</v>
      </c>
      <c r="B40" s="307"/>
      <c r="C40" s="307"/>
      <c r="D40" s="307"/>
      <c r="E40" s="307"/>
      <c r="F40" s="307"/>
      <c r="G40" s="307"/>
      <c r="H40" s="307"/>
      <c r="I40" s="307"/>
      <c r="J40" s="1911"/>
      <c r="K40" s="3957" t="str">
        <f t="shared" ref="K40:K41" si="0">MID(A45,3,LEN(A45)-2)</f>
        <v/>
      </c>
      <c r="L40" s="3958"/>
      <c r="M40" s="3958"/>
      <c r="N40" s="3959"/>
      <c r="O40" s="1339" t="str">
        <f>C45</f>
        <v>——</v>
      </c>
      <c r="P40" s="1909"/>
      <c r="V40" s="1909"/>
    </row>
    <row r="41" spans="1:26" ht="16.5" thickBot="1">
      <c r="A41" s="308" t="s">
        <v>354</v>
      </c>
      <c r="B41" s="309"/>
      <c r="C41" s="310" t="s">
        <v>355</v>
      </c>
      <c r="D41" s="311" t="s">
        <v>356</v>
      </c>
      <c r="E41" s="311" t="s">
        <v>357</v>
      </c>
      <c r="F41" s="312" t="s">
        <v>358</v>
      </c>
      <c r="G41" s="307"/>
      <c r="H41" s="307"/>
      <c r="I41" s="307"/>
      <c r="J41" s="1911"/>
      <c r="K41" s="3957" t="str">
        <f t="shared" si="0"/>
        <v/>
      </c>
      <c r="L41" s="3958"/>
      <c r="M41" s="3958"/>
      <c r="N41" s="3959"/>
      <c r="O41" s="1339" t="str">
        <f>C46</f>
        <v>——</v>
      </c>
      <c r="P41" s="1909"/>
      <c r="V41" s="1909"/>
    </row>
    <row r="42" spans="1:26" ht="29.25">
      <c r="A42" s="3901" t="s">
        <v>2053</v>
      </c>
      <c r="B42" s="3902"/>
      <c r="C42" s="260">
        <f ca="1">C32</f>
        <v>416139</v>
      </c>
      <c r="D42" s="313">
        <f ca="1">C33</f>
        <v>5334</v>
      </c>
      <c r="E42" s="313">
        <f ca="1">C34</f>
        <v>51331</v>
      </c>
      <c r="F42" s="314">
        <f ca="1">C35</f>
        <v>3422</v>
      </c>
      <c r="G42" s="307"/>
      <c r="H42" s="307"/>
      <c r="I42" s="315"/>
      <c r="J42" s="1911"/>
      <c r="K42" s="1223" t="s">
        <v>359</v>
      </c>
      <c r="L42" s="1928" t="s">
        <v>360</v>
      </c>
      <c r="M42" s="1224" t="s">
        <v>361</v>
      </c>
      <c r="N42" s="1929" t="s">
        <v>362</v>
      </c>
      <c r="O42" s="1930" t="s">
        <v>363</v>
      </c>
      <c r="P42" s="1909"/>
      <c r="V42" s="1909"/>
    </row>
    <row r="43" spans="1:26" ht="30">
      <c r="A43" s="3912" t="s">
        <v>2708</v>
      </c>
      <c r="B43" s="3913"/>
      <c r="C43" s="260">
        <f>IF(H33="正常操作",G33+G34+G35,G34+G35)</f>
        <v>0</v>
      </c>
      <c r="D43" s="313" t="s">
        <v>43</v>
      </c>
      <c r="E43" s="313" t="s">
        <v>44</v>
      </c>
      <c r="F43" s="314" t="s">
        <v>44</v>
      </c>
      <c r="G43" s="2581" t="s">
        <v>941</v>
      </c>
      <c r="H43" s="307"/>
      <c r="I43" s="315"/>
      <c r="J43" s="1911"/>
      <c r="K43" s="1225" t="str">
        <f>C4</f>
        <v>基准地价办公</v>
      </c>
      <c r="L43" s="1226">
        <f ca="1">IF(L42="估价结果/万元",C19,C20)</f>
        <v>363922</v>
      </c>
      <c r="M43" s="1227">
        <f>C18</f>
        <v>0.3</v>
      </c>
      <c r="N43" s="1228">
        <f ca="1">IF(N42="测算结果/万元",G19,G20)</f>
        <v>416139</v>
      </c>
      <c r="O43" s="1229">
        <f ca="1">IF(O42="最终结果/万元",C32,C33)</f>
        <v>416139</v>
      </c>
      <c r="P43" s="1909"/>
      <c r="V43" s="1909"/>
    </row>
    <row r="44" spans="1:26" ht="18.75" thickBot="1">
      <c r="A44" s="3901" t="str">
        <f>IF(OR(项目基本情况!E8="抵押价格",项目基本情况!E8="已注销及未注销"),"3.抵押价格","——")</f>
        <v>——</v>
      </c>
      <c r="B44" s="3902"/>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438518</v>
      </c>
      <c r="M44" s="1232">
        <f>D18</f>
        <v>0.7</v>
      </c>
      <c r="N44" s="1233"/>
      <c r="O44" s="1234"/>
      <c r="P44" s="1909"/>
      <c r="V44" s="1909"/>
    </row>
    <row r="45" spans="1:26" ht="15">
      <c r="A45" s="3907" t="str">
        <f>IF(项目基本情况!E8="已注销及未注销","4.抵押担保权已注销时的抵押价格",IF(项目基本情况!E8="已注销","3.抵押担保权已注销时的抵押价格","——"))</f>
        <v>——</v>
      </c>
      <c r="B45" s="3908"/>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903" t="str">
        <f>IF(项目基本情况!E9="抵押净值",IF(A45="——","4.抵押净值","5.抵押净值"),"——")</f>
        <v>——</v>
      </c>
      <c r="B46" s="3904"/>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51" t="s">
        <v>372</v>
      </c>
      <c r="B63" s="3952"/>
      <c r="C63" s="3953"/>
      <c r="D63" s="337">
        <f ca="1">ROUND(C42*F63,0)</f>
        <v>416139</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09" t="s">
        <v>376</v>
      </c>
      <c r="B64" s="3910"/>
      <c r="C64" s="3910"/>
      <c r="D64" s="3910"/>
      <c r="E64" s="3910"/>
      <c r="F64" s="3910"/>
      <c r="G64" s="3911"/>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05" t="s">
        <v>384</v>
      </c>
      <c r="B66" s="3906"/>
      <c r="C66" s="3906"/>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66" t="s">
        <v>383</v>
      </c>
      <c r="M66" s="3967"/>
      <c r="N66" s="2310"/>
      <c r="O66" s="2311"/>
      <c r="P66" s="2312"/>
      <c r="Q66" s="1909"/>
      <c r="R66" s="1909"/>
      <c r="S66" s="1909"/>
      <c r="T66" s="1909"/>
      <c r="U66" s="1909"/>
      <c r="V66" s="1909"/>
    </row>
    <row r="67" spans="1:22" ht="25.5" customHeight="1">
      <c r="A67" s="348" t="s">
        <v>387</v>
      </c>
      <c r="B67" s="3896" t="s">
        <v>388</v>
      </c>
      <c r="C67" s="3896"/>
      <c r="D67" s="349">
        <v>0</v>
      </c>
      <c r="E67" s="40" t="s">
        <v>389</v>
      </c>
      <c r="F67" s="61" t="s">
        <v>21</v>
      </c>
      <c r="G67" s="3954"/>
      <c r="H67" s="2995" t="s">
        <v>2959</v>
      </c>
      <c r="I67" s="2997"/>
      <c r="J67" s="1916"/>
      <c r="K67" s="1888">
        <v>2</v>
      </c>
      <c r="L67" s="3960" t="s">
        <v>386</v>
      </c>
      <c r="M67" s="3960"/>
      <c r="N67" s="1277">
        <f>'数据-取费表'!B2</f>
        <v>44545</v>
      </c>
      <c r="O67" s="1277"/>
      <c r="P67" s="1277"/>
      <c r="Q67" s="1909"/>
      <c r="R67" s="1909"/>
      <c r="S67" s="1909"/>
      <c r="T67" s="1909"/>
      <c r="U67" s="1909"/>
      <c r="V67" s="1909"/>
    </row>
    <row r="68" spans="1:22" ht="25.5" customHeight="1">
      <c r="A68" s="350"/>
      <c r="B68" s="3896" t="s">
        <v>391</v>
      </c>
      <c r="C68" s="3896"/>
      <c r="D68" s="351"/>
      <c r="E68" s="76"/>
      <c r="F68" s="352"/>
      <c r="G68" s="3955"/>
      <c r="H68" s="2996" t="s">
        <v>2960</v>
      </c>
      <c r="I68" s="2997"/>
      <c r="J68" s="1916"/>
      <c r="K68" s="1888">
        <v>3</v>
      </c>
      <c r="L68" s="3960" t="s">
        <v>390</v>
      </c>
      <c r="M68" s="3960"/>
      <c r="N68" s="1245">
        <f ca="1">C42</f>
        <v>416139</v>
      </c>
      <c r="O68" s="1245"/>
      <c r="P68" s="1245"/>
      <c r="Q68" s="1909"/>
      <c r="R68" s="1909"/>
      <c r="S68" s="1909"/>
      <c r="T68" s="1909"/>
      <c r="U68" s="1909"/>
      <c r="V68" s="1909"/>
    </row>
    <row r="69" spans="1:22" ht="23.45" customHeight="1">
      <c r="A69" s="353"/>
      <c r="B69" s="3896" t="s">
        <v>392</v>
      </c>
      <c r="C69" s="3896"/>
      <c r="D69" s="354"/>
      <c r="E69" s="72"/>
      <c r="F69" s="352"/>
      <c r="G69" s="3956"/>
      <c r="H69" s="2996" t="s">
        <v>2961</v>
      </c>
      <c r="I69" s="2997"/>
      <c r="J69" s="1916"/>
      <c r="K69" s="1246">
        <v>4</v>
      </c>
      <c r="L69" s="3970" t="s">
        <v>2860</v>
      </c>
      <c r="M69" s="3971"/>
      <c r="N69" s="1247" t="str">
        <f>C44</f>
        <v>——</v>
      </c>
      <c r="O69" s="1247"/>
      <c r="P69" s="1247"/>
      <c r="Q69" s="1909"/>
      <c r="R69" s="1909"/>
      <c r="S69" s="1909"/>
      <c r="T69" s="1909"/>
      <c r="U69" s="1909"/>
      <c r="V69" s="1909"/>
    </row>
    <row r="70" spans="1:22" ht="24" customHeight="1">
      <c r="A70" s="355" t="s">
        <v>393</v>
      </c>
      <c r="B70" s="3896" t="s">
        <v>394</v>
      </c>
      <c r="C70" s="3896"/>
      <c r="D70" s="354">
        <f ca="1">ROUND(D63*'数据-取费表'!B41/(1+'数据-取费表'!C42),0)</f>
        <v>21798</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897" t="s">
        <v>2990</v>
      </c>
      <c r="C71" s="3898"/>
      <c r="D71" s="354">
        <f ca="1">ROUND(D63*'数据-取费表'!B41/(1+'数据-取费表'!C42),0)</f>
        <v>21798</v>
      </c>
      <c r="E71" s="17" t="s">
        <v>395</v>
      </c>
      <c r="F71" s="356">
        <f>'数据-取费表'!B41</f>
        <v>5.5000000000000007E-2</v>
      </c>
      <c r="G71" s="357"/>
      <c r="H71" s="307"/>
      <c r="I71" s="1244"/>
      <c r="J71" s="1916"/>
      <c r="K71" s="2762" t="s">
        <v>396</v>
      </c>
      <c r="L71" s="3972" t="s">
        <v>397</v>
      </c>
      <c r="M71" s="3972"/>
      <c r="N71" s="2762" t="s">
        <v>398</v>
      </c>
      <c r="O71" s="2762" t="s">
        <v>399</v>
      </c>
      <c r="P71" s="2762" t="s">
        <v>400</v>
      </c>
      <c r="Q71" s="1909"/>
      <c r="R71" s="1909"/>
      <c r="S71" s="1909"/>
      <c r="T71" s="1909"/>
      <c r="U71" s="1909"/>
      <c r="V71" s="1909"/>
    </row>
    <row r="72" spans="1:22" ht="12" customHeight="1">
      <c r="A72" s="355" t="s">
        <v>403</v>
      </c>
      <c r="B72" s="3897" t="s">
        <v>2991</v>
      </c>
      <c r="C72" s="3898"/>
      <c r="D72" s="354">
        <f ca="1">C86</f>
        <v>21798</v>
      </c>
      <c r="E72" s="72" t="s">
        <v>404</v>
      </c>
      <c r="F72" s="356">
        <f>'数据-取费表'!B41</f>
        <v>5.5000000000000007E-2</v>
      </c>
      <c r="G72" s="357"/>
      <c r="H72" s="1250"/>
      <c r="I72" s="1244"/>
      <c r="J72" s="1916"/>
      <c r="K72" s="1888">
        <v>1</v>
      </c>
      <c r="L72" s="3947" t="s">
        <v>402</v>
      </c>
      <c r="M72" s="3947"/>
      <c r="N72" s="1248" t="b">
        <f>D66</f>
        <v>0</v>
      </c>
      <c r="O72" s="1771" t="str">
        <f>E66</f>
        <v>销售额×税（费）率</v>
      </c>
      <c r="P72" s="1249">
        <f>F66</f>
        <v>5.5000000000000007E-2</v>
      </c>
      <c r="Q72" s="1909"/>
      <c r="R72" s="1909"/>
      <c r="S72" s="1909"/>
      <c r="T72" s="1909"/>
      <c r="U72" s="1909"/>
      <c r="V72" s="1909"/>
    </row>
    <row r="73" spans="1:22" ht="24" customHeight="1">
      <c r="A73" s="3942" t="s">
        <v>406</v>
      </c>
      <c r="B73" s="3906"/>
      <c r="C73" s="3906"/>
      <c r="D73" s="358">
        <f ca="1">IF(H73="个人住宅",0,ROUND(D63*I73,0))</f>
        <v>208</v>
      </c>
      <c r="E73" s="17" t="s">
        <v>407</v>
      </c>
      <c r="F73" s="356" t="str">
        <f>IF(H73="正常",I73,"免征")</f>
        <v>免征</v>
      </c>
      <c r="G73" s="357"/>
      <c r="H73" s="188"/>
      <c r="I73" s="356">
        <f>'数据-取费表'!B49</f>
        <v>5.0000000000000001E-4</v>
      </c>
      <c r="J73" s="1916"/>
      <c r="K73" s="1888">
        <v>2</v>
      </c>
      <c r="L73" s="3947" t="s">
        <v>405</v>
      </c>
      <c r="M73" s="3947"/>
      <c r="N73" s="1248">
        <f t="shared" ref="N73:P74" ca="1" si="1">D73</f>
        <v>208</v>
      </c>
      <c r="O73" s="1771" t="str">
        <f t="shared" si="1"/>
        <v>销售额×税（费）率</v>
      </c>
      <c r="P73" s="1249" t="str">
        <f t="shared" si="1"/>
        <v>免征</v>
      </c>
      <c r="Q73" s="1909"/>
      <c r="R73" s="1909"/>
      <c r="S73" s="1909"/>
      <c r="T73" s="1909"/>
      <c r="U73" s="1909"/>
      <c r="V73" s="1909"/>
    </row>
    <row r="74" spans="1:22" ht="24.75">
      <c r="A74" s="3942" t="s">
        <v>409</v>
      </c>
      <c r="B74" s="3906"/>
      <c r="C74" s="3906"/>
      <c r="D74" s="358">
        <f ca="1">IF(H74="个人住宅",D75,D76)</f>
        <v>235911</v>
      </c>
      <c r="E74" s="17" t="s">
        <v>410</v>
      </c>
      <c r="F74" s="356" t="str">
        <f>IF(H74="正常",F76,"免征")</f>
        <v>免征</v>
      </c>
      <c r="G74" s="969" t="s">
        <v>411</v>
      </c>
      <c r="H74" s="359"/>
      <c r="I74" s="41"/>
      <c r="J74" s="1916"/>
      <c r="K74" s="1888">
        <v>3</v>
      </c>
      <c r="L74" s="3947" t="s">
        <v>408</v>
      </c>
      <c r="M74" s="3947"/>
      <c r="N74" s="1248">
        <f t="shared" ca="1" si="1"/>
        <v>235911</v>
      </c>
      <c r="O74" s="1771" t="str">
        <f t="shared" si="1"/>
        <v>增值额×税（费）率</v>
      </c>
      <c r="P74" s="1251" t="str">
        <f t="shared" si="1"/>
        <v>免征</v>
      </c>
      <c r="Q74" s="1909"/>
      <c r="R74" s="1909"/>
      <c r="S74" s="1909"/>
      <c r="T74" s="1909"/>
      <c r="U74" s="1909"/>
      <c r="V74" s="1909"/>
    </row>
    <row r="75" spans="1:22" ht="12.75">
      <c r="A75" s="355" t="s">
        <v>412</v>
      </c>
      <c r="B75" s="3894" t="s">
        <v>413</v>
      </c>
      <c r="C75" s="3930"/>
      <c r="D75" s="360">
        <v>0</v>
      </c>
      <c r="E75" s="40" t="s">
        <v>414</v>
      </c>
      <c r="F75" s="361"/>
      <c r="G75" s="357"/>
      <c r="H75" s="41"/>
      <c r="I75" s="41"/>
      <c r="J75" s="1916"/>
      <c r="K75" s="2756">
        <f>IF(H77="非个人房产","",4)</f>
        <v>4</v>
      </c>
      <c r="L75" s="3947" t="str">
        <f>IF(H77="非个人房产","——","个人所得税")</f>
        <v>个人所得税</v>
      </c>
      <c r="M75" s="3947"/>
      <c r="N75" s="1252">
        <f>D77</f>
        <v>0</v>
      </c>
      <c r="O75" s="1784" t="str">
        <f>E77</f>
        <v>差额计税</v>
      </c>
      <c r="P75" s="1253">
        <f>F77</f>
        <v>0.01</v>
      </c>
      <c r="Q75" s="1909"/>
      <c r="R75" s="1909"/>
      <c r="S75" s="1909"/>
      <c r="T75" s="1909"/>
      <c r="U75" s="1909"/>
      <c r="V75" s="1909"/>
    </row>
    <row r="76" spans="1:22" ht="24.75">
      <c r="A76" s="355" t="s">
        <v>393</v>
      </c>
      <c r="B76" s="3894" t="s">
        <v>416</v>
      </c>
      <c r="C76" s="3895"/>
      <c r="D76" s="358">
        <f ca="1">IF(H76="转让取得",C99,C115)</f>
        <v>235911</v>
      </c>
      <c r="E76" s="17" t="s">
        <v>417</v>
      </c>
      <c r="F76" s="52" t="s">
        <v>21</v>
      </c>
      <c r="G76" s="357"/>
      <c r="H76" s="359"/>
      <c r="I76" s="41"/>
      <c r="J76" s="1916"/>
      <c r="K76" s="2756" t="str">
        <f>IF(项目基本情况!K6="上海银行",IF(K75="",4,K75+1),"")</f>
        <v/>
      </c>
      <c r="L76" s="3962" t="str">
        <f>IF(项目基本情况!K6="上海银行","其他处置费用","")</f>
        <v/>
      </c>
      <c r="M76" s="3963"/>
      <c r="N76" s="1248" t="str">
        <f>IF(项目基本情况!K6="上海银行",N89,"")</f>
        <v/>
      </c>
      <c r="O76" s="3964" t="str">
        <f>IF(项目基本情况!K6="上海银行","包含处置中涉及的律师、诉讼、拍卖、评估等费用","")</f>
        <v/>
      </c>
      <c r="P76" s="3965"/>
      <c r="Q76" s="1909"/>
      <c r="R76" s="1909"/>
      <c r="S76" s="1909"/>
      <c r="T76" s="1909"/>
      <c r="U76" s="1909"/>
      <c r="V76" s="1909"/>
    </row>
    <row r="77" spans="1:22" ht="24.75" thickBot="1">
      <c r="A77" s="3949" t="s">
        <v>419</v>
      </c>
      <c r="B77" s="3950"/>
      <c r="C77" s="3950"/>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48">
        <f>IF(AND(K75="",K76=""),4,IF(项目基本情况!K6="上海银行",K76+1,K75+1))</f>
        <v>5</v>
      </c>
      <c r="L77" s="3947" t="s">
        <v>2861</v>
      </c>
      <c r="M77" s="2761" t="s">
        <v>415</v>
      </c>
      <c r="N77" s="1254"/>
      <c r="O77" s="1255">
        <f ca="1">SUMIF(N72:N76,"&lt;9e307")</f>
        <v>236119</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48"/>
      <c r="L78" s="3947"/>
      <c r="M78" s="2761" t="s">
        <v>418</v>
      </c>
      <c r="N78" s="1254"/>
      <c r="O78" s="1255" t="str">
        <f ca="1">NUMBERSTRING(INT(O77*10000),2)&amp;"元整"</f>
        <v>贰拾叁亿陆仟壹佰壹拾玖万元整</v>
      </c>
      <c r="P78" s="1256"/>
      <c r="Q78" s="1909"/>
      <c r="R78" s="1909"/>
      <c r="S78" s="1909"/>
      <c r="T78" s="1909"/>
      <c r="U78" s="1909"/>
      <c r="V78" s="1909"/>
    </row>
    <row r="79" spans="1:22" ht="13.5" thickBot="1">
      <c r="A79" s="3914" t="s">
        <v>420</v>
      </c>
      <c r="B79" s="3914"/>
      <c r="C79" s="3914"/>
      <c r="D79" s="3914"/>
      <c r="E79" s="3914"/>
      <c r="F79" s="41"/>
      <c r="G79" s="41"/>
      <c r="H79" s="989"/>
      <c r="I79" s="307"/>
      <c r="J79" s="1916"/>
      <c r="K79" s="3968">
        <f>K77+1</f>
        <v>6</v>
      </c>
      <c r="L79" s="3947" t="s">
        <v>2862</v>
      </c>
      <c r="M79" s="2761" t="s">
        <v>415</v>
      </c>
      <c r="N79" s="1254"/>
      <c r="O79" s="1255" t="e">
        <f ca="1">N69-O77</f>
        <v>#VALUE!</v>
      </c>
      <c r="P79" s="1256"/>
      <c r="Q79" s="1909"/>
      <c r="R79" s="1909"/>
      <c r="S79" s="1909"/>
      <c r="T79" s="1909"/>
      <c r="U79" s="1909"/>
      <c r="V79" s="1909"/>
    </row>
    <row r="80" spans="1:22" ht="12.75">
      <c r="A80" s="3915" t="s">
        <v>421</v>
      </c>
      <c r="B80" s="3916"/>
      <c r="C80" s="980"/>
      <c r="D80" s="980" t="s">
        <v>422</v>
      </c>
      <c r="E80" s="362" t="s">
        <v>423</v>
      </c>
      <c r="F80" s="41"/>
      <c r="G80" s="41"/>
      <c r="H80" s="989"/>
      <c r="I80" s="307"/>
      <c r="J80" s="1909"/>
      <c r="K80" s="3969"/>
      <c r="L80" s="3947"/>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396323</v>
      </c>
      <c r="D81" s="365"/>
      <c r="E81" s="366"/>
      <c r="F81" s="41"/>
      <c r="G81" s="41"/>
      <c r="H81" s="989"/>
      <c r="I81" s="307"/>
      <c r="J81" s="1909"/>
      <c r="K81" s="2756">
        <f>K79+1</f>
        <v>7</v>
      </c>
      <c r="L81" s="3945" t="s">
        <v>2863</v>
      </c>
      <c r="M81" s="3946"/>
      <c r="N81" s="1258"/>
      <c r="O81" s="1259" t="e">
        <f ca="1">ROUND(O79*10000/'数据-汇总表'!E3,0)</f>
        <v>#VALUE!</v>
      </c>
      <c r="P81" s="1260"/>
      <c r="Q81" s="1909"/>
      <c r="R81" s="1909"/>
      <c r="S81" s="1909"/>
      <c r="T81" s="1909"/>
      <c r="U81" s="1909"/>
      <c r="V81" s="1909"/>
    </row>
    <row r="82" spans="1:26" ht="13.5" thickTop="1">
      <c r="A82" s="367" t="s">
        <v>1812</v>
      </c>
      <c r="B82" s="368" t="s">
        <v>425</v>
      </c>
      <c r="C82" s="369">
        <f ca="1">D63</f>
        <v>416139</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61"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61"/>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396323</v>
      </c>
      <c r="D85" s="370" t="s">
        <v>19</v>
      </c>
      <c r="E85" s="371"/>
      <c r="F85" s="41"/>
      <c r="G85" s="41"/>
      <c r="H85" s="989"/>
      <c r="I85" s="307"/>
      <c r="J85" s="1909"/>
      <c r="K85" s="3961"/>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21798</v>
      </c>
      <c r="D86" s="381">
        <f>'数据-取费表'!B41</f>
        <v>5.5000000000000007E-2</v>
      </c>
      <c r="E86" s="382"/>
      <c r="F86" s="41"/>
      <c r="G86" s="41"/>
      <c r="H86" s="989"/>
      <c r="I86" s="307"/>
      <c r="J86" s="1909"/>
      <c r="K86" s="3961"/>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61"/>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40" t="s">
        <v>430</v>
      </c>
      <c r="B88" s="3941"/>
      <c r="C88" s="3941"/>
      <c r="D88" s="3941"/>
      <c r="E88" s="3941"/>
      <c r="F88" s="3941"/>
      <c r="G88" s="3941"/>
      <c r="H88" s="3941"/>
      <c r="I88" s="1267"/>
      <c r="J88" s="1917"/>
      <c r="K88" s="3961"/>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15" t="s">
        <v>421</v>
      </c>
      <c r="B89" s="3916"/>
      <c r="C89" s="980"/>
      <c r="D89" s="980" t="s">
        <v>422</v>
      </c>
      <c r="E89" s="383" t="s">
        <v>431</v>
      </c>
      <c r="F89" s="384"/>
      <c r="G89" s="384"/>
      <c r="H89" s="385"/>
      <c r="I89" s="1268"/>
      <c r="J89" s="1919"/>
      <c r="K89" s="3961"/>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396323</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1982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897" t="s">
        <v>439</v>
      </c>
      <c r="F94" s="3896"/>
      <c r="G94" s="3896"/>
      <c r="H94" s="393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1982</v>
      </c>
      <c r="D96" s="398">
        <f>'数据-取费表'!B43</f>
        <v>5.000000000000001E-3</v>
      </c>
      <c r="E96" s="3931" t="s">
        <v>2410</v>
      </c>
      <c r="F96" s="3932"/>
      <c r="G96" s="3932"/>
      <c r="H96" s="3933"/>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394341</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198.9611503531786</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235911</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40" t="s">
        <v>446</v>
      </c>
      <c r="B101" s="3941"/>
      <c r="C101" s="3941"/>
      <c r="D101" s="3941"/>
      <c r="E101" s="3941"/>
      <c r="F101" s="3941"/>
      <c r="G101" s="3941"/>
      <c r="H101" s="394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15" t="s">
        <v>421</v>
      </c>
      <c r="B102" s="3916"/>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396323</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1982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891" t="s">
        <v>2954</v>
      </c>
      <c r="H108" s="3892"/>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34" t="s">
        <v>454</v>
      </c>
      <c r="F109" s="3932"/>
      <c r="G109" s="3932"/>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34" t="s">
        <v>456</v>
      </c>
      <c r="F110" s="3932"/>
      <c r="G110" s="3932"/>
      <c r="H110" s="3933"/>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1982</v>
      </c>
      <c r="D111" s="398">
        <f>'数据-取费表'!B43</f>
        <v>5.000000000000001E-3</v>
      </c>
      <c r="E111" s="3931" t="s">
        <v>2410</v>
      </c>
      <c r="F111" s="3932"/>
      <c r="G111" s="3932"/>
      <c r="H111" s="3933"/>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34" t="s">
        <v>2433</v>
      </c>
      <c r="F112" s="3932"/>
      <c r="G112" s="3932"/>
      <c r="H112" s="3933"/>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394341</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198.9611503531786</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235911</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65" priority="21" stopIfTrue="1" operator="equal">
      <formula>25</formula>
    </cfRule>
  </conditionalFormatting>
  <conditionalFormatting sqref="C8:C9">
    <cfRule type="cellIs" dxfId="264" priority="19" stopIfTrue="1" operator="equal">
      <formula>15</formula>
    </cfRule>
  </conditionalFormatting>
  <conditionalFormatting sqref="C14:C16">
    <cfRule type="cellIs" dxfId="263" priority="13" stopIfTrue="1" operator="equal">
      <formula>30</formula>
    </cfRule>
  </conditionalFormatting>
  <conditionalFormatting sqref="D5:D7">
    <cfRule type="cellIs" dxfId="262" priority="10" stopIfTrue="1" operator="equal">
      <formula>25</formula>
    </cfRule>
  </conditionalFormatting>
  <conditionalFormatting sqref="D8:D9">
    <cfRule type="cellIs" dxfId="261" priority="9" stopIfTrue="1" operator="equal">
      <formula>15</formula>
    </cfRule>
  </conditionalFormatting>
  <conditionalFormatting sqref="C10:D13">
    <cfRule type="cellIs" dxfId="260" priority="8" stopIfTrue="1" operator="equal">
      <formula>15</formula>
    </cfRule>
  </conditionalFormatting>
  <conditionalFormatting sqref="D14:D16">
    <cfRule type="cellIs" dxfId="259" priority="6" stopIfTrue="1" operator="equal">
      <formula>30</formula>
    </cfRule>
  </conditionalFormatting>
  <conditionalFormatting sqref="C108">
    <cfRule type="expression" dxfId="258" priority="3" stopIfTrue="1">
      <formula>$H$106&lt;&gt;"仅含出让金"</formula>
    </cfRule>
  </conditionalFormatting>
  <conditionalFormatting sqref="C109">
    <cfRule type="expression" dxfId="257" priority="2" stopIfTrue="1">
      <formula>$H$109="由企业提供"</formula>
    </cfRule>
  </conditionalFormatting>
  <conditionalFormatting sqref="I33">
    <cfRule type="expression" dxfId="25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6" t="str">
        <f>项目基本情况!B1</f>
        <v>北京市储备国有建设用地使用权预评估</v>
      </c>
      <c r="C37" s="3796"/>
      <c r="D37" s="3796"/>
      <c r="E37" s="3796"/>
      <c r="F37" s="3796"/>
      <c r="G37" s="3796"/>
      <c r="H37" s="3796"/>
      <c r="I37" s="3796"/>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t="e">
        <f>MATCH(B1,'数据-取费表'!A6:A16,0)+5</f>
        <v>#N/A</v>
      </c>
      <c r="L1" s="288"/>
      <c r="M1" s="288"/>
      <c r="N1" s="288"/>
      <c r="O1" s="288"/>
      <c r="P1" s="288"/>
      <c r="Q1" s="288"/>
      <c r="R1" s="288"/>
      <c r="S1" s="288"/>
      <c r="T1" s="288"/>
      <c r="U1" s="288"/>
      <c r="V1" s="288"/>
      <c r="W1" s="288"/>
      <c r="X1" s="288"/>
      <c r="Y1" s="288"/>
      <c r="Z1" s="288"/>
    </row>
    <row r="2" spans="1:31" s="1922" customFormat="1" ht="18" customHeight="1">
      <c r="A2" s="1981" t="s">
        <v>459</v>
      </c>
      <c r="B2" s="1985" t="e">
        <f ca="1">C36</f>
        <v>#N/A</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#N/A</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t="e">
        <f ca="1">IF(B1="",'数据-取费表'!P16,INDIRECT("'数据-取费表'!p"&amp;$K$1)+INDIRECT("'数据-取费表'!t"&amp;$K$1))</f>
        <v>#N/A</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t="e">
        <f ca="1">ROUND(C13*F14,0)</f>
        <v>#N/A</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t="e">
        <f ca="1">ROUND(IF(B1="",SUMIF('数据-取费表'!C:C,"住宅",'数据-取费表'!P:P)*F15,IF(INDIRECT("'数据-取费表'!c"&amp;$K$1)="住宅",INDIRECT("'数据-取费表'!P"&amp;$K$1)*F15,0)),0)</f>
        <v>#N/A</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t="e">
        <f ca="1">ROUND(D16*E16/10000,0)</f>
        <v>#N/A</v>
      </c>
      <c r="D16" s="2559" t="e">
        <f ca="1">IF(B1="",'数据-汇总表'!E3,INDIRECT("'数据-取费表'!K"&amp;$K$1)+INDIRECT("'数据-取费表'!S"&amp;$K$1))</f>
        <v>#N/A</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t="e">
        <f ca="1">ROUND(C13*F17,0)</f>
        <v>#N/A</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t="e">
        <f ca="1">SUM(C13:C17)</f>
        <v>#N/A</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t="e">
        <f ca="1">ROUND(D19*E19/10000,0)</f>
        <v>#N/A</v>
      </c>
      <c r="D19" s="2569" t="e">
        <f ca="1">D16</f>
        <v>#N/A</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t="e">
        <f ca="1">C21+C22-IF(B1="",'数据-取费表'!B29,IF(G20="已全部缴纳",C21+C22,H20))</f>
        <v>#N/A</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t="e">
        <f ca="1">ROUND(D21*E21/10000,0)</f>
        <v>#N/A</v>
      </c>
      <c r="D21" s="2559" t="e">
        <f ca="1">IF(B1="",'数据-汇总表'!E5,IF(INDIRECT("'数据-取费表'!c"&amp;$K$1)="住宅",INDIRECT("'数据-取费表'!k"&amp;$K$1),0))</f>
        <v>#N/A</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t="e">
        <f ca="1">ROUND(D22*E22/10000,0)</f>
        <v>#N/A</v>
      </c>
      <c r="D22" s="2559" t="e">
        <f ca="1">IF(B1="",'数据-汇总表'!E6,IF(INDIRECT("'数据-取费表'!c"&amp;$K$1)="住宅",INDIRECT("'数据-取费表'!s"&amp;$K$1),INDIRECT("'数据-取费表'!k"&amp;$K$1)+INDIRECT("'数据-取费表'!s"&amp;$K$1)))</f>
        <v>#N/A</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t="e">
        <f ca="1">ROUND((C18+C19+C20)*F23,0)</f>
        <v>#N/A</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t="e">
        <f ca="1">C28</f>
        <v>#N/A</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t="e">
        <f ca="1">ROUND(IF('数据-取费表'!B22&lt;=1,(C18+C19+C20+C23+C24)*F26*'数据-取费表'!B24/2,(C18+C19+C20+C23+C24)*(POWER((1+F26),'数据-取费表'!B24/2)-1)),0)</f>
        <v>#N/A</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t="e">
        <f ca="1">C31</f>
        <v>#N/A</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t="e">
        <f ca="1">C18+C19+C20+C23+C24+C26+C29</f>
        <v>#N/A</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t="e">
        <f ca="1">C35</f>
        <v>#N/A</v>
      </c>
      <c r="D33" s="459" t="e">
        <f ca="1">C34</f>
        <v>#N/A</v>
      </c>
      <c r="E33" s="461" t="s">
        <v>487</v>
      </c>
      <c r="F33" s="471" t="e">
        <f ca="1">IF(B1="",'数据-取费表'!Q16,INDIRECT("'数据-取费表'!q"&amp;$K$1))</f>
        <v>#N/A</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t="e">
        <f ca="1">ROUND((1+C25)*F33,4)</f>
        <v>#N/A</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t="e">
        <f ca="1">ROUND((C18+C19+C20+C23+C24)*F33,0)</f>
        <v>#N/A</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t="e">
        <f ca="1">ROUND((C6-C30-C33)/(1+D30+D33),0)</f>
        <v>#N/A</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#N/A</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406900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12207</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15604</v>
      </c>
      <c r="D16" s="443">
        <f ca="1">IF(B1="",'数据-汇总表'!E3,INDIRECT("'数据-取费表'!K"&amp;$K$1)+INDIRECT("'数据-取费表'!S"&amp;$K$1))</f>
        <v>780200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6104</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440815</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8816</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32414</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32414</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112408</v>
      </c>
      <c r="D24" s="481">
        <f ca="1">C26</f>
        <v>5.0000000000000001E-3</v>
      </c>
      <c r="E24" s="461" t="s">
        <v>499</v>
      </c>
      <c r="F24" s="471">
        <f ca="1">IF(B1="",'数据-取费表'!Q16,INDIRECT("'数据-取费表'!q"&amp;$K$1))</f>
        <v>0.25</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112408</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5.0000000000000001E-3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645303</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82" t="s">
        <v>514</v>
      </c>
      <c r="D6" s="3983"/>
      <c r="E6" s="3982" t="s">
        <v>515</v>
      </c>
      <c r="F6" s="3983"/>
      <c r="G6" s="3982" t="s">
        <v>516</v>
      </c>
      <c r="H6" s="3983"/>
      <c r="I6" s="3982" t="s">
        <v>517</v>
      </c>
      <c r="J6" s="3983"/>
      <c r="K6" s="506" t="s">
        <v>518</v>
      </c>
      <c r="L6" s="2013"/>
      <c r="M6" s="2012"/>
      <c r="N6" s="2012"/>
      <c r="O6" s="2014"/>
      <c r="P6" s="3984" t="s">
        <v>519</v>
      </c>
      <c r="Q6" s="3985"/>
      <c r="R6" s="3990" t="s">
        <v>515</v>
      </c>
      <c r="S6" s="3991"/>
      <c r="T6" s="3990" t="s">
        <v>516</v>
      </c>
      <c r="U6" s="3991"/>
      <c r="V6" s="3977" t="s">
        <v>517</v>
      </c>
      <c r="W6" s="3977"/>
      <c r="X6" s="1500"/>
      <c r="Y6" s="3990" t="s">
        <v>519</v>
      </c>
      <c r="Z6" s="3991"/>
      <c r="AA6" s="3979" t="s">
        <v>515</v>
      </c>
      <c r="AB6" s="3980" t="s">
        <v>516</v>
      </c>
      <c r="AC6" s="3979" t="s">
        <v>517</v>
      </c>
    </row>
    <row r="7" spans="1:30" ht="20.25">
      <c r="A7" s="507"/>
      <c r="B7" s="508"/>
      <c r="C7" s="3998" t="s">
        <v>2892</v>
      </c>
      <c r="D7" s="3999"/>
      <c r="E7" s="3998" t="s">
        <v>2893</v>
      </c>
      <c r="F7" s="3999"/>
      <c r="G7" s="3998" t="s">
        <v>2894</v>
      </c>
      <c r="H7" s="3999"/>
      <c r="I7" s="3998" t="s">
        <v>2895</v>
      </c>
      <c r="J7" s="3999"/>
      <c r="K7" s="506"/>
      <c r="L7" s="2013"/>
      <c r="M7" s="2012"/>
      <c r="N7" s="2012"/>
      <c r="O7" s="2014"/>
      <c r="P7" s="3986"/>
      <c r="Q7" s="3987"/>
      <c r="R7" s="3992"/>
      <c r="S7" s="3993"/>
      <c r="T7" s="3992"/>
      <c r="U7" s="3993"/>
      <c r="V7" s="3977"/>
      <c r="W7" s="3977"/>
      <c r="X7" s="1500"/>
      <c r="Y7" s="3992"/>
      <c r="Z7" s="3993"/>
      <c r="AA7" s="3980"/>
      <c r="AB7" s="3980"/>
      <c r="AC7" s="3980"/>
    </row>
    <row r="8" spans="1:30" ht="21" thickBot="1">
      <c r="A8" s="507"/>
      <c r="B8" s="508"/>
      <c r="C8" s="4000" t="s">
        <v>2896</v>
      </c>
      <c r="D8" s="4001"/>
      <c r="E8" s="4000" t="s">
        <v>2896</v>
      </c>
      <c r="F8" s="4001"/>
      <c r="G8" s="3996" t="s">
        <v>2896</v>
      </c>
      <c r="H8" s="3997"/>
      <c r="I8" s="3996" t="s">
        <v>2896</v>
      </c>
      <c r="J8" s="3997"/>
      <c r="K8" s="506" t="s">
        <v>520</v>
      </c>
      <c r="L8" s="2013"/>
      <c r="M8" s="2012"/>
      <c r="N8" s="2012"/>
      <c r="O8" s="2014"/>
      <c r="P8" s="3988"/>
      <c r="Q8" s="3989"/>
      <c r="R8" s="3992"/>
      <c r="S8" s="3993"/>
      <c r="T8" s="3994"/>
      <c r="U8" s="3995"/>
      <c r="V8" s="3977"/>
      <c r="W8" s="3977"/>
      <c r="X8" s="1500"/>
      <c r="Y8" s="3994"/>
      <c r="Z8" s="3995"/>
      <c r="AA8" s="3981"/>
      <c r="AB8" s="3981"/>
      <c r="AC8" s="3981"/>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4007" t="s">
        <v>522</v>
      </c>
      <c r="Q9" s="4009"/>
      <c r="R9" s="1501" t="s">
        <v>8</v>
      </c>
      <c r="S9" s="1502">
        <f t="shared" ref="S9:S17" si="0">F9</f>
        <v>0</v>
      </c>
      <c r="T9" s="1501" t="s">
        <v>8</v>
      </c>
      <c r="U9" s="1502">
        <f t="shared" ref="U9:U17" si="1">H9</f>
        <v>0</v>
      </c>
      <c r="V9" s="1501" t="s">
        <v>8</v>
      </c>
      <c r="W9" s="1502">
        <f t="shared" ref="W9:W17" si="2">J9</f>
        <v>0</v>
      </c>
      <c r="X9" s="1503"/>
      <c r="Y9" s="4007" t="s">
        <v>522</v>
      </c>
      <c r="Z9" s="4008"/>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4007" t="s">
        <v>525</v>
      </c>
      <c r="Q10" s="4008"/>
      <c r="R10" s="1501" t="s">
        <v>8</v>
      </c>
      <c r="S10" s="1502">
        <f t="shared" si="0"/>
        <v>0</v>
      </c>
      <c r="T10" s="1501" t="s">
        <v>8</v>
      </c>
      <c r="U10" s="1502">
        <f t="shared" si="1"/>
        <v>0</v>
      </c>
      <c r="V10" s="1501" t="s">
        <v>8</v>
      </c>
      <c r="W10" s="1502">
        <f t="shared" si="2"/>
        <v>0</v>
      </c>
      <c r="X10" s="1503"/>
      <c r="Y10" s="4007" t="s">
        <v>525</v>
      </c>
      <c r="Z10" s="4008"/>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76" t="s">
        <v>527</v>
      </c>
      <c r="Q11" s="1132" t="str">
        <f t="shared" ref="Q11:Q17" si="6">B11</f>
        <v>用途</v>
      </c>
      <c r="R11" s="1501" t="s">
        <v>8</v>
      </c>
      <c r="S11" s="1502">
        <f t="shared" si="0"/>
        <v>100</v>
      </c>
      <c r="T11" s="1501" t="s">
        <v>8</v>
      </c>
      <c r="U11" s="1502">
        <f t="shared" si="1"/>
        <v>100</v>
      </c>
      <c r="V11" s="1501" t="s">
        <v>8</v>
      </c>
      <c r="W11" s="1502">
        <f t="shared" si="2"/>
        <v>100</v>
      </c>
      <c r="X11" s="1503"/>
      <c r="Y11" s="3922"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76"/>
      <c r="Q12" s="1132" t="str">
        <f t="shared" si="6"/>
        <v>土地使用年限（年）</v>
      </c>
      <c r="R12" s="1501" t="s">
        <v>8</v>
      </c>
      <c r="S12" s="1502" t="e">
        <f t="shared" si="0"/>
        <v>#DIV/0!</v>
      </c>
      <c r="T12" s="1501" t="s">
        <v>8</v>
      </c>
      <c r="U12" s="1502" t="e">
        <f t="shared" si="1"/>
        <v>#DIV/0!</v>
      </c>
      <c r="V12" s="1501" t="s">
        <v>8</v>
      </c>
      <c r="W12" s="1502" t="e">
        <f t="shared" si="2"/>
        <v>#DIV/0!</v>
      </c>
      <c r="X12" s="1503"/>
      <c r="Y12" s="3922"/>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76"/>
      <c r="Q13" s="1132" t="str">
        <f t="shared" si="6"/>
        <v>容积率</v>
      </c>
      <c r="R13" s="1501" t="s">
        <v>8</v>
      </c>
      <c r="S13" s="1502" t="e">
        <f t="shared" si="0"/>
        <v>#N/A</v>
      </c>
      <c r="T13" s="1501" t="s">
        <v>8</v>
      </c>
      <c r="U13" s="1502" t="e">
        <f t="shared" si="1"/>
        <v>#N/A</v>
      </c>
      <c r="V13" s="1501" t="s">
        <v>8</v>
      </c>
      <c r="W13" s="1502" t="e">
        <f t="shared" si="2"/>
        <v>#N/A</v>
      </c>
      <c r="X13" s="1503"/>
      <c r="Y13" s="3922"/>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76"/>
      <c r="Q14" s="1132" t="str">
        <f t="shared" si="6"/>
        <v>配建</v>
      </c>
      <c r="R14" s="1501" t="s">
        <v>8</v>
      </c>
      <c r="S14" s="1502">
        <f t="shared" si="0"/>
        <v>100</v>
      </c>
      <c r="T14" s="1501" t="s">
        <v>8</v>
      </c>
      <c r="U14" s="1502">
        <f t="shared" si="1"/>
        <v>100</v>
      </c>
      <c r="V14" s="1501" t="s">
        <v>8</v>
      </c>
      <c r="W14" s="1502">
        <f t="shared" si="2"/>
        <v>100</v>
      </c>
      <c r="X14" s="1503"/>
      <c r="Y14" s="3922"/>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76"/>
      <c r="Q15" s="1132">
        <f t="shared" si="6"/>
        <v>111</v>
      </c>
      <c r="R15" s="1501" t="s">
        <v>8</v>
      </c>
      <c r="S15" s="1502">
        <f t="shared" si="0"/>
        <v>100</v>
      </c>
      <c r="T15" s="1501" t="s">
        <v>8</v>
      </c>
      <c r="U15" s="1502">
        <f t="shared" si="1"/>
        <v>100</v>
      </c>
      <c r="V15" s="1501" t="s">
        <v>8</v>
      </c>
      <c r="W15" s="1502">
        <f t="shared" si="2"/>
        <v>100</v>
      </c>
      <c r="X15" s="1503"/>
      <c r="Y15" s="3922"/>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76"/>
      <c r="Q16" s="1132">
        <f t="shared" si="6"/>
        <v>111</v>
      </c>
      <c r="R16" s="1501" t="s">
        <v>8</v>
      </c>
      <c r="S16" s="1502">
        <f t="shared" si="0"/>
        <v>100</v>
      </c>
      <c r="T16" s="1501" t="s">
        <v>8</v>
      </c>
      <c r="U16" s="1502">
        <f t="shared" si="1"/>
        <v>100</v>
      </c>
      <c r="V16" s="1501" t="s">
        <v>8</v>
      </c>
      <c r="W16" s="1502">
        <f t="shared" si="2"/>
        <v>100</v>
      </c>
      <c r="X16" s="1503"/>
      <c r="Y16" s="3922"/>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10" t="s">
        <v>532</v>
      </c>
      <c r="Q17" s="1505" t="str">
        <f t="shared" si="6"/>
        <v>居住社区成熟度</v>
      </c>
      <c r="R17" s="1506" t="s">
        <v>8</v>
      </c>
      <c r="S17" s="1507">
        <f t="shared" si="0"/>
        <v>100</v>
      </c>
      <c r="T17" s="1506" t="s">
        <v>8</v>
      </c>
      <c r="U17" s="1507">
        <f t="shared" si="1"/>
        <v>100</v>
      </c>
      <c r="V17" s="1506" t="s">
        <v>8</v>
      </c>
      <c r="W17" s="1507">
        <f t="shared" si="2"/>
        <v>100</v>
      </c>
      <c r="X17" s="1500"/>
      <c r="Y17" s="4010"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11"/>
      <c r="Q18" s="1505"/>
      <c r="R18" s="1506"/>
      <c r="S18" s="1507"/>
      <c r="T18" s="1506"/>
      <c r="U18" s="1507"/>
      <c r="V18" s="1506"/>
      <c r="W18" s="1507"/>
      <c r="X18" s="1500"/>
      <c r="Y18" s="4011"/>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11"/>
      <c r="Q19" s="1505" t="str">
        <f>B19</f>
        <v>商业繁华度</v>
      </c>
      <c r="R19" s="1506" t="s">
        <v>8</v>
      </c>
      <c r="S19" s="1507">
        <f>F19</f>
        <v>100</v>
      </c>
      <c r="T19" s="1506" t="s">
        <v>8</v>
      </c>
      <c r="U19" s="1507">
        <f>H19</f>
        <v>100</v>
      </c>
      <c r="V19" s="1506" t="s">
        <v>8</v>
      </c>
      <c r="W19" s="1507">
        <f>J19</f>
        <v>100</v>
      </c>
      <c r="X19" s="1500"/>
      <c r="Y19" s="4011"/>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11"/>
      <c r="Q20" s="1505"/>
      <c r="R20" s="1506"/>
      <c r="S20" s="1507"/>
      <c r="T20" s="1506"/>
      <c r="U20" s="1507"/>
      <c r="V20" s="1506"/>
      <c r="W20" s="1507"/>
      <c r="X20" s="1500"/>
      <c r="Y20" s="4011"/>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11"/>
      <c r="Q21" s="1505" t="str">
        <f>B21</f>
        <v>办公集聚程度</v>
      </c>
      <c r="R21" s="1506" t="s">
        <v>8</v>
      </c>
      <c r="S21" s="1507">
        <f>F21</f>
        <v>100</v>
      </c>
      <c r="T21" s="1506" t="s">
        <v>8</v>
      </c>
      <c r="U21" s="1507">
        <f>H21</f>
        <v>100</v>
      </c>
      <c r="V21" s="1506" t="s">
        <v>8</v>
      </c>
      <c r="W21" s="1507">
        <f>J21</f>
        <v>100</v>
      </c>
      <c r="X21" s="1500"/>
      <c r="Y21" s="4011"/>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11"/>
      <c r="Q22" s="1505"/>
      <c r="R22" s="1506"/>
      <c r="S22" s="1507"/>
      <c r="T22" s="1506"/>
      <c r="U22" s="1507"/>
      <c r="V22" s="1506"/>
      <c r="W22" s="1507"/>
      <c r="X22" s="1500"/>
      <c r="Y22" s="4011"/>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11"/>
      <c r="Q23" s="1505" t="str">
        <f>B23</f>
        <v>交通便捷度</v>
      </c>
      <c r="R23" s="1506" t="s">
        <v>8</v>
      </c>
      <c r="S23" s="1507">
        <f>F23</f>
        <v>100</v>
      </c>
      <c r="T23" s="1506" t="s">
        <v>8</v>
      </c>
      <c r="U23" s="1507">
        <f>H23</f>
        <v>100</v>
      </c>
      <c r="V23" s="1506" t="s">
        <v>8</v>
      </c>
      <c r="W23" s="1507">
        <f>J23</f>
        <v>100</v>
      </c>
      <c r="X23" s="1500"/>
      <c r="Y23" s="4011"/>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11"/>
      <c r="Q24" s="1505"/>
      <c r="R24" s="1506"/>
      <c r="S24" s="1507"/>
      <c r="T24" s="1506"/>
      <c r="U24" s="1507"/>
      <c r="V24" s="1506"/>
      <c r="W24" s="1507"/>
      <c r="X24" s="1500"/>
      <c r="Y24" s="4011"/>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11"/>
      <c r="Q25" s="1505" t="str">
        <f t="shared" ref="Q25:Q39" si="8">B25</f>
        <v>区域土地利用方向</v>
      </c>
      <c r="R25" s="1506" t="s">
        <v>8</v>
      </c>
      <c r="S25" s="1507">
        <f>F25</f>
        <v>100</v>
      </c>
      <c r="T25" s="1506" t="s">
        <v>8</v>
      </c>
      <c r="U25" s="1507">
        <f>H25</f>
        <v>100</v>
      </c>
      <c r="V25" s="1506" t="s">
        <v>8</v>
      </c>
      <c r="W25" s="1507">
        <f>J25</f>
        <v>100</v>
      </c>
      <c r="X25" s="1500"/>
      <c r="Y25" s="4011"/>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11"/>
      <c r="Q26" s="1505"/>
      <c r="R26" s="1506"/>
      <c r="S26" s="1507"/>
      <c r="T26" s="1506"/>
      <c r="U26" s="1507"/>
      <c r="V26" s="1506"/>
      <c r="W26" s="1507"/>
      <c r="X26" s="1500"/>
      <c r="Y26" s="4011"/>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11"/>
      <c r="Q27" s="1505" t="str">
        <f t="shared" si="8"/>
        <v>自然及人文环境状况</v>
      </c>
      <c r="R27" s="1506" t="s">
        <v>8</v>
      </c>
      <c r="S27" s="1507">
        <f>F27</f>
        <v>100</v>
      </c>
      <c r="T27" s="1506" t="s">
        <v>8</v>
      </c>
      <c r="U27" s="1507">
        <f>H27</f>
        <v>100</v>
      </c>
      <c r="V27" s="1506" t="s">
        <v>8</v>
      </c>
      <c r="W27" s="1507">
        <f>J27</f>
        <v>100</v>
      </c>
      <c r="X27" s="1500"/>
      <c r="Y27" s="4011"/>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11"/>
      <c r="Q28" s="1505"/>
      <c r="R28" s="1506"/>
      <c r="S28" s="1507"/>
      <c r="T28" s="1506"/>
      <c r="U28" s="1507"/>
      <c r="V28" s="1506"/>
      <c r="W28" s="1507"/>
      <c r="X28" s="1500"/>
      <c r="Y28" s="4011"/>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11"/>
      <c r="Q29" s="1132" t="str">
        <f t="shared" si="8"/>
        <v>公共配套设施</v>
      </c>
      <c r="R29" s="1501" t="s">
        <v>8</v>
      </c>
      <c r="S29" s="1502">
        <f>F29</f>
        <v>100</v>
      </c>
      <c r="T29" s="1501" t="s">
        <v>8</v>
      </c>
      <c r="U29" s="1502">
        <f>H29</f>
        <v>100</v>
      </c>
      <c r="V29" s="1501" t="s">
        <v>8</v>
      </c>
      <c r="W29" s="1502">
        <f>J29</f>
        <v>100</v>
      </c>
      <c r="X29" s="1503"/>
      <c r="Y29" s="4011"/>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11"/>
      <c r="Q30" s="1132"/>
      <c r="R30" s="1501"/>
      <c r="S30" s="1502"/>
      <c r="T30" s="1501"/>
      <c r="U30" s="1502"/>
      <c r="V30" s="1501"/>
      <c r="W30" s="1502"/>
      <c r="X30" s="1503"/>
      <c r="Y30" s="4011"/>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11"/>
      <c r="Q31" s="2426" t="str">
        <f t="shared" ref="Q31" si="9">B31</f>
        <v>基础设施水平</v>
      </c>
      <c r="R31" s="1501" t="s">
        <v>8</v>
      </c>
      <c r="S31" s="1502">
        <f>F31</f>
        <v>100</v>
      </c>
      <c r="T31" s="1501" t="s">
        <v>8</v>
      </c>
      <c r="U31" s="1502">
        <f>H31</f>
        <v>100</v>
      </c>
      <c r="V31" s="1501" t="s">
        <v>8</v>
      </c>
      <c r="W31" s="1502">
        <f>J31</f>
        <v>100</v>
      </c>
      <c r="X31" s="1503"/>
      <c r="Y31" s="4011"/>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11"/>
      <c r="Q32" s="2426"/>
      <c r="R32" s="1501"/>
      <c r="S32" s="1502"/>
      <c r="T32" s="1501"/>
      <c r="U32" s="1502"/>
      <c r="V32" s="1501"/>
      <c r="W32" s="1502"/>
      <c r="X32" s="1503"/>
      <c r="Y32" s="4011"/>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1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11"/>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11"/>
      <c r="Q34" s="1505" t="str">
        <f t="shared" si="8"/>
        <v>毗邻道路的类型与等级</v>
      </c>
      <c r="R34" s="1506" t="s">
        <v>8</v>
      </c>
      <c r="S34" s="1507">
        <f t="shared" si="10"/>
        <v>100</v>
      </c>
      <c r="T34" s="1506" t="s">
        <v>8</v>
      </c>
      <c r="U34" s="1507">
        <f t="shared" si="11"/>
        <v>100</v>
      </c>
      <c r="V34" s="1506" t="s">
        <v>8</v>
      </c>
      <c r="W34" s="1507">
        <f t="shared" si="12"/>
        <v>100</v>
      </c>
      <c r="X34" s="1500"/>
      <c r="Y34" s="4011"/>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11"/>
      <c r="Q35" s="1505"/>
      <c r="R35" s="1506"/>
      <c r="S35" s="1507"/>
      <c r="T35" s="1506"/>
      <c r="U35" s="1507"/>
      <c r="V35" s="1506"/>
      <c r="W35" s="1507"/>
      <c r="X35" s="1500"/>
      <c r="Y35" s="4011"/>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11"/>
      <c r="Q36" s="1505" t="str">
        <f t="shared" si="8"/>
        <v>土地级别</v>
      </c>
      <c r="R36" s="1506" t="s">
        <v>8</v>
      </c>
      <c r="S36" s="1507">
        <f t="shared" si="10"/>
        <v>100</v>
      </c>
      <c r="T36" s="1506" t="s">
        <v>8</v>
      </c>
      <c r="U36" s="1507">
        <f t="shared" si="11"/>
        <v>100</v>
      </c>
      <c r="V36" s="1506" t="s">
        <v>8</v>
      </c>
      <c r="W36" s="1507">
        <f t="shared" si="12"/>
        <v>100</v>
      </c>
      <c r="X36" s="1500"/>
      <c r="Y36" s="4011"/>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11"/>
      <c r="Q37" s="1505">
        <f t="shared" si="8"/>
        <v>111</v>
      </c>
      <c r="R37" s="1506" t="s">
        <v>8</v>
      </c>
      <c r="S37" s="1507">
        <f t="shared" si="10"/>
        <v>100</v>
      </c>
      <c r="T37" s="1506" t="s">
        <v>8</v>
      </c>
      <c r="U37" s="1507">
        <f t="shared" si="11"/>
        <v>100</v>
      </c>
      <c r="V37" s="1506" t="s">
        <v>8</v>
      </c>
      <c r="W37" s="1507">
        <f t="shared" si="12"/>
        <v>100</v>
      </c>
      <c r="X37" s="1500"/>
      <c r="Y37" s="4011"/>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12" t="s">
        <v>542</v>
      </c>
      <c r="Q38" s="1505">
        <f t="shared" si="8"/>
        <v>111</v>
      </c>
      <c r="R38" s="1506" t="s">
        <v>8</v>
      </c>
      <c r="S38" s="1507">
        <f t="shared" si="10"/>
        <v>100</v>
      </c>
      <c r="T38" s="1506" t="s">
        <v>8</v>
      </c>
      <c r="U38" s="1507">
        <f t="shared" si="11"/>
        <v>100</v>
      </c>
      <c r="V38" s="1506" t="s">
        <v>8</v>
      </c>
      <c r="W38" s="1507">
        <f t="shared" si="12"/>
        <v>100</v>
      </c>
      <c r="X38" s="1500"/>
      <c r="Y38" s="4013"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13"/>
      <c r="Q39" s="1505">
        <f t="shared" si="8"/>
        <v>111</v>
      </c>
      <c r="R39" s="1510" t="s">
        <v>8</v>
      </c>
      <c r="S39" s="1511">
        <f t="shared" si="10"/>
        <v>100</v>
      </c>
      <c r="T39" s="1510" t="s">
        <v>8</v>
      </c>
      <c r="U39" s="1511">
        <f t="shared" si="11"/>
        <v>100</v>
      </c>
      <c r="V39" s="1510" t="s">
        <v>8</v>
      </c>
      <c r="W39" s="1511">
        <f t="shared" si="12"/>
        <v>100</v>
      </c>
      <c r="X39" s="1512"/>
      <c r="Y39" s="4013"/>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13"/>
      <c r="Q40" s="1505" t="str">
        <f>B40</f>
        <v>宗地面积</v>
      </c>
      <c r="R40" s="1506" t="s">
        <v>8</v>
      </c>
      <c r="S40" s="1507" t="e">
        <f t="shared" si="10"/>
        <v>#N/A</v>
      </c>
      <c r="T40" s="1506" t="s">
        <v>8</v>
      </c>
      <c r="U40" s="1507" t="e">
        <f t="shared" si="11"/>
        <v>#N/A</v>
      </c>
      <c r="V40" s="1506" t="s">
        <v>8</v>
      </c>
      <c r="W40" s="1507" t="e">
        <f t="shared" si="12"/>
        <v>#N/A</v>
      </c>
      <c r="X40" s="1500"/>
      <c r="Y40" s="4013"/>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13"/>
      <c r="Q41" s="1505" t="str">
        <f t="shared" ref="Q41:Q47" si="14">B41</f>
        <v>宗地形状</v>
      </c>
      <c r="R41" s="1506" t="s">
        <v>8</v>
      </c>
      <c r="S41" s="1507">
        <f t="shared" si="10"/>
        <v>100</v>
      </c>
      <c r="T41" s="1506" t="s">
        <v>8</v>
      </c>
      <c r="U41" s="1507">
        <f t="shared" si="11"/>
        <v>100</v>
      </c>
      <c r="V41" s="1506" t="s">
        <v>8</v>
      </c>
      <c r="W41" s="1507">
        <f t="shared" si="12"/>
        <v>100</v>
      </c>
      <c r="X41" s="1500"/>
      <c r="Y41" s="4013"/>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13"/>
      <c r="Q42" s="1505" t="str">
        <f t="shared" si="14"/>
        <v>临街宽度及深度</v>
      </c>
      <c r="R42" s="1506" t="s">
        <v>8</v>
      </c>
      <c r="S42" s="1507">
        <f t="shared" si="10"/>
        <v>100</v>
      </c>
      <c r="T42" s="1506" t="s">
        <v>8</v>
      </c>
      <c r="U42" s="1507">
        <f t="shared" si="11"/>
        <v>100</v>
      </c>
      <c r="V42" s="1506" t="s">
        <v>8</v>
      </c>
      <c r="W42" s="1507">
        <f t="shared" si="12"/>
        <v>100</v>
      </c>
      <c r="X42" s="1500"/>
      <c r="Y42" s="4013"/>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13"/>
      <c r="Q43" s="1505" t="str">
        <f t="shared" si="14"/>
        <v>宗地开发程度</v>
      </c>
      <c r="R43" s="1501" t="s">
        <v>8</v>
      </c>
      <c r="S43" s="1502">
        <f t="shared" si="10"/>
        <v>100</v>
      </c>
      <c r="T43" s="1501" t="s">
        <v>8</v>
      </c>
      <c r="U43" s="1502">
        <f t="shared" si="11"/>
        <v>100</v>
      </c>
      <c r="V43" s="1501" t="s">
        <v>8</v>
      </c>
      <c r="W43" s="1502">
        <f t="shared" si="12"/>
        <v>100</v>
      </c>
      <c r="X43" s="1503"/>
      <c r="Y43" s="4013"/>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13" t="s">
        <v>542</v>
      </c>
      <c r="Q44" s="1505" t="str">
        <f t="shared" si="14"/>
        <v>工程地质条件</v>
      </c>
      <c r="R44" s="1506" t="s">
        <v>8</v>
      </c>
      <c r="S44" s="1507">
        <f t="shared" si="10"/>
        <v>100</v>
      </c>
      <c r="T44" s="1506" t="s">
        <v>8</v>
      </c>
      <c r="U44" s="1507">
        <f t="shared" si="11"/>
        <v>100</v>
      </c>
      <c r="V44" s="1506" t="s">
        <v>8</v>
      </c>
      <c r="W44" s="1507">
        <f t="shared" si="12"/>
        <v>100</v>
      </c>
      <c r="X44" s="1500"/>
      <c r="Y44" s="4013"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13"/>
      <c r="Q45" s="1505">
        <f t="shared" si="14"/>
        <v>111</v>
      </c>
      <c r="R45" s="1506" t="s">
        <v>8</v>
      </c>
      <c r="S45" s="1507">
        <f t="shared" si="10"/>
        <v>100</v>
      </c>
      <c r="T45" s="1506" t="s">
        <v>8</v>
      </c>
      <c r="U45" s="1507">
        <f t="shared" si="11"/>
        <v>100</v>
      </c>
      <c r="V45" s="1506" t="s">
        <v>8</v>
      </c>
      <c r="W45" s="1507">
        <f t="shared" si="12"/>
        <v>100</v>
      </c>
      <c r="X45" s="1500"/>
      <c r="Y45" s="4013"/>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13"/>
      <c r="Q46" s="1505">
        <f t="shared" si="14"/>
        <v>111</v>
      </c>
      <c r="R46" s="1506" t="s">
        <v>8</v>
      </c>
      <c r="S46" s="1507">
        <f t="shared" si="10"/>
        <v>100</v>
      </c>
      <c r="T46" s="1506" t="s">
        <v>8</v>
      </c>
      <c r="U46" s="1507">
        <f t="shared" si="11"/>
        <v>100</v>
      </c>
      <c r="V46" s="1506" t="s">
        <v>8</v>
      </c>
      <c r="W46" s="1507">
        <f t="shared" si="12"/>
        <v>100</v>
      </c>
      <c r="X46" s="1500"/>
      <c r="Y46" s="4013"/>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13"/>
      <c r="Q47" s="1505">
        <f t="shared" si="14"/>
        <v>111</v>
      </c>
      <c r="R47" s="1510" t="s">
        <v>8</v>
      </c>
      <c r="S47" s="1511">
        <f t="shared" si="10"/>
        <v>100</v>
      </c>
      <c r="T47" s="1510" t="s">
        <v>8</v>
      </c>
      <c r="U47" s="1511">
        <f t="shared" si="11"/>
        <v>100</v>
      </c>
      <c r="V47" s="1510" t="s">
        <v>8</v>
      </c>
      <c r="W47" s="1511">
        <f t="shared" si="12"/>
        <v>100</v>
      </c>
      <c r="X47" s="1512"/>
      <c r="Y47" s="4013"/>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76" t="str">
        <f>A48</f>
        <v>成交单价</v>
      </c>
      <c r="Q48" s="3976"/>
      <c r="R48" s="3977">
        <f>E48</f>
        <v>0</v>
      </c>
      <c r="S48" s="3977"/>
      <c r="T48" s="3977">
        <f>G48</f>
        <v>0</v>
      </c>
      <c r="U48" s="3977"/>
      <c r="V48" s="3977">
        <f>I48</f>
        <v>0</v>
      </c>
      <c r="W48" s="3977"/>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76" t="str">
        <f>A49</f>
        <v>比较价格（元/平方米）</v>
      </c>
      <c r="Q49" s="3976"/>
      <c r="R49" s="3978" t="e">
        <f>ROUND(PRODUCT(R48,AA9:AA47),0)</f>
        <v>#DIV/0!</v>
      </c>
      <c r="S49" s="3978"/>
      <c r="T49" s="3978" t="e">
        <f>ROUND(PRODUCT(T48,AB9:AB47),0)</f>
        <v>#DIV/0!</v>
      </c>
      <c r="U49" s="3978"/>
      <c r="V49" s="3978" t="e">
        <f>ROUND(PRODUCT(V48,AC9:AC47),0)</f>
        <v>#DIV/0!</v>
      </c>
      <c r="W49" s="3978"/>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73" t="str">
        <f>A50</f>
        <v>估价对象XX用房的比较价格（楼面单价，元/平方米）</v>
      </c>
      <c r="Q50" s="3974"/>
      <c r="R50" s="3975" t="e">
        <f>ROUND(IF(D49="简单平均",AVERAGE(R49:W49),R49*F49+T49*H49+V49*J49),0)</f>
        <v>#DIV/0!</v>
      </c>
      <c r="S50" s="3975"/>
      <c r="T50" s="3975"/>
      <c r="U50" s="3975"/>
      <c r="V50" s="3975"/>
      <c r="W50" s="3975"/>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4002" t="s">
        <v>2266</v>
      </c>
      <c r="H57" s="4003"/>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780200</v>
      </c>
      <c r="F58" s="626" t="e">
        <f t="shared" ref="F58:F67" si="15">ROUND(B58*E58/10000,0)</f>
        <v>#DIV/0!</v>
      </c>
      <c r="G58" s="4004"/>
      <c r="H58" s="4005"/>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4006"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4006"/>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4006"/>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4006"/>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81070.11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55" priority="18" stopIfTrue="1" operator="containsText" text="超过">
      <formula>NOT(ISERROR(SEARCH("超过",F53)))</formula>
    </cfRule>
  </conditionalFormatting>
  <conditionalFormatting sqref="J55">
    <cfRule type="containsText" dxfId="254" priority="17" stopIfTrue="1" operator="containsText" text="超过">
      <formula>NOT(ISERROR(SEARCH("超过",J55)))</formula>
    </cfRule>
  </conditionalFormatting>
  <conditionalFormatting sqref="H55">
    <cfRule type="containsText" dxfId="253" priority="16" stopIfTrue="1" operator="containsText" text="超过">
      <formula>NOT(ISERROR(SEARCH("超过",H55)))</formula>
    </cfRule>
  </conditionalFormatting>
  <conditionalFormatting sqref="F55">
    <cfRule type="containsText" dxfId="252" priority="15" stopIfTrue="1" operator="containsText" text="超过">
      <formula>NOT(ISERROR(SEARCH("超过",F55)))</formula>
    </cfRule>
  </conditionalFormatting>
  <conditionalFormatting sqref="F54 H54 J54">
    <cfRule type="containsText" dxfId="251" priority="14" stopIfTrue="1" operator="containsText" text="超过">
      <formula>NOT(ISERROR(SEARCH("超过",F54)))</formula>
    </cfRule>
  </conditionalFormatting>
  <conditionalFormatting sqref="E53">
    <cfRule type="expression" dxfId="250" priority="13" stopIfTrue="1">
      <formula>$F$53="超过30%"</formula>
    </cfRule>
  </conditionalFormatting>
  <conditionalFormatting sqref="G55">
    <cfRule type="expression" dxfId="249" priority="12" stopIfTrue="1">
      <formula>$H$55="超过30%"</formula>
    </cfRule>
  </conditionalFormatting>
  <conditionalFormatting sqref="E54">
    <cfRule type="expression" dxfId="248" priority="11" stopIfTrue="1">
      <formula>$F$54="超过20%"</formula>
    </cfRule>
  </conditionalFormatting>
  <conditionalFormatting sqref="E55">
    <cfRule type="expression" dxfId="247" priority="10" stopIfTrue="1">
      <formula>$F$55="超过30%"</formula>
    </cfRule>
  </conditionalFormatting>
  <conditionalFormatting sqref="G53">
    <cfRule type="expression" dxfId="246" priority="9" stopIfTrue="1">
      <formula>$H$55+$H$53="超过30%"</formula>
    </cfRule>
  </conditionalFormatting>
  <conditionalFormatting sqref="G54">
    <cfRule type="expression" dxfId="245" priority="8" stopIfTrue="1">
      <formula>$H$54="超过20%"</formula>
    </cfRule>
  </conditionalFormatting>
  <conditionalFormatting sqref="I53">
    <cfRule type="expression" dxfId="244" priority="7" stopIfTrue="1">
      <formula>$J$53="超过30%"</formula>
    </cfRule>
  </conditionalFormatting>
  <conditionalFormatting sqref="I54">
    <cfRule type="expression" dxfId="243" priority="6" stopIfTrue="1">
      <formula>$J$54="超过20%"</formula>
    </cfRule>
  </conditionalFormatting>
  <conditionalFormatting sqref="I55">
    <cfRule type="expression" dxfId="242" priority="5" stopIfTrue="1">
      <formula>$J$55="超过30%"</formula>
    </cfRule>
  </conditionalFormatting>
  <conditionalFormatting sqref="F49">
    <cfRule type="expression" dxfId="241" priority="4">
      <formula>$D$49="简单平均"</formula>
    </cfRule>
  </conditionalFormatting>
  <conditionalFormatting sqref="H49">
    <cfRule type="expression" dxfId="240" priority="3">
      <formula>$D$49="简单平均"</formula>
    </cfRule>
  </conditionalFormatting>
  <conditionalFormatting sqref="J49">
    <cfRule type="expression" dxfId="239" priority="2">
      <formula>$D$49="简单平均"</formula>
    </cfRule>
  </conditionalFormatting>
  <conditionalFormatting sqref="F9:F47 H9:H47 J9:J47">
    <cfRule type="cellIs" dxfId="23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82" t="s">
        <v>514</v>
      </c>
      <c r="D6" s="3983"/>
      <c r="E6" s="4016" t="s">
        <v>515</v>
      </c>
      <c r="F6" s="4017"/>
      <c r="G6" s="3982" t="s">
        <v>516</v>
      </c>
      <c r="H6" s="3983"/>
      <c r="I6" s="3982" t="s">
        <v>517</v>
      </c>
      <c r="J6" s="3983"/>
      <c r="K6" s="506" t="s">
        <v>518</v>
      </c>
      <c r="L6" s="2013"/>
      <c r="M6" s="2014"/>
      <c r="N6" s="2014"/>
      <c r="O6" s="2014"/>
      <c r="P6" s="3984" t="s">
        <v>519</v>
      </c>
      <c r="Q6" s="3985"/>
      <c r="R6" s="3990" t="s">
        <v>515</v>
      </c>
      <c r="S6" s="3991"/>
      <c r="T6" s="3990" t="s">
        <v>516</v>
      </c>
      <c r="U6" s="3991"/>
      <c r="V6" s="3977" t="s">
        <v>517</v>
      </c>
      <c r="W6" s="3977"/>
      <c r="X6" s="1500"/>
      <c r="Y6" s="3990" t="s">
        <v>519</v>
      </c>
      <c r="Z6" s="3991"/>
      <c r="AA6" s="3979" t="s">
        <v>515</v>
      </c>
      <c r="AB6" s="3980" t="s">
        <v>516</v>
      </c>
      <c r="AC6" s="3979" t="s">
        <v>517</v>
      </c>
    </row>
    <row r="7" spans="1:29" ht="15">
      <c r="A7" s="507"/>
      <c r="B7" s="508"/>
      <c r="C7" s="3998" t="s">
        <v>2892</v>
      </c>
      <c r="D7" s="3999"/>
      <c r="E7" s="4018" t="s">
        <v>2893</v>
      </c>
      <c r="F7" s="4019"/>
      <c r="G7" s="3998" t="s">
        <v>2894</v>
      </c>
      <c r="H7" s="3999"/>
      <c r="I7" s="3998" t="s">
        <v>2895</v>
      </c>
      <c r="J7" s="3999"/>
      <c r="K7" s="506"/>
      <c r="L7" s="2013"/>
      <c r="M7" s="2014"/>
      <c r="N7" s="2014"/>
      <c r="O7" s="2014"/>
      <c r="P7" s="3986"/>
      <c r="Q7" s="3987"/>
      <c r="R7" s="3992"/>
      <c r="S7" s="3993"/>
      <c r="T7" s="3992"/>
      <c r="U7" s="3993"/>
      <c r="V7" s="3977"/>
      <c r="W7" s="3977"/>
      <c r="X7" s="1500"/>
      <c r="Y7" s="3992"/>
      <c r="Z7" s="3993"/>
      <c r="AA7" s="3980"/>
      <c r="AB7" s="3980"/>
      <c r="AC7" s="3980"/>
    </row>
    <row r="8" spans="1:29" ht="15.75" thickBot="1">
      <c r="A8" s="509"/>
      <c r="B8" s="510"/>
      <c r="C8" s="3996" t="s">
        <v>2896</v>
      </c>
      <c r="D8" s="3997"/>
      <c r="E8" s="4014" t="s">
        <v>2896</v>
      </c>
      <c r="F8" s="4015"/>
      <c r="G8" s="3996" t="s">
        <v>2896</v>
      </c>
      <c r="H8" s="3997"/>
      <c r="I8" s="3996" t="s">
        <v>2896</v>
      </c>
      <c r="J8" s="3997"/>
      <c r="K8" s="506" t="s">
        <v>520</v>
      </c>
      <c r="L8" s="2013"/>
      <c r="M8" s="2014"/>
      <c r="N8" s="2014"/>
      <c r="O8" s="2014"/>
      <c r="P8" s="3988"/>
      <c r="Q8" s="3989"/>
      <c r="R8" s="3992"/>
      <c r="S8" s="3993"/>
      <c r="T8" s="3994"/>
      <c r="U8" s="3995"/>
      <c r="V8" s="3977"/>
      <c r="W8" s="3977"/>
      <c r="X8" s="1500"/>
      <c r="Y8" s="3994"/>
      <c r="Z8" s="3995"/>
      <c r="AA8" s="3981"/>
      <c r="AB8" s="3981"/>
      <c r="AC8" s="3981"/>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4007" t="s">
        <v>522</v>
      </c>
      <c r="Q9" s="4009"/>
      <c r="R9" s="1501" t="s">
        <v>8</v>
      </c>
      <c r="S9" s="1502">
        <f t="shared" ref="S9:S17" si="0">F9</f>
        <v>0</v>
      </c>
      <c r="T9" s="1501" t="s">
        <v>8</v>
      </c>
      <c r="U9" s="1502">
        <f t="shared" ref="U9:U17" si="1">H9</f>
        <v>0</v>
      </c>
      <c r="V9" s="1501" t="s">
        <v>8</v>
      </c>
      <c r="W9" s="1502">
        <f t="shared" ref="W9:W17" si="2">J9</f>
        <v>0</v>
      </c>
      <c r="X9" s="1503"/>
      <c r="Y9" s="4007" t="s">
        <v>522</v>
      </c>
      <c r="Z9" s="4008"/>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4007" t="s">
        <v>525</v>
      </c>
      <c r="Q10" s="4008"/>
      <c r="R10" s="1501" t="s">
        <v>8</v>
      </c>
      <c r="S10" s="1502">
        <f t="shared" si="0"/>
        <v>0</v>
      </c>
      <c r="T10" s="1501" t="s">
        <v>8</v>
      </c>
      <c r="U10" s="1502">
        <f t="shared" si="1"/>
        <v>0</v>
      </c>
      <c r="V10" s="1501" t="s">
        <v>8</v>
      </c>
      <c r="W10" s="1502">
        <f t="shared" si="2"/>
        <v>0</v>
      </c>
      <c r="X10" s="1503"/>
      <c r="Y10" s="4007" t="s">
        <v>525</v>
      </c>
      <c r="Z10" s="4008"/>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76" t="s">
        <v>527</v>
      </c>
      <c r="Q11" s="1132" t="str">
        <f t="shared" ref="Q11:Q17" si="6">B11</f>
        <v>用途</v>
      </c>
      <c r="R11" s="1501" t="s">
        <v>8</v>
      </c>
      <c r="S11" s="1502">
        <f t="shared" si="0"/>
        <v>100</v>
      </c>
      <c r="T11" s="1501" t="s">
        <v>8</v>
      </c>
      <c r="U11" s="1502">
        <f t="shared" si="1"/>
        <v>100</v>
      </c>
      <c r="V11" s="1501" t="s">
        <v>8</v>
      </c>
      <c r="W11" s="1502">
        <f t="shared" si="2"/>
        <v>100</v>
      </c>
      <c r="X11" s="1503"/>
      <c r="Y11" s="3922"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76"/>
      <c r="Q12" s="1132" t="str">
        <f t="shared" si="6"/>
        <v>土地使用年限（年）</v>
      </c>
      <c r="R12" s="1501" t="s">
        <v>8</v>
      </c>
      <c r="S12" s="1502" t="e">
        <f t="shared" si="0"/>
        <v>#DIV/0!</v>
      </c>
      <c r="T12" s="1501" t="s">
        <v>8</v>
      </c>
      <c r="U12" s="1502" t="e">
        <f t="shared" si="1"/>
        <v>#DIV/0!</v>
      </c>
      <c r="V12" s="1501" t="s">
        <v>8</v>
      </c>
      <c r="W12" s="1502" t="e">
        <f t="shared" si="2"/>
        <v>#DIV/0!</v>
      </c>
      <c r="X12" s="1503"/>
      <c r="Y12" s="3922"/>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76"/>
      <c r="Q13" s="1132" t="str">
        <f t="shared" si="6"/>
        <v>容积率</v>
      </c>
      <c r="R13" s="1501" t="s">
        <v>8</v>
      </c>
      <c r="S13" s="1502" t="e">
        <f t="shared" si="0"/>
        <v>#N/A</v>
      </c>
      <c r="T13" s="1501" t="s">
        <v>8</v>
      </c>
      <c r="U13" s="1502" t="e">
        <f t="shared" si="1"/>
        <v>#N/A</v>
      </c>
      <c r="V13" s="1501" t="s">
        <v>8</v>
      </c>
      <c r="W13" s="1502" t="e">
        <f t="shared" si="2"/>
        <v>#N/A</v>
      </c>
      <c r="X13" s="1503"/>
      <c r="Y13" s="3922"/>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76"/>
      <c r="Q15" s="1132">
        <f t="shared" si="6"/>
        <v>111</v>
      </c>
      <c r="R15" s="1501" t="s">
        <v>8</v>
      </c>
      <c r="S15" s="1502">
        <f t="shared" si="0"/>
        <v>100</v>
      </c>
      <c r="T15" s="1501" t="s">
        <v>8</v>
      </c>
      <c r="U15" s="1502">
        <f t="shared" si="1"/>
        <v>100</v>
      </c>
      <c r="V15" s="1501" t="s">
        <v>8</v>
      </c>
      <c r="W15" s="1502">
        <f t="shared" si="2"/>
        <v>100</v>
      </c>
      <c r="X15" s="1503"/>
      <c r="Y15" s="3922"/>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76"/>
      <c r="Q16" s="1132">
        <f t="shared" si="6"/>
        <v>111</v>
      </c>
      <c r="R16" s="1501" t="s">
        <v>8</v>
      </c>
      <c r="S16" s="1502">
        <f t="shared" si="0"/>
        <v>100</v>
      </c>
      <c r="T16" s="1501" t="s">
        <v>8</v>
      </c>
      <c r="U16" s="1502">
        <f t="shared" si="1"/>
        <v>100</v>
      </c>
      <c r="V16" s="1501" t="s">
        <v>8</v>
      </c>
      <c r="W16" s="1502">
        <f t="shared" si="2"/>
        <v>100</v>
      </c>
      <c r="X16" s="1503"/>
      <c r="Y16" s="3922"/>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10" t="s">
        <v>532</v>
      </c>
      <c r="Q17" s="1505" t="str">
        <f t="shared" si="6"/>
        <v>产业集聚程度</v>
      </c>
      <c r="R17" s="1506" t="s">
        <v>8</v>
      </c>
      <c r="S17" s="1507">
        <f t="shared" si="0"/>
        <v>100</v>
      </c>
      <c r="T17" s="1506" t="s">
        <v>8</v>
      </c>
      <c r="U17" s="1507">
        <f t="shared" si="1"/>
        <v>100</v>
      </c>
      <c r="V17" s="1506" t="s">
        <v>8</v>
      </c>
      <c r="W17" s="1507">
        <f t="shared" si="2"/>
        <v>100</v>
      </c>
      <c r="X17" s="1500"/>
      <c r="Y17" s="4010"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11"/>
      <c r="Q18" s="1505"/>
      <c r="R18" s="1506"/>
      <c r="S18" s="1507"/>
      <c r="T18" s="1506"/>
      <c r="U18" s="1507"/>
      <c r="V18" s="1506"/>
      <c r="W18" s="1507"/>
      <c r="X18" s="1500"/>
      <c r="Y18" s="4011"/>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11"/>
      <c r="Q19" s="1505" t="str">
        <f>B19</f>
        <v>交通便捷度</v>
      </c>
      <c r="R19" s="1506" t="s">
        <v>8</v>
      </c>
      <c r="S19" s="1507">
        <f>F19</f>
        <v>100</v>
      </c>
      <c r="T19" s="1506" t="s">
        <v>8</v>
      </c>
      <c r="U19" s="1507">
        <f>H19</f>
        <v>100</v>
      </c>
      <c r="V19" s="1506" t="s">
        <v>8</v>
      </c>
      <c r="W19" s="1507">
        <f>J19</f>
        <v>100</v>
      </c>
      <c r="X19" s="1500"/>
      <c r="Y19" s="4011"/>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11"/>
      <c r="Q20" s="1505"/>
      <c r="R20" s="1506"/>
      <c r="S20" s="1507"/>
      <c r="T20" s="1506"/>
      <c r="U20" s="1507"/>
      <c r="V20" s="1506"/>
      <c r="W20" s="1507"/>
      <c r="X20" s="1500"/>
      <c r="Y20" s="4011"/>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11"/>
      <c r="Q21" s="1505" t="str">
        <f t="shared" ref="Q21:Q35" si="8">B21</f>
        <v>区域土地利用方向</v>
      </c>
      <c r="R21" s="1506" t="s">
        <v>8</v>
      </c>
      <c r="S21" s="1507">
        <f>F21</f>
        <v>100</v>
      </c>
      <c r="T21" s="1506" t="s">
        <v>8</v>
      </c>
      <c r="U21" s="1507">
        <f>H21</f>
        <v>100</v>
      </c>
      <c r="V21" s="1506" t="s">
        <v>8</v>
      </c>
      <c r="W21" s="1507">
        <f>J21</f>
        <v>100</v>
      </c>
      <c r="X21" s="1500"/>
      <c r="Y21" s="4011"/>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11"/>
      <c r="Q22" s="1505"/>
      <c r="R22" s="1506"/>
      <c r="S22" s="1507"/>
      <c r="T22" s="1506"/>
      <c r="U22" s="1507"/>
      <c r="V22" s="1506"/>
      <c r="W22" s="1507"/>
      <c r="X22" s="1500"/>
      <c r="Y22" s="4011"/>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11"/>
      <c r="Q23" s="1505" t="str">
        <f t="shared" si="8"/>
        <v>环境状况</v>
      </c>
      <c r="R23" s="1506" t="s">
        <v>8</v>
      </c>
      <c r="S23" s="1507">
        <f>F23</f>
        <v>100</v>
      </c>
      <c r="T23" s="1506" t="s">
        <v>8</v>
      </c>
      <c r="U23" s="1507">
        <f>H23</f>
        <v>100</v>
      </c>
      <c r="V23" s="1506" t="s">
        <v>8</v>
      </c>
      <c r="W23" s="1507">
        <f>J23</f>
        <v>100</v>
      </c>
      <c r="X23" s="1500"/>
      <c r="Y23" s="4011"/>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11"/>
      <c r="Q24" s="1505"/>
      <c r="R24" s="1506"/>
      <c r="S24" s="1507"/>
      <c r="T24" s="1506"/>
      <c r="U24" s="1507"/>
      <c r="V24" s="1506"/>
      <c r="W24" s="1507"/>
      <c r="X24" s="1500"/>
      <c r="Y24" s="4011"/>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11"/>
      <c r="Q25" s="1132" t="str">
        <f t="shared" si="8"/>
        <v>公共配套设施</v>
      </c>
      <c r="R25" s="1501" t="s">
        <v>8</v>
      </c>
      <c r="S25" s="1502">
        <f>F25</f>
        <v>100</v>
      </c>
      <c r="T25" s="1501" t="s">
        <v>8</v>
      </c>
      <c r="U25" s="1502">
        <f>H25</f>
        <v>100</v>
      </c>
      <c r="V25" s="1501" t="s">
        <v>8</v>
      </c>
      <c r="W25" s="1502">
        <f>J25</f>
        <v>100</v>
      </c>
      <c r="X25" s="1503"/>
      <c r="Y25" s="4011"/>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11"/>
      <c r="Q26" s="1132"/>
      <c r="R26" s="1501"/>
      <c r="S26" s="1502"/>
      <c r="T26" s="1501"/>
      <c r="U26" s="1502"/>
      <c r="V26" s="1501"/>
      <c r="W26" s="1502"/>
      <c r="X26" s="1503"/>
      <c r="Y26" s="4011"/>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11"/>
      <c r="Q27" s="2426" t="str">
        <f t="shared" ref="Q27" si="9">B27</f>
        <v>基础设施水平</v>
      </c>
      <c r="R27" s="1501" t="s">
        <v>8</v>
      </c>
      <c r="S27" s="1502">
        <f>F27</f>
        <v>100</v>
      </c>
      <c r="T27" s="1501" t="s">
        <v>8</v>
      </c>
      <c r="U27" s="1502">
        <f>H27</f>
        <v>100</v>
      </c>
      <c r="V27" s="1501" t="s">
        <v>8</v>
      </c>
      <c r="W27" s="1502">
        <f>J27</f>
        <v>100</v>
      </c>
      <c r="X27" s="1503"/>
      <c r="Y27" s="4011"/>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11"/>
      <c r="Q28" s="2426"/>
      <c r="R28" s="1501"/>
      <c r="S28" s="1502"/>
      <c r="T28" s="1501"/>
      <c r="U28" s="1502"/>
      <c r="V28" s="1501"/>
      <c r="W28" s="1502"/>
      <c r="X28" s="1503"/>
      <c r="Y28" s="4011"/>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1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11"/>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11"/>
      <c r="Q30" s="1505" t="str">
        <f t="shared" si="8"/>
        <v>毗邻道路的类型与等级</v>
      </c>
      <c r="R30" s="1506" t="s">
        <v>8</v>
      </c>
      <c r="S30" s="1507">
        <f t="shared" si="10"/>
        <v>100</v>
      </c>
      <c r="T30" s="1506" t="s">
        <v>8</v>
      </c>
      <c r="U30" s="1507">
        <f t="shared" si="11"/>
        <v>100</v>
      </c>
      <c r="V30" s="1506" t="s">
        <v>8</v>
      </c>
      <c r="W30" s="1507">
        <f t="shared" si="12"/>
        <v>100</v>
      </c>
      <c r="X30" s="1500"/>
      <c r="Y30" s="4011"/>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11"/>
      <c r="Q31" s="1505"/>
      <c r="R31" s="1506"/>
      <c r="S31" s="1507"/>
      <c r="T31" s="1506"/>
      <c r="U31" s="1507"/>
      <c r="V31" s="1506"/>
      <c r="W31" s="1507"/>
      <c r="X31" s="1500"/>
      <c r="Y31" s="4011"/>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11"/>
      <c r="Q32" s="1505" t="str">
        <f t="shared" si="8"/>
        <v>土地级别</v>
      </c>
      <c r="R32" s="1506" t="s">
        <v>8</v>
      </c>
      <c r="S32" s="1507">
        <f t="shared" si="10"/>
        <v>100</v>
      </c>
      <c r="T32" s="1506" t="s">
        <v>8</v>
      </c>
      <c r="U32" s="1507">
        <f t="shared" si="11"/>
        <v>100</v>
      </c>
      <c r="V32" s="1506" t="s">
        <v>8</v>
      </c>
      <c r="W32" s="1507">
        <f t="shared" si="12"/>
        <v>100</v>
      </c>
      <c r="X32" s="1500"/>
      <c r="Y32" s="4011"/>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11"/>
      <c r="Q33" s="1505">
        <f t="shared" si="8"/>
        <v>111</v>
      </c>
      <c r="R33" s="1506" t="s">
        <v>8</v>
      </c>
      <c r="S33" s="1507">
        <f t="shared" si="10"/>
        <v>100</v>
      </c>
      <c r="T33" s="1506" t="s">
        <v>8</v>
      </c>
      <c r="U33" s="1507">
        <f t="shared" si="11"/>
        <v>100</v>
      </c>
      <c r="V33" s="1506" t="s">
        <v>8</v>
      </c>
      <c r="W33" s="1507">
        <f t="shared" si="12"/>
        <v>100</v>
      </c>
      <c r="X33" s="1500"/>
      <c r="Y33" s="4011"/>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12" t="s">
        <v>542</v>
      </c>
      <c r="Q34" s="1505">
        <f t="shared" si="8"/>
        <v>111</v>
      </c>
      <c r="R34" s="1506" t="s">
        <v>8</v>
      </c>
      <c r="S34" s="1507">
        <f t="shared" si="10"/>
        <v>100</v>
      </c>
      <c r="T34" s="1506" t="s">
        <v>8</v>
      </c>
      <c r="U34" s="1507">
        <f t="shared" si="11"/>
        <v>100</v>
      </c>
      <c r="V34" s="1506" t="s">
        <v>8</v>
      </c>
      <c r="W34" s="1507">
        <f t="shared" si="12"/>
        <v>100</v>
      </c>
      <c r="X34" s="1500"/>
      <c r="Y34" s="4013"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13"/>
      <c r="Q35" s="1505">
        <f t="shared" si="8"/>
        <v>111</v>
      </c>
      <c r="R35" s="1510" t="s">
        <v>8</v>
      </c>
      <c r="S35" s="1511">
        <f t="shared" si="10"/>
        <v>100</v>
      </c>
      <c r="T35" s="1510" t="s">
        <v>8</v>
      </c>
      <c r="U35" s="1511">
        <f t="shared" si="11"/>
        <v>100</v>
      </c>
      <c r="V35" s="1510" t="s">
        <v>8</v>
      </c>
      <c r="W35" s="1511">
        <f t="shared" si="12"/>
        <v>100</v>
      </c>
      <c r="X35" s="1512"/>
      <c r="Y35" s="4013"/>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13"/>
      <c r="Q36" s="1505" t="str">
        <f>B36</f>
        <v>宗地面积</v>
      </c>
      <c r="R36" s="1506" t="s">
        <v>8</v>
      </c>
      <c r="S36" s="1507" t="e">
        <f t="shared" si="10"/>
        <v>#N/A</v>
      </c>
      <c r="T36" s="1506" t="s">
        <v>8</v>
      </c>
      <c r="U36" s="1507" t="e">
        <f t="shared" si="11"/>
        <v>#N/A</v>
      </c>
      <c r="V36" s="1506" t="s">
        <v>8</v>
      </c>
      <c r="W36" s="1507" t="e">
        <f t="shared" si="12"/>
        <v>#N/A</v>
      </c>
      <c r="X36" s="1500"/>
      <c r="Y36" s="4013"/>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13"/>
      <c r="Q37" s="1505" t="str">
        <f t="shared" ref="Q37:Q42" si="14">B37</f>
        <v>宗地形状</v>
      </c>
      <c r="R37" s="1506" t="s">
        <v>8</v>
      </c>
      <c r="S37" s="1507">
        <f t="shared" si="10"/>
        <v>100</v>
      </c>
      <c r="T37" s="1506" t="s">
        <v>8</v>
      </c>
      <c r="U37" s="1507">
        <f t="shared" si="11"/>
        <v>100</v>
      </c>
      <c r="V37" s="1506" t="s">
        <v>8</v>
      </c>
      <c r="W37" s="1507">
        <f t="shared" si="12"/>
        <v>100</v>
      </c>
      <c r="X37" s="1500"/>
      <c r="Y37" s="4013"/>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13"/>
      <c r="Q38" s="1505" t="str">
        <f t="shared" si="14"/>
        <v>宗地开发程度</v>
      </c>
      <c r="R38" s="1501" t="s">
        <v>8</v>
      </c>
      <c r="S38" s="1502">
        <f t="shared" si="10"/>
        <v>100</v>
      </c>
      <c r="T38" s="1501" t="s">
        <v>8</v>
      </c>
      <c r="U38" s="1502">
        <f t="shared" si="11"/>
        <v>100</v>
      </c>
      <c r="V38" s="1501" t="s">
        <v>8</v>
      </c>
      <c r="W38" s="1502">
        <f t="shared" si="12"/>
        <v>100</v>
      </c>
      <c r="X38" s="1503"/>
      <c r="Y38" s="4013"/>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13" t="s">
        <v>593</v>
      </c>
      <c r="Q39" s="1505" t="str">
        <f t="shared" si="14"/>
        <v>工程地质条件</v>
      </c>
      <c r="R39" s="1506" t="s">
        <v>8</v>
      </c>
      <c r="S39" s="1507">
        <f t="shared" si="10"/>
        <v>100</v>
      </c>
      <c r="T39" s="1506" t="s">
        <v>8</v>
      </c>
      <c r="U39" s="1507">
        <f t="shared" si="11"/>
        <v>100</v>
      </c>
      <c r="V39" s="1506" t="s">
        <v>8</v>
      </c>
      <c r="W39" s="1507">
        <f t="shared" si="12"/>
        <v>100</v>
      </c>
      <c r="X39" s="1500"/>
      <c r="Y39" s="4013"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13"/>
      <c r="Q40" s="1505">
        <f t="shared" si="14"/>
        <v>111</v>
      </c>
      <c r="R40" s="1506" t="s">
        <v>8</v>
      </c>
      <c r="S40" s="1507">
        <f t="shared" si="10"/>
        <v>100</v>
      </c>
      <c r="T40" s="1506" t="s">
        <v>8</v>
      </c>
      <c r="U40" s="1507">
        <f t="shared" si="11"/>
        <v>100</v>
      </c>
      <c r="V40" s="1506" t="s">
        <v>8</v>
      </c>
      <c r="W40" s="1507">
        <f t="shared" si="12"/>
        <v>100</v>
      </c>
      <c r="X40" s="1500"/>
      <c r="Y40" s="4013"/>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13"/>
      <c r="Q41" s="1505">
        <f t="shared" si="14"/>
        <v>111</v>
      </c>
      <c r="R41" s="1506" t="s">
        <v>8</v>
      </c>
      <c r="S41" s="1507">
        <f t="shared" si="10"/>
        <v>100</v>
      </c>
      <c r="T41" s="1506" t="s">
        <v>8</v>
      </c>
      <c r="U41" s="1507">
        <f t="shared" si="11"/>
        <v>100</v>
      </c>
      <c r="V41" s="1506" t="s">
        <v>8</v>
      </c>
      <c r="W41" s="1507">
        <f t="shared" si="12"/>
        <v>100</v>
      </c>
      <c r="X41" s="1500"/>
      <c r="Y41" s="4013"/>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13"/>
      <c r="Q42" s="1505">
        <f t="shared" si="14"/>
        <v>111</v>
      </c>
      <c r="R42" s="1510" t="s">
        <v>8</v>
      </c>
      <c r="S42" s="1511">
        <f t="shared" si="10"/>
        <v>100</v>
      </c>
      <c r="T42" s="1510" t="s">
        <v>8</v>
      </c>
      <c r="U42" s="1511">
        <f t="shared" si="11"/>
        <v>100</v>
      </c>
      <c r="V42" s="1510" t="s">
        <v>8</v>
      </c>
      <c r="W42" s="1511">
        <f t="shared" si="12"/>
        <v>100</v>
      </c>
      <c r="X42" s="1512"/>
      <c r="Y42" s="4013"/>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76" t="str">
        <f>A43</f>
        <v>成交单价</v>
      </c>
      <c r="Q43" s="3976"/>
      <c r="R43" s="3977">
        <f>E43</f>
        <v>0</v>
      </c>
      <c r="S43" s="3977"/>
      <c r="T43" s="3977">
        <f>G43</f>
        <v>0</v>
      </c>
      <c r="U43" s="3977"/>
      <c r="V43" s="3977">
        <f>I43</f>
        <v>0</v>
      </c>
      <c r="W43" s="3977"/>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76" t="str">
        <f>A44</f>
        <v>比较价格（元/平方米）</v>
      </c>
      <c r="Q44" s="3976"/>
      <c r="R44" s="3978" t="e">
        <f>ROUND(PRODUCT(R43,AA9:AA42),0)</f>
        <v>#DIV/0!</v>
      </c>
      <c r="S44" s="3978"/>
      <c r="T44" s="3978" t="e">
        <f>ROUND(PRODUCT(T43,AB9:AB42),0)</f>
        <v>#DIV/0!</v>
      </c>
      <c r="U44" s="3978"/>
      <c r="V44" s="3978" t="e">
        <f>ROUND(PRODUCT(V43,AC9:AC42),0)</f>
        <v>#DIV/0!</v>
      </c>
      <c r="W44" s="3978"/>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73" t="str">
        <f>A45</f>
        <v>估价对象XX用房的比较价格（楼面单价，元/平方米）</v>
      </c>
      <c r="Q45" s="3974"/>
      <c r="R45" s="4025" t="e">
        <f>ROUND(IF(D44="简单平均",AVERAGE(R44:W44),R44*F44+T44*H44+V44*J44),0)</f>
        <v>#DIV/0!</v>
      </c>
      <c r="S45" s="4025"/>
      <c r="T45" s="4025"/>
      <c r="U45" s="4025"/>
      <c r="V45" s="4025"/>
      <c r="W45" s="4025"/>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20" t="s">
        <v>2269</v>
      </c>
      <c r="H52" s="4021"/>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780200</v>
      </c>
      <c r="F53" s="1862" t="e">
        <f t="shared" ref="F53:F62" si="15">ROUND(B53*E53/10000,0)</f>
        <v>#DIV/0!</v>
      </c>
      <c r="G53" s="4022"/>
      <c r="H53" s="4023"/>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24"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24"/>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24"/>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24"/>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81070.11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37" priority="18" stopIfTrue="1" operator="containsText" text="超过">
      <formula>NOT(ISERROR(SEARCH("超过",F48)))</formula>
    </cfRule>
  </conditionalFormatting>
  <conditionalFormatting sqref="J50">
    <cfRule type="containsText" dxfId="236" priority="17" stopIfTrue="1" operator="containsText" text="超过">
      <formula>NOT(ISERROR(SEARCH("超过",J50)))</formula>
    </cfRule>
  </conditionalFormatting>
  <conditionalFormatting sqref="H50">
    <cfRule type="containsText" dxfId="235" priority="16" stopIfTrue="1" operator="containsText" text="超过">
      <formula>NOT(ISERROR(SEARCH("超过",H50)))</formula>
    </cfRule>
  </conditionalFormatting>
  <conditionalFormatting sqref="F50">
    <cfRule type="containsText" dxfId="234" priority="15" stopIfTrue="1" operator="containsText" text="超过">
      <formula>NOT(ISERROR(SEARCH("超过",F50)))</formula>
    </cfRule>
  </conditionalFormatting>
  <conditionalFormatting sqref="F49 H49 J49">
    <cfRule type="containsText" dxfId="233" priority="14" stopIfTrue="1" operator="containsText" text="超过">
      <formula>NOT(ISERROR(SEARCH("超过",F49)))</formula>
    </cfRule>
  </conditionalFormatting>
  <conditionalFormatting sqref="E48">
    <cfRule type="expression" dxfId="232" priority="13" stopIfTrue="1">
      <formula>$F$48="超过30%"</formula>
    </cfRule>
  </conditionalFormatting>
  <conditionalFormatting sqref="G50">
    <cfRule type="expression" dxfId="231" priority="12" stopIfTrue="1">
      <formula>$H$50="超过30%"</formula>
    </cfRule>
  </conditionalFormatting>
  <conditionalFormatting sqref="E50">
    <cfRule type="expression" dxfId="230" priority="10" stopIfTrue="1">
      <formula>$F$50="超过30%"</formula>
    </cfRule>
  </conditionalFormatting>
  <conditionalFormatting sqref="G48">
    <cfRule type="expression" dxfId="229" priority="9" stopIfTrue="1">
      <formula>$H$48="超过30%"</formula>
    </cfRule>
  </conditionalFormatting>
  <conditionalFormatting sqref="G49">
    <cfRule type="expression" dxfId="228" priority="8" stopIfTrue="1">
      <formula>$H$49="超过20%"</formula>
    </cfRule>
  </conditionalFormatting>
  <conditionalFormatting sqref="I48">
    <cfRule type="expression" dxfId="227" priority="7" stopIfTrue="1">
      <formula>$J$48="超过30%"</formula>
    </cfRule>
  </conditionalFormatting>
  <conditionalFormatting sqref="I49">
    <cfRule type="expression" dxfId="226" priority="6" stopIfTrue="1">
      <formula>$J$49="超过20%"</formula>
    </cfRule>
  </conditionalFormatting>
  <conditionalFormatting sqref="I50">
    <cfRule type="expression" dxfId="225" priority="5" stopIfTrue="1">
      <formula>$J$50="超过30%"</formula>
    </cfRule>
  </conditionalFormatting>
  <conditionalFormatting sqref="E49">
    <cfRule type="expression" dxfId="224" priority="51" stopIfTrue="1">
      <formula>#REF!+$F$49="超过20%"</formula>
    </cfRule>
  </conditionalFormatting>
  <conditionalFormatting sqref="F44">
    <cfRule type="expression" dxfId="223" priority="4">
      <formula>$D$44="简单平均"</formula>
    </cfRule>
  </conditionalFormatting>
  <conditionalFormatting sqref="H44">
    <cfRule type="expression" dxfId="222" priority="3">
      <formula>$D$44="简单平均"</formula>
    </cfRule>
  </conditionalFormatting>
  <conditionalFormatting sqref="J44">
    <cfRule type="expression" dxfId="221" priority="2">
      <formula>$D$44="简单平均"</formula>
    </cfRule>
  </conditionalFormatting>
  <conditionalFormatting sqref="F9:F42 H9:H42 J9:J42">
    <cfRule type="cellIs" dxfId="22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t="e">
        <f ca="1">C26</f>
        <v>#DIV/0!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t="e">
        <f ca="1">ROUND($C$5*$C$18*$C$19*$C$20*S2*$C$24,0)</f>
        <v>#DIV/0!</v>
      </c>
      <c r="U2" s="2641"/>
      <c r="V2" s="2652" t="e">
        <f ca="1">ROUND(T2*U2/10000,0)</f>
        <v>#DIV/0!</v>
      </c>
      <c r="W2" s="2068"/>
      <c r="X2" s="2068"/>
      <c r="Y2" s="2068"/>
      <c r="Z2" s="2068"/>
      <c r="AA2" s="2068"/>
      <c r="AB2" s="2068"/>
      <c r="AC2" s="2069"/>
    </row>
    <row r="3" spans="1:39" ht="24">
      <c r="A3" s="1358" t="s">
        <v>1675</v>
      </c>
      <c r="B3" s="1023" t="e">
        <f ca="1">ROUND(B2*10000/D1,0)</f>
        <v>#DIV/0!</v>
      </c>
      <c r="C3" s="1354" t="s">
        <v>916</v>
      </c>
      <c r="D3" s="1355" t="s">
        <v>917</v>
      </c>
      <c r="E3" s="1359" t="s">
        <v>3059</v>
      </c>
      <c r="F3" s="1360" t="s">
        <v>3060</v>
      </c>
      <c r="G3" s="1024">
        <f>IF(F3="宗地容积率",'数据-汇总表'!I4,IF(F3="估价对象容积率",'数据-汇总表'!I6,'数据-汇总表'!I7))</f>
        <v>5.85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t="e">
        <f t="shared" ref="T3:T16" ca="1" si="0">ROUND($C$5*$C$18*$C$19*$C$20*S3*$C$24,0)</f>
        <v>#DIV/0!</v>
      </c>
      <c r="U3" s="2641"/>
      <c r="V3" s="2652" t="e">
        <f t="shared" ref="V3:V16" ca="1" si="1">ROUND(T3*U3/10000,0)</f>
        <v>#DIV/0!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t="e">
        <f t="shared" ca="1" si="0"/>
        <v>#DIV/0!</v>
      </c>
      <c r="U4" s="2641"/>
      <c r="V4" s="2652" t="e">
        <f t="shared" ca="1" si="1"/>
        <v>#DIV/0!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t="e">
        <f t="shared" ca="1" si="0"/>
        <v>#DIV/0!</v>
      </c>
      <c r="U5" s="2641"/>
      <c r="V5" s="2652" t="e">
        <f t="shared" ca="1"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t="e">
        <f t="shared" ca="1" si="0"/>
        <v>#DIV/0!</v>
      </c>
      <c r="U6" s="2641"/>
      <c r="V6" s="2652" t="e">
        <f t="shared" ca="1" si="1"/>
        <v>#DIV/0!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t="e">
        <f t="shared" ca="1" si="0"/>
        <v>#DIV/0!</v>
      </c>
      <c r="U7" s="2641"/>
      <c r="V7" s="2652" t="e">
        <f t="shared" ca="1" si="1"/>
        <v>#DIV/0!</v>
      </c>
      <c r="W7" s="2650" t="s">
        <v>2742</v>
      </c>
      <c r="X7" s="2642" t="str">
        <f>G2</f>
        <v>六级</v>
      </c>
      <c r="Y7" s="2642" t="s">
        <v>2743</v>
      </c>
      <c r="Z7" s="2643">
        <f>G3</f>
        <v>5.85</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t="e">
        <f t="shared" ca="1" si="0"/>
        <v>#DIV/0!</v>
      </c>
      <c r="U8" s="2641"/>
      <c r="V8" s="2652" t="e">
        <f t="shared" ca="1" si="1"/>
        <v>#DIV/0!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t="e">
        <f t="shared" ca="1" si="0"/>
        <v>#DIV/0!</v>
      </c>
      <c r="U9" s="2641"/>
      <c r="V9" s="2652" t="e">
        <f t="shared" ca="1" si="1"/>
        <v>#DIV/0!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t="e">
        <f t="shared" ca="1" si="0"/>
        <v>#DIV/0!</v>
      </c>
      <c r="U10" s="2641"/>
      <c r="V10" s="2652" t="e">
        <f t="shared" ca="1" si="1"/>
        <v>#DIV/0!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t="e">
        <f t="shared" ca="1" si="0"/>
        <v>#DIV/0!</v>
      </c>
      <c r="U11" s="2641"/>
      <c r="V11" s="2652" t="e">
        <f t="shared" ca="1" si="1"/>
        <v>#DIV/0!</v>
      </c>
      <c r="W11" s="4026" t="s">
        <v>2758</v>
      </c>
      <c r="X11" s="1033" t="s">
        <v>2743</v>
      </c>
      <c r="Y11" s="1580">
        <f>$G$3</f>
        <v>5.85</v>
      </c>
      <c r="Z11" s="1580">
        <f t="shared" ref="Z11:AJ11" si="3">$G$3</f>
        <v>5.85</v>
      </c>
      <c r="AA11" s="1580">
        <f t="shared" si="3"/>
        <v>5.85</v>
      </c>
      <c r="AB11" s="1580">
        <f t="shared" si="3"/>
        <v>5.85</v>
      </c>
      <c r="AC11" s="1580">
        <f t="shared" si="3"/>
        <v>5.85</v>
      </c>
      <c r="AD11" s="1580">
        <f t="shared" si="3"/>
        <v>5.85</v>
      </c>
      <c r="AE11" s="1580">
        <f t="shared" si="3"/>
        <v>5.85</v>
      </c>
      <c r="AF11" s="1580">
        <f t="shared" si="3"/>
        <v>5.85</v>
      </c>
      <c r="AG11" s="1580">
        <f t="shared" si="3"/>
        <v>5.85</v>
      </c>
      <c r="AH11" s="1580">
        <f t="shared" si="3"/>
        <v>5.85</v>
      </c>
      <c r="AI11" s="1580">
        <f t="shared" si="3"/>
        <v>5.85</v>
      </c>
      <c r="AJ11" s="1580">
        <f t="shared" si="3"/>
        <v>5.85</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t="e">
        <f t="shared" ca="1" si="0"/>
        <v>#DIV/0!</v>
      </c>
      <c r="U12" s="2641"/>
      <c r="V12" s="2652" t="e">
        <f t="shared" ca="1" si="1"/>
        <v>#DIV/0!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t="e">
        <f t="shared" ca="1" si="0"/>
        <v>#DIV/0!</v>
      </c>
      <c r="U13" s="2641"/>
      <c r="V13" s="2652" t="e">
        <f t="shared" ca="1" si="1"/>
        <v>#DIV/0!</v>
      </c>
      <c r="W13" s="4026"/>
      <c r="X13" s="2649"/>
      <c r="Y13" s="2648">
        <f>(-0.163*(Y12^2)-0.59*Y12+7617)*(10^(-4))/Y11</f>
        <v>0.13020512820512822</v>
      </c>
      <c r="Z13" s="2648">
        <f t="shared" ref="Z13:AJ13" si="5">(-0.163*(Z12^2)-0.59*Z12+7617)*(10^(-4))/Z11</f>
        <v>0.13020512820512822</v>
      </c>
      <c r="AA13" s="2648">
        <f t="shared" si="5"/>
        <v>0.13020512820512822</v>
      </c>
      <c r="AB13" s="2648">
        <f t="shared" si="5"/>
        <v>0.13020512820512822</v>
      </c>
      <c r="AC13" s="2648">
        <f t="shared" si="5"/>
        <v>0.13020512820512822</v>
      </c>
      <c r="AD13" s="2648">
        <f t="shared" si="5"/>
        <v>0.13020512820512822</v>
      </c>
      <c r="AE13" s="2648">
        <f t="shared" si="5"/>
        <v>0.13020512820512822</v>
      </c>
      <c r="AF13" s="2648">
        <f t="shared" si="5"/>
        <v>0.13020512820512822</v>
      </c>
      <c r="AG13" s="2648">
        <f t="shared" si="5"/>
        <v>0.13020512820512822</v>
      </c>
      <c r="AH13" s="2648">
        <f t="shared" si="5"/>
        <v>0.13020512820512822</v>
      </c>
      <c r="AI13" s="2648">
        <f t="shared" si="5"/>
        <v>0.13020512820512822</v>
      </c>
      <c r="AJ13" s="2648">
        <f t="shared" si="5"/>
        <v>0.13020512820512822</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t="e">
        <f t="shared" ca="1" si="0"/>
        <v>#DIV/0!</v>
      </c>
      <c r="U14" s="2641"/>
      <c r="V14" s="2652" t="e">
        <f t="shared" ca="1" si="1"/>
        <v>#DIV/0!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t="e">
        <f t="shared" ca="1" si="0"/>
        <v>#DIV/0!</v>
      </c>
      <c r="U15" s="2641"/>
      <c r="V15" s="2652" t="e">
        <f t="shared" ca="1" si="1"/>
        <v>#DIV/0!</v>
      </c>
      <c r="W15" s="2068"/>
      <c r="X15" s="2068"/>
      <c r="Y15" s="2068"/>
      <c r="Z15" s="2068"/>
      <c r="AA15" s="2068"/>
      <c r="AB15" s="2068"/>
      <c r="AC15" s="2069"/>
    </row>
    <row r="16" spans="1:39" ht="24.6" customHeight="1">
      <c r="A16" s="4040" t="s">
        <v>1826</v>
      </c>
      <c r="B16" s="1374" t="s">
        <v>939</v>
      </c>
      <c r="C16" s="1037">
        <f>ROUND(IF(F17="与级别开发程度一致",0,(G17-E17)/C17),0)</f>
        <v>0</v>
      </c>
      <c r="D16" s="4034" t="s">
        <v>943</v>
      </c>
      <c r="E16" s="4035"/>
      <c r="F16" s="4034" t="s">
        <v>940</v>
      </c>
      <c r="G16" s="4035"/>
      <c r="H16" s="1406"/>
      <c r="I16" s="1406"/>
      <c r="J16" s="1406"/>
      <c r="K16" s="1406"/>
      <c r="L16" s="1406"/>
      <c r="M16" s="1406"/>
      <c r="N16" s="1406"/>
      <c r="O16" s="2851"/>
      <c r="P16" s="2068"/>
      <c r="Q16" s="2071"/>
      <c r="R16" s="2652">
        <v>15</v>
      </c>
      <c r="S16" s="2641"/>
      <c r="T16" s="2652" t="e">
        <f t="shared" ca="1" si="0"/>
        <v>#DIV/0!</v>
      </c>
      <c r="U16" s="2641"/>
      <c r="V16" s="2652" t="e">
        <f t="shared" ca="1" si="1"/>
        <v>#DIV/0!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3061</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t="e">
        <f ca="1">ROUND(POWER(1+G20,J20-I20)*(POWER(1+G20,I20)-1)/(POWER(1+G20,J20)-1),4)</f>
        <v>#DIV/0!</v>
      </c>
      <c r="D20" s="2498" t="s">
        <v>961</v>
      </c>
      <c r="E20" s="2781">
        <f ca="1">存贷款利率!I4/100</f>
        <v>4.3499999999999997E-2</v>
      </c>
      <c r="F20" s="2498" t="s">
        <v>962</v>
      </c>
      <c r="G20" s="2499">
        <f ca="1">SUMIF(M26:P26,E2,M28:P28)</f>
        <v>0.05</v>
      </c>
      <c r="H20" s="2498" t="s">
        <v>963</v>
      </c>
      <c r="I20" s="2494" t="e">
        <f>SUMIF('数据-取费表'!C6:C15,E2,'数据-取费表'!F6:F15)/COUNTIF('数据-取费表'!C6:C15,E2)</f>
        <v>#DIV/0!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0.83520000000000005</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0.83520000000000005</v>
      </c>
      <c r="E22" s="1024">
        <f>ROUNDDOWN(G3,1)</f>
        <v>5.8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0.83599999999999997</v>
      </c>
      <c r="G22" s="1024">
        <f>ROUNDUP(G3,1)</f>
        <v>5.8999999999999995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0.83430000000000004</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t="e">
        <f ca="1">IF(B21="容积率修正",E29+SUM(E33:E39),SUM(V2:V16)+SUM(E33:E39))</f>
        <v>#DIV/0!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t="e">
        <f ca="1">E30+SUM(I33:I39)</f>
        <v>#DIV/0!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t="e">
        <f ca="1">ROUND(C5*C18*C19*C20*C21*C24,0)</f>
        <v>#DIV/0!</v>
      </c>
      <c r="D29" s="1442"/>
      <c r="E29" s="1761" t="e">
        <f ca="1">ROUND(C29*D29/10000,0)</f>
        <v>#DIV/0!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t="e">
        <f ca="1">ROUND(IF(E2="工业",C29*M39,C29*M38),0)</f>
        <v>#DIV/0!</v>
      </c>
      <c r="D30" s="1448"/>
      <c r="E30" s="1761" t="e">
        <f ca="1">ROUND(C30*D30/10000,0)</f>
        <v>#DIV/0!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t="e">
        <f ca="1">ROUND(D5*C19*C20*C24*F33,0)</f>
        <v>#DIV/0!</v>
      </c>
      <c r="D33" s="1475"/>
      <c r="E33" s="1033" t="e">
        <f ca="1">ROUND(C33*D33/10000,0)</f>
        <v>#DIV/0!</v>
      </c>
      <c r="F33" s="1033">
        <f>SUMIF(修正!A45:A56,G2,修正!B45:B56)</f>
        <v>0.7</v>
      </c>
      <c r="G33" s="1033" t="e">
        <f t="shared" ref="G33" ca="1" si="6">ROUND(IF(E2="工业",C33*$M$39,C33*$M$38),0)</f>
        <v>#DIV/0!</v>
      </c>
      <c r="H33" s="1033">
        <f>D33</f>
        <v>0</v>
      </c>
      <c r="I33" s="1033" t="e">
        <f ca="1">ROUND(G33*H33/10000,0)</f>
        <v>#DIV/0!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t="e">
        <f ca="1">ROUND(D5*C19*C20*C24*F34,0)</f>
        <v>#DIV/0!</v>
      </c>
      <c r="D34" s="1475"/>
      <c r="E34" s="1033" t="e">
        <f t="shared" ref="E34:E39" ca="1" si="7">ROUND(C34*D34/10000,0)</f>
        <v>#DIV/0!</v>
      </c>
      <c r="F34" s="1033">
        <f>SUMIF(修正!A45:A56,G2,修正!C45:C56)</f>
        <v>0.4</v>
      </c>
      <c r="G34" s="1033" t="e">
        <f ca="1">ROUND(IF(E2="工业",C34*$M$39,C34*$M$38),0)</f>
        <v>#DIV/0!</v>
      </c>
      <c r="H34" s="1033">
        <f t="shared" ref="H34:H39" si="8">D34</f>
        <v>0</v>
      </c>
      <c r="I34" s="1033" t="e">
        <f t="shared" ref="I34:I39" ca="1" si="9">ROUND(G34*H34/10000,0)</f>
        <v>#DIV/0!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t="e">
        <f ca="1">ROUND(D5*C19*C20*C24*F35,0)</f>
        <v>#DIV/0!</v>
      </c>
      <c r="D35" s="1475"/>
      <c r="E35" s="1033" t="e">
        <f t="shared" ca="1" si="7"/>
        <v>#DIV/0!</v>
      </c>
      <c r="F35" s="1033">
        <f>SUMIF(修正!A45:A56,G2,修正!D45:D56)</f>
        <v>0.28000000000000003</v>
      </c>
      <c r="G35" s="1033" t="e">
        <f ca="1">ROUND(IF(E2="工业",C35*$M$39,C35*$M$38),0)</f>
        <v>#DIV/0!</v>
      </c>
      <c r="H35" s="1033">
        <f t="shared" si="8"/>
        <v>0</v>
      </c>
      <c r="I35" s="1033" t="e">
        <f t="shared" ca="1" si="9"/>
        <v>#DIV/0!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t="e">
        <f ca="1">ROUND(D5*C19*C20*C24*F36,0)</f>
        <v>#DIV/0!</v>
      </c>
      <c r="D36" s="1475"/>
      <c r="E36" s="1033" t="e">
        <f t="shared" ca="1" si="7"/>
        <v>#DIV/0!</v>
      </c>
      <c r="F36" s="1033">
        <f>SUMIF(修正!A45:A56,G2,修正!E45:E56)</f>
        <v>0.25</v>
      </c>
      <c r="G36" s="1033" t="e">
        <f ca="1">ROUND(IF(E2="工业",C36*$M$39,C36*$M$38),0)</f>
        <v>#DIV/0!</v>
      </c>
      <c r="H36" s="1033">
        <f t="shared" si="8"/>
        <v>0</v>
      </c>
      <c r="I36" s="1033" t="e">
        <f t="shared" ca="1" si="9"/>
        <v>#DIV/0!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t="e">
        <f ca="1">ROUND(D5*C19*C20*C24*F37,0)</f>
        <v>#DIV/0!</v>
      </c>
      <c r="D37" s="1475"/>
      <c r="E37" s="1033" t="e">
        <f t="shared" ca="1" si="7"/>
        <v>#DIV/0!</v>
      </c>
      <c r="F37" s="1044">
        <f>SUMIF(修正!A45:A56,G2,修正!F45:F56)</f>
        <v>0.25</v>
      </c>
      <c r="G37" s="1033" t="e">
        <f ca="1">ROUND(IF(E2="工业",C37*$M$39,C37*$M$38),0)</f>
        <v>#DIV/0!</v>
      </c>
      <c r="H37" s="1033">
        <f t="shared" si="8"/>
        <v>0</v>
      </c>
      <c r="I37" s="1033" t="e">
        <f t="shared" ca="1" si="9"/>
        <v>#DIV/0!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2303"/>
      <c r="L90" s="2303"/>
      <c r="M90" s="2303"/>
      <c r="N90" s="2303"/>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895</v>
      </c>
      <c r="C101" s="1129">
        <f>$G$3</f>
        <v>5.85</v>
      </c>
      <c r="D101" s="1129">
        <f t="shared" ref="D101:N101" si="32">$G$3</f>
        <v>5.85</v>
      </c>
      <c r="E101" s="1129">
        <f t="shared" si="32"/>
        <v>5.85</v>
      </c>
      <c r="F101" s="1129">
        <f t="shared" si="32"/>
        <v>5.85</v>
      </c>
      <c r="G101" s="1129">
        <f t="shared" si="32"/>
        <v>5.85</v>
      </c>
      <c r="H101" s="1129">
        <f t="shared" si="32"/>
        <v>5.85</v>
      </c>
      <c r="I101" s="1129">
        <f t="shared" si="32"/>
        <v>5.85</v>
      </c>
      <c r="J101" s="1129">
        <f t="shared" si="32"/>
        <v>5.85</v>
      </c>
      <c r="K101" s="1129">
        <f t="shared" si="32"/>
        <v>5.85</v>
      </c>
      <c r="L101" s="1129">
        <f t="shared" si="32"/>
        <v>5.85</v>
      </c>
      <c r="M101" s="1129">
        <f t="shared" si="32"/>
        <v>5.85</v>
      </c>
      <c r="N101" s="1129">
        <f t="shared" si="32"/>
        <v>5.85</v>
      </c>
    </row>
    <row r="102" spans="1:14">
      <c r="A102" s="4030"/>
      <c r="B102" s="1124">
        <v>1</v>
      </c>
      <c r="C102" s="1125">
        <f>1.9362/C101</f>
        <v>0.33097435897435901</v>
      </c>
      <c r="D102" s="1125">
        <f>1.9362/D101</f>
        <v>0.33097435897435901</v>
      </c>
      <c r="E102" s="1125">
        <f>1.8629/E101</f>
        <v>0.31844444444444447</v>
      </c>
      <c r="F102" s="1125">
        <f>1.8629/F101</f>
        <v>0.31844444444444447</v>
      </c>
      <c r="G102" s="1125">
        <f>1.8629/G101</f>
        <v>0.31844444444444447</v>
      </c>
      <c r="H102" s="1125">
        <f>1.8629/H101</f>
        <v>0.31844444444444447</v>
      </c>
      <c r="I102" s="1125">
        <f>1.8629/I101</f>
        <v>0.31844444444444447</v>
      </c>
      <c r="J102" s="1125">
        <f>1.942/J101</f>
        <v>0.33196581196581199</v>
      </c>
      <c r="K102" s="1125">
        <f>1.942/K101</f>
        <v>0.33196581196581199</v>
      </c>
      <c r="L102" s="1125">
        <f>1.942/L101</f>
        <v>0.33196581196581199</v>
      </c>
      <c r="M102" s="1125">
        <f>1.942/M101</f>
        <v>0.33196581196581199</v>
      </c>
      <c r="N102" s="1125">
        <f>1.942/N101</f>
        <v>0.33196581196581199</v>
      </c>
    </row>
    <row r="103" spans="1:14">
      <c r="A103" s="4030"/>
      <c r="B103" s="1124">
        <v>2</v>
      </c>
      <c r="C103" s="1125">
        <f>1.4198/C101</f>
        <v>0.2427008547008547</v>
      </c>
      <c r="D103" s="1125">
        <f>1.4198/D101</f>
        <v>0.2427008547008547</v>
      </c>
      <c r="E103" s="1125">
        <f>1.3372/E101</f>
        <v>0.22858119658119658</v>
      </c>
      <c r="F103" s="1125">
        <f>1.3372/F101</f>
        <v>0.22858119658119658</v>
      </c>
      <c r="G103" s="1125">
        <f>1.3372/G101</f>
        <v>0.22858119658119658</v>
      </c>
      <c r="H103" s="1125">
        <f>1.3372/H101</f>
        <v>0.22858119658119658</v>
      </c>
      <c r="I103" s="1125">
        <f>1.3372/I101</f>
        <v>0.22858119658119658</v>
      </c>
      <c r="J103" s="1125">
        <f>1.2799/J101</f>
        <v>0.21878632478632482</v>
      </c>
      <c r="K103" s="1125">
        <f>1.2799/K101</f>
        <v>0.21878632478632482</v>
      </c>
      <c r="L103" s="1125">
        <f>1.2799/L101</f>
        <v>0.21878632478632482</v>
      </c>
      <c r="M103" s="1125">
        <f>1.2799/M101</f>
        <v>0.21878632478632482</v>
      </c>
      <c r="N103" s="1125">
        <f>1.2799/N101</f>
        <v>0.21878632478632482</v>
      </c>
    </row>
    <row r="104" spans="1:14">
      <c r="A104" s="4030"/>
      <c r="B104" s="1124">
        <v>3</v>
      </c>
      <c r="C104" s="1125">
        <f>1.1594/C101</f>
        <v>0.19818803418803418</v>
      </c>
      <c r="D104" s="1125">
        <f>1.1594/D101</f>
        <v>0.19818803418803418</v>
      </c>
      <c r="E104" s="1125">
        <f>1.0788/E101</f>
        <v>0.18441025641025641</v>
      </c>
      <c r="F104" s="1125">
        <f>1.0788/F101</f>
        <v>0.18441025641025641</v>
      </c>
      <c r="G104" s="1125">
        <f>1.0788/G101</f>
        <v>0.18441025641025641</v>
      </c>
      <c r="H104" s="1125">
        <f>1.0788/H101</f>
        <v>0.18441025641025641</v>
      </c>
      <c r="I104" s="1125">
        <f>1.0788/I101</f>
        <v>0.18441025641025641</v>
      </c>
      <c r="J104" s="1125">
        <f>1.0072/J101</f>
        <v>0.1721709401709402</v>
      </c>
      <c r="K104" s="1125">
        <f>1.0072/K101</f>
        <v>0.1721709401709402</v>
      </c>
      <c r="L104" s="1125">
        <f>1.0072/L101</f>
        <v>0.1721709401709402</v>
      </c>
      <c r="M104" s="1125">
        <f>1.0072/M101</f>
        <v>0.1721709401709402</v>
      </c>
      <c r="N104" s="1125">
        <f>1.0072/N101</f>
        <v>0.1721709401709402</v>
      </c>
    </row>
    <row r="105" spans="1:14">
      <c r="A105" s="4030"/>
      <c r="B105" s="1124">
        <v>4</v>
      </c>
      <c r="C105" s="1125">
        <f>0.9622/C101</f>
        <v>0.16447863247863251</v>
      </c>
      <c r="D105" s="1125">
        <f>0.9622/D101</f>
        <v>0.16447863247863251</v>
      </c>
      <c r="E105" s="1125">
        <f>0.8656/E101</f>
        <v>0.14796581196581199</v>
      </c>
      <c r="F105" s="1125">
        <f>0.8656/F101</f>
        <v>0.14796581196581199</v>
      </c>
      <c r="G105" s="1125">
        <f>0.8656/G101</f>
        <v>0.14796581196581199</v>
      </c>
      <c r="H105" s="1125">
        <f>0.8656/H101</f>
        <v>0.14796581196581199</v>
      </c>
      <c r="I105" s="1125">
        <f>0.8656/I101</f>
        <v>0.14796581196581199</v>
      </c>
      <c r="J105" s="1125">
        <f>0.7525/J101</f>
        <v>0.12863247863247862</v>
      </c>
      <c r="K105" s="1125">
        <f>0.7525/K101</f>
        <v>0.12863247863247862</v>
      </c>
      <c r="L105" s="1125">
        <f>0.7525/L101</f>
        <v>0.12863247863247862</v>
      </c>
      <c r="M105" s="1125">
        <f>0.7525/M101</f>
        <v>0.12863247863247862</v>
      </c>
      <c r="N105" s="1125">
        <f>0.7525/N101</f>
        <v>0.12863247863247862</v>
      </c>
    </row>
    <row r="106" spans="1:14">
      <c r="A106" s="4030"/>
      <c r="B106" s="1124">
        <v>5</v>
      </c>
      <c r="C106" s="1125">
        <f>0.8417/C101</f>
        <v>0.14388034188034188</v>
      </c>
      <c r="D106" s="1125">
        <f>0.8417/D101</f>
        <v>0.14388034188034188</v>
      </c>
      <c r="E106" s="1125">
        <f>0.7371/E101</f>
        <v>0.126</v>
      </c>
      <c r="F106" s="1125">
        <f>0.7371/F101</f>
        <v>0.126</v>
      </c>
      <c r="G106" s="1125">
        <f>0.7371/G101</f>
        <v>0.126</v>
      </c>
      <c r="H106" s="1125">
        <f>0.7371/H101</f>
        <v>0.126</v>
      </c>
      <c r="I106" s="1125">
        <f>0.7371/I101</f>
        <v>0.126</v>
      </c>
      <c r="J106" s="1125">
        <f>0.5659/J101</f>
        <v>9.6735042735042728E-2</v>
      </c>
      <c r="K106" s="1125">
        <f>0.5659/K101</f>
        <v>9.6735042735042728E-2</v>
      </c>
      <c r="L106" s="1125">
        <f>0.5659/L101</f>
        <v>9.6735042735042728E-2</v>
      </c>
      <c r="M106" s="1125">
        <f>0.5659/M101</f>
        <v>9.6735042735042728E-2</v>
      </c>
      <c r="N106" s="1125">
        <f>0.5659/N101</f>
        <v>9.6735042735042728E-2</v>
      </c>
    </row>
    <row r="107" spans="1:14">
      <c r="A107" s="4030"/>
      <c r="B107" s="1124">
        <v>6</v>
      </c>
      <c r="C107" s="1125">
        <f>0.7608/C101</f>
        <v>0.13005128205128205</v>
      </c>
      <c r="D107" s="1125">
        <f>0.7608/D101</f>
        <v>0.13005128205128205</v>
      </c>
      <c r="E107" s="1125">
        <f>0.6482/E101</f>
        <v>0.1108034188034188</v>
      </c>
      <c r="F107" s="1125">
        <f>0.6482/F101</f>
        <v>0.1108034188034188</v>
      </c>
      <c r="G107" s="1125">
        <f>0.6482/G101</f>
        <v>0.1108034188034188</v>
      </c>
      <c r="H107" s="1125">
        <f>0.6482/H101</f>
        <v>0.1108034188034188</v>
      </c>
      <c r="I107" s="1125">
        <f>0.6482/I101</f>
        <v>0.1108034188034188</v>
      </c>
      <c r="J107" s="1125">
        <f>0.4525/J101</f>
        <v>7.7350427350427353E-2</v>
      </c>
      <c r="K107" s="1125">
        <f>0.4525/K101</f>
        <v>7.7350427350427353E-2</v>
      </c>
      <c r="L107" s="1125">
        <f>0.4525/L101</f>
        <v>7.7350427350427353E-2</v>
      </c>
      <c r="M107" s="1125">
        <f>0.4525/M101</f>
        <v>7.7350427350427353E-2</v>
      </c>
      <c r="N107" s="1125">
        <f>0.4525/N101</f>
        <v>7.7350427350427353E-2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0.13020512820512822</v>
      </c>
      <c r="D109" s="1127">
        <f>(-0.163*(D108^2)-0.59*D108+7617)*(10^(-4))/D101</f>
        <v>0.13020512820512822</v>
      </c>
      <c r="E109" s="1127">
        <f>(-0.161*(E108^2)-7.509*E108+6533)*(10^(-4))/E101</f>
        <v>0.11167521367521369</v>
      </c>
      <c r="F109" s="1127">
        <f>(-0.161*(F108^2)-7.509*F108+6533)*(10^(-4))/F101</f>
        <v>0.11167521367521369</v>
      </c>
      <c r="G109" s="1127">
        <f>(-0.161*(G108^2)-7.509*G108+6533)*(10^(-4))/G101</f>
        <v>0.11167521367521369</v>
      </c>
      <c r="H109" s="1127">
        <f>(-0.161*(H108^2)-7.509*H108+6533)*(10^(-4))/H101</f>
        <v>0.11167521367521369</v>
      </c>
      <c r="I109" s="1127">
        <f>(-0.161*(I108^2)-7.509*I108+6533)*(10^(-4))/I101</f>
        <v>0.11167521367521369</v>
      </c>
      <c r="J109" s="1127">
        <f>(-0.214*(J108^2)-21.991*J108+4665)*(10^(-4))/J101</f>
        <v>7.9743589743589749E-2</v>
      </c>
      <c r="K109" s="1127">
        <f>(-0.214*(K108^2)-21.991*K108+4665)*(10^(-4))/K101</f>
        <v>7.9743589743589749E-2</v>
      </c>
      <c r="L109" s="1127">
        <f>(-0.214*(L108^2)-21.991*L108+4665)*(10^(-4))/L101</f>
        <v>7.9743589743589749E-2</v>
      </c>
      <c r="M109" s="1127">
        <f>(-0.214*(M108^2)-21.991*M108+4665)*(10^(-4))/M101</f>
        <v>7.9743589743589749E-2</v>
      </c>
      <c r="N109" s="1127">
        <f>(-0.214*(N108^2)-21.991*N108+4665)*(10^(-4))/N101</f>
        <v>7.9743589743589749E-2</v>
      </c>
    </row>
    <row r="110" spans="1:14">
      <c r="A110" s="4039" t="s">
        <v>1628</v>
      </c>
      <c r="B110" s="4039"/>
      <c r="C110" s="4039"/>
      <c r="D110" s="4039"/>
      <c r="E110" s="4039"/>
      <c r="F110" s="4039"/>
      <c r="G110" s="4039"/>
      <c r="H110" s="4039"/>
      <c r="I110" s="4039"/>
      <c r="J110" s="4039"/>
      <c r="K110" s="2301"/>
      <c r="L110" s="2301"/>
      <c r="M110" s="2301"/>
      <c r="N110" s="2301"/>
    </row>
    <row r="112" spans="1:14" ht="12.75" thickBot="1"/>
    <row r="113" spans="1:13" ht="25.5" thickBot="1">
      <c r="A113" s="1001" t="s">
        <v>885</v>
      </c>
      <c r="B113" s="2304">
        <f>G3</f>
        <v>5.85</v>
      </c>
      <c r="C113" s="1002" t="s">
        <v>886</v>
      </c>
      <c r="D113" s="1003">
        <f>SUMPRODUCT((A115:A118=F113)*(B114:M114=H113)*B115:M118)</f>
        <v>0.82799999999999996</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0.87849999999999995</v>
      </c>
      <c r="C115" s="1015">
        <f>B115</f>
        <v>0.87849999999999995</v>
      </c>
      <c r="D115" s="1015">
        <f>ROUND(0.8331-0.0109*B113,4)</f>
        <v>0.76929999999999998</v>
      </c>
      <c r="E115" s="1015">
        <f>D115</f>
        <v>0.76929999999999998</v>
      </c>
      <c r="F115" s="1015">
        <f>E115</f>
        <v>0.76929999999999998</v>
      </c>
      <c r="G115" s="1015">
        <f>F115</f>
        <v>0.76929999999999998</v>
      </c>
      <c r="H115" s="1015">
        <f>G115</f>
        <v>0.76929999999999998</v>
      </c>
      <c r="I115" s="1015">
        <f>ROUND(0.689-0.0155*B113,4)</f>
        <v>0.59830000000000005</v>
      </c>
      <c r="J115" s="1015">
        <f t="shared" ref="J115:M118" si="34">I115</f>
        <v>0.59830000000000005</v>
      </c>
      <c r="K115" s="1015">
        <f t="shared" si="34"/>
        <v>0.59830000000000005</v>
      </c>
      <c r="L115" s="1015">
        <f t="shared" si="34"/>
        <v>0.59830000000000005</v>
      </c>
      <c r="M115" s="1016">
        <f t="shared" si="34"/>
        <v>0.59830000000000005</v>
      </c>
    </row>
    <row r="116" spans="1:13" ht="12.75">
      <c r="A116" s="1014" t="s">
        <v>890</v>
      </c>
      <c r="B116" s="1015">
        <f>ROUND(0.949-0.012*B113,4)</f>
        <v>0.87880000000000003</v>
      </c>
      <c r="C116" s="1015">
        <f>B116</f>
        <v>0.87880000000000003</v>
      </c>
      <c r="D116" s="1015">
        <f>ROUND(0.8567-0.013*B113,4)</f>
        <v>0.78069999999999995</v>
      </c>
      <c r="E116" s="1015">
        <f t="shared" ref="E116:H117" si="35">D116</f>
        <v>0.78069999999999995</v>
      </c>
      <c r="F116" s="1015">
        <f t="shared" si="35"/>
        <v>0.78069999999999995</v>
      </c>
      <c r="G116" s="1015">
        <f t="shared" si="35"/>
        <v>0.78069999999999995</v>
      </c>
      <c r="H116" s="1015">
        <f t="shared" si="35"/>
        <v>0.78069999999999995</v>
      </c>
      <c r="I116" s="1015">
        <f>ROUND(0.7694-0.014*B113,4)</f>
        <v>0.6875</v>
      </c>
      <c r="J116" s="1015">
        <f t="shared" si="34"/>
        <v>0.6875</v>
      </c>
      <c r="K116" s="1015">
        <f t="shared" si="34"/>
        <v>0.6875</v>
      </c>
      <c r="L116" s="1015">
        <f t="shared" si="34"/>
        <v>0.6875</v>
      </c>
      <c r="M116" s="1016">
        <f t="shared" si="34"/>
        <v>0.6875</v>
      </c>
    </row>
    <row r="117" spans="1:13" ht="12.75">
      <c r="A117" s="1017" t="s">
        <v>891</v>
      </c>
      <c r="B117" s="1015">
        <f>ROUND(0.8808-0.006*B113,4)</f>
        <v>0.84570000000000001</v>
      </c>
      <c r="C117" s="1015">
        <f>B117</f>
        <v>0.84570000000000001</v>
      </c>
      <c r="D117" s="1015">
        <f>ROUND(0.8748-0.008*B113,4)</f>
        <v>0.82799999999999996</v>
      </c>
      <c r="E117" s="1015">
        <f t="shared" si="35"/>
        <v>0.82799999999999996</v>
      </c>
      <c r="F117" s="1015">
        <f t="shared" si="35"/>
        <v>0.82799999999999996</v>
      </c>
      <c r="G117" s="1015">
        <f t="shared" si="35"/>
        <v>0.82799999999999996</v>
      </c>
      <c r="H117" s="1015">
        <f t="shared" si="35"/>
        <v>0.82799999999999996</v>
      </c>
      <c r="I117" s="1015">
        <f>ROUND(0.7412-0.0095*B113,4)</f>
        <v>0.68559999999999999</v>
      </c>
      <c r="J117" s="1015">
        <f t="shared" si="34"/>
        <v>0.68559999999999999</v>
      </c>
      <c r="K117" s="1015">
        <f t="shared" si="34"/>
        <v>0.68559999999999999</v>
      </c>
      <c r="L117" s="1015">
        <f t="shared" si="34"/>
        <v>0.68559999999999999</v>
      </c>
      <c r="M117" s="1016">
        <f t="shared" si="34"/>
        <v>0.68559999999999999</v>
      </c>
    </row>
    <row r="118" spans="1:13" ht="13.5" thickBot="1">
      <c r="A118" s="1018" t="s">
        <v>892</v>
      </c>
      <c r="B118" s="1019">
        <f>ROUND(0.7275-0.01*B113,4)</f>
        <v>0.66900000000000004</v>
      </c>
      <c r="C118" s="1019">
        <f>B118</f>
        <v>0.66900000000000004</v>
      </c>
      <c r="D118" s="1019">
        <f>ROUND(0.7043-0.012*B113,4)</f>
        <v>0.6341</v>
      </c>
      <c r="E118" s="1019">
        <f>D118</f>
        <v>0.6341</v>
      </c>
      <c r="F118" s="1019">
        <f>E118</f>
        <v>0.6341</v>
      </c>
      <c r="G118" s="1019">
        <f>ROUND(0.6299-0.0122*B113,4)</f>
        <v>0.5585</v>
      </c>
      <c r="H118" s="1019">
        <f>G118</f>
        <v>0.5585</v>
      </c>
      <c r="I118" s="1019">
        <f>ROUND(0.5667-0.0136*B113,4)</f>
        <v>0.48709999999999998</v>
      </c>
      <c r="J118" s="1019">
        <f t="shared" si="34"/>
        <v>0.48709999999999998</v>
      </c>
      <c r="K118" s="1019">
        <f t="shared" si="34"/>
        <v>0.48709999999999998</v>
      </c>
      <c r="L118" s="1019">
        <f t="shared" si="34"/>
        <v>0.48709999999999998</v>
      </c>
      <c r="M118" s="1020">
        <f t="shared" si="34"/>
        <v>0.48709999999999998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219" priority="5" stopIfTrue="1" operator="notEqual">
      <formula>"——"</formula>
    </cfRule>
  </conditionalFormatting>
  <conditionalFormatting sqref="F58">
    <cfRule type="cellIs" dxfId="218" priority="4" stopIfTrue="1" operator="notEqual">
      <formula>"——"</formula>
    </cfRule>
  </conditionalFormatting>
  <conditionalFormatting sqref="F69">
    <cfRule type="cellIs" dxfId="217" priority="3" stopIfTrue="1" operator="notEqual">
      <formula>"——"</formula>
    </cfRule>
  </conditionalFormatting>
  <conditionalFormatting sqref="F80">
    <cfRule type="cellIs" dxfId="216" priority="2" stopIfTrue="1" operator="notEqual">
      <formula>"——"</formula>
    </cfRule>
  </conditionalFormatting>
  <conditionalFormatting sqref="H58:H66 H47:H55 H69:H77 H80:H87">
    <cfRule type="cellIs" dxfId="21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46" t="s">
        <v>996</v>
      </c>
      <c r="B18" s="1135" t="s">
        <v>1435</v>
      </c>
      <c r="C18" s="1112" t="s">
        <v>1436</v>
      </c>
      <c r="D18" s="1113"/>
      <c r="E18" s="1135">
        <v>1</v>
      </c>
      <c r="F18" s="1114" t="s">
        <v>1437</v>
      </c>
      <c r="G18" s="1115"/>
      <c r="H18" s="1086"/>
      <c r="I18" s="1086"/>
    </row>
    <row r="19" spans="1:9" s="1528" customFormat="1" ht="19.5" customHeight="1">
      <c r="A19" s="4046"/>
      <c r="B19" s="4046" t="s">
        <v>1438</v>
      </c>
      <c r="C19" s="1112" t="s">
        <v>1439</v>
      </c>
      <c r="D19" s="1113"/>
      <c r="E19" s="1135">
        <v>0.9</v>
      </c>
      <c r="F19" s="1114" t="s">
        <v>1440</v>
      </c>
      <c r="G19" s="1115"/>
      <c r="H19" s="1086"/>
      <c r="I19" s="1086"/>
    </row>
    <row r="20" spans="1:9" s="1528" customFormat="1" ht="19.5" customHeight="1">
      <c r="A20" s="4046"/>
      <c r="B20" s="4046"/>
      <c r="C20" s="1112" t="s">
        <v>1441</v>
      </c>
      <c r="D20" s="1113"/>
      <c r="E20" s="1135">
        <v>1.1000000000000001</v>
      </c>
      <c r="F20" s="1114" t="s">
        <v>1442</v>
      </c>
      <c r="G20" s="1115"/>
      <c r="H20" s="1086"/>
      <c r="I20" s="1086"/>
    </row>
    <row r="21" spans="1:9" s="1528" customFormat="1" ht="19.5" customHeight="1">
      <c r="A21" s="4046"/>
      <c r="B21" s="4046"/>
      <c r="C21" s="1112" t="s">
        <v>1443</v>
      </c>
      <c r="D21" s="1113"/>
      <c r="E21" s="1135">
        <v>0.8</v>
      </c>
      <c r="F21" s="1114" t="s">
        <v>1444</v>
      </c>
      <c r="G21" s="1115"/>
      <c r="H21" s="1086"/>
      <c r="I21" s="1086"/>
    </row>
    <row r="22" spans="1:9" s="1528" customFormat="1" ht="19.5" customHeight="1">
      <c r="A22" s="4046"/>
      <c r="B22" s="4046"/>
      <c r="C22" s="1112" t="s">
        <v>1445</v>
      </c>
      <c r="D22" s="1113"/>
      <c r="E22" s="1135">
        <v>0.5</v>
      </c>
      <c r="F22" s="1114"/>
      <c r="G22" s="1115"/>
      <c r="H22" s="1086"/>
      <c r="I22" s="1086"/>
    </row>
    <row r="23" spans="1:9" s="1528" customFormat="1" ht="19.5" customHeight="1">
      <c r="A23" s="4046" t="s">
        <v>1018</v>
      </c>
      <c r="B23" s="1135" t="s">
        <v>1435</v>
      </c>
      <c r="C23" s="1112" t="s">
        <v>1446</v>
      </c>
      <c r="D23" s="1113"/>
      <c r="E23" s="1135">
        <v>1</v>
      </c>
      <c r="F23" s="1114" t="s">
        <v>1447</v>
      </c>
      <c r="G23" s="1115"/>
      <c r="H23" s="1086"/>
      <c r="I23" s="1086"/>
    </row>
    <row r="24" spans="1:9" s="1528" customFormat="1" ht="19.5" customHeight="1">
      <c r="A24" s="4046"/>
      <c r="B24" s="4046" t="s">
        <v>1438</v>
      </c>
      <c r="C24" s="1112" t="s">
        <v>1448</v>
      </c>
      <c r="D24" s="1113"/>
      <c r="E24" s="1135">
        <v>0.5</v>
      </c>
      <c r="F24" s="1114"/>
      <c r="G24" s="1115"/>
      <c r="H24" s="1086"/>
      <c r="I24" s="1086"/>
    </row>
    <row r="25" spans="1:9" s="1528" customFormat="1" ht="19.5" customHeight="1">
      <c r="A25" s="4046"/>
      <c r="B25" s="4046"/>
      <c r="C25" s="1112" t="s">
        <v>1449</v>
      </c>
      <c r="D25" s="1113"/>
      <c r="E25" s="1135">
        <v>1.1000000000000001</v>
      </c>
      <c r="F25" s="1114"/>
      <c r="G25" s="1115"/>
      <c r="H25" s="1086"/>
      <c r="I25" s="1086"/>
    </row>
    <row r="26" spans="1:9" s="1528" customFormat="1" ht="19.5" customHeight="1">
      <c r="A26" s="4046"/>
      <c r="B26" s="4046"/>
      <c r="C26" s="1112" t="s">
        <v>1450</v>
      </c>
      <c r="D26" s="1113"/>
      <c r="E26" s="1135">
        <v>1.1000000000000001</v>
      </c>
      <c r="F26" s="1114"/>
      <c r="G26" s="1115"/>
      <c r="H26" s="1086"/>
      <c r="I26" s="1086"/>
    </row>
    <row r="27" spans="1:9" s="1528" customFormat="1" ht="19.5" customHeight="1">
      <c r="A27" s="4046"/>
      <c r="B27" s="4046"/>
      <c r="C27" s="1112" t="s">
        <v>1451</v>
      </c>
      <c r="D27" s="1113"/>
      <c r="E27" s="1135">
        <v>0.9</v>
      </c>
      <c r="F27" s="1114" t="s">
        <v>1452</v>
      </c>
      <c r="G27" s="1115"/>
      <c r="H27" s="1086"/>
      <c r="I27" s="1086"/>
    </row>
    <row r="28" spans="1:9" s="1528" customFormat="1" ht="19.5" customHeight="1">
      <c r="A28" s="4046"/>
      <c r="B28" s="4046"/>
      <c r="C28" s="1112" t="s">
        <v>1453</v>
      </c>
      <c r="D28" s="1113"/>
      <c r="E28" s="1135">
        <v>0.9</v>
      </c>
      <c r="F28" s="1114" t="s">
        <v>1454</v>
      </c>
      <c r="G28" s="1115"/>
      <c r="H28" s="1086"/>
      <c r="I28" s="1086"/>
    </row>
    <row r="29" spans="1:9" s="1528" customFormat="1" ht="19.5" customHeight="1">
      <c r="A29" s="4046"/>
      <c r="B29" s="4046"/>
      <c r="C29" s="1112" t="s">
        <v>1455</v>
      </c>
      <c r="D29" s="1113"/>
      <c r="E29" s="1135">
        <v>0.9</v>
      </c>
      <c r="F29" s="1114" t="s">
        <v>1456</v>
      </c>
      <c r="G29" s="1115"/>
      <c r="H29" s="1086"/>
      <c r="I29" s="1086"/>
    </row>
    <row r="30" spans="1:9" s="1528" customFormat="1" ht="19.5" customHeight="1">
      <c r="A30" s="4046"/>
      <c r="B30" s="4046"/>
      <c r="C30" s="1112" t="s">
        <v>1457</v>
      </c>
      <c r="D30" s="1113"/>
      <c r="E30" s="1135">
        <v>0.9</v>
      </c>
      <c r="F30" s="1114" t="s">
        <v>1458</v>
      </c>
      <c r="G30" s="1115"/>
      <c r="H30" s="1086"/>
      <c r="I30" s="1086"/>
    </row>
    <row r="31" spans="1:9" s="1528" customFormat="1" ht="19.5" customHeight="1">
      <c r="A31" s="4046"/>
      <c r="B31" s="4046"/>
      <c r="C31" s="1112" t="s">
        <v>1459</v>
      </c>
      <c r="D31" s="1113"/>
      <c r="E31" s="1135">
        <v>0.8</v>
      </c>
      <c r="F31" s="1114" t="s">
        <v>1460</v>
      </c>
      <c r="G31" s="1115"/>
      <c r="H31" s="1086"/>
      <c r="I31" s="1086"/>
    </row>
    <row r="32" spans="1:9" s="1528" customFormat="1" ht="19.5" customHeight="1">
      <c r="A32" s="4046"/>
      <c r="B32" s="4046"/>
      <c r="C32" s="1112" t="s">
        <v>1461</v>
      </c>
      <c r="D32" s="1113"/>
      <c r="E32" s="1135">
        <v>0.8</v>
      </c>
      <c r="F32" s="1114" t="s">
        <v>1462</v>
      </c>
      <c r="G32" s="1115"/>
      <c r="H32" s="1086"/>
      <c r="I32" s="1086"/>
    </row>
    <row r="33" spans="1:9" s="1528" customFormat="1" ht="19.5" customHeight="1">
      <c r="A33" s="4046" t="s">
        <v>1463</v>
      </c>
      <c r="B33" s="1135" t="s">
        <v>1435</v>
      </c>
      <c r="C33" s="1112" t="s">
        <v>1464</v>
      </c>
      <c r="D33" s="1113"/>
      <c r="E33" s="1135">
        <v>1</v>
      </c>
      <c r="F33" s="1114" t="s">
        <v>1465</v>
      </c>
      <c r="G33" s="1115"/>
      <c r="H33" s="1086"/>
      <c r="I33" s="1086"/>
    </row>
    <row r="34" spans="1:9" s="1528" customFormat="1" ht="19.5" customHeight="1">
      <c r="A34" s="4046"/>
      <c r="B34" s="1135" t="s">
        <v>1438</v>
      </c>
      <c r="C34" s="1112" t="s">
        <v>1466</v>
      </c>
      <c r="D34" s="1113"/>
      <c r="E34" s="1135">
        <v>1.5</v>
      </c>
      <c r="F34" s="1114" t="s">
        <v>1467</v>
      </c>
      <c r="G34" s="1115"/>
      <c r="H34" s="1086"/>
      <c r="I34" s="1086"/>
    </row>
    <row r="35" spans="1:9" s="1528" customFormat="1" ht="19.5" customHeight="1">
      <c r="A35" s="4046" t="s">
        <v>1421</v>
      </c>
      <c r="B35" s="1135" t="s">
        <v>1435</v>
      </c>
      <c r="C35" s="1112" t="s">
        <v>1468</v>
      </c>
      <c r="D35" s="1113"/>
      <c r="E35" s="1135">
        <v>1</v>
      </c>
      <c r="F35" s="1114" t="s">
        <v>1469</v>
      </c>
      <c r="G35" s="1115"/>
      <c r="H35" s="1086"/>
      <c r="I35" s="1086"/>
    </row>
    <row r="36" spans="1:9" s="1528" customFormat="1" ht="19.5" customHeight="1">
      <c r="A36" s="4046"/>
      <c r="B36" s="4046" t="s">
        <v>1438</v>
      </c>
      <c r="C36" s="1112" t="s">
        <v>1470</v>
      </c>
      <c r="D36" s="1113"/>
      <c r="E36" s="1135">
        <v>1</v>
      </c>
      <c r="F36" s="1114" t="s">
        <v>1471</v>
      </c>
      <c r="G36" s="1115"/>
      <c r="H36" s="1086"/>
      <c r="I36" s="1086"/>
    </row>
    <row r="37" spans="1:9" s="1528" customFormat="1" ht="19.5" customHeight="1">
      <c r="A37" s="4046"/>
      <c r="B37" s="4046"/>
      <c r="C37" s="1112" t="s">
        <v>1472</v>
      </c>
      <c r="D37" s="1113"/>
      <c r="E37" s="1135">
        <v>1.5</v>
      </c>
      <c r="F37" s="1114" t="s">
        <v>1473</v>
      </c>
      <c r="G37" s="1115"/>
      <c r="H37" s="1086"/>
      <c r="I37" s="1086"/>
    </row>
    <row r="38" spans="1:9" s="1528" customFormat="1" ht="19.5" customHeight="1">
      <c r="A38" s="4046"/>
      <c r="B38" s="4046"/>
      <c r="C38" s="1112" t="s">
        <v>1474</v>
      </c>
      <c r="D38" s="1113"/>
      <c r="E38" s="1135">
        <v>1</v>
      </c>
      <c r="F38" s="1114" t="s">
        <v>1475</v>
      </c>
      <c r="G38" s="1115"/>
      <c r="H38" s="1086"/>
      <c r="I38" s="1086"/>
    </row>
    <row r="39" spans="1:9" s="1528" customFormat="1" ht="19.5" customHeight="1">
      <c r="A39" s="4046"/>
      <c r="B39" s="4046"/>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46" t="s">
        <v>1490</v>
      </c>
      <c r="C61" s="1049" t="s">
        <v>1491</v>
      </c>
      <c r="D61" s="1049" t="s">
        <v>1492</v>
      </c>
      <c r="E61" s="1120">
        <v>0.5</v>
      </c>
      <c r="F61" s="1135">
        <v>80</v>
      </c>
      <c r="H61" s="1086">
        <f>SUMIF(C59:C119,基准地价住宅!C8,E59:E119)</f>
        <v>0</v>
      </c>
    </row>
    <row r="62" spans="1:8" s="1086" customFormat="1" ht="24">
      <c r="A62" s="1135">
        <v>2</v>
      </c>
      <c r="B62" s="4046"/>
      <c r="C62" s="1049" t="s">
        <v>1493</v>
      </c>
      <c r="D62" s="1049" t="s">
        <v>1494</v>
      </c>
      <c r="E62" s="1120">
        <v>0.5</v>
      </c>
      <c r="F62" s="1135">
        <v>80</v>
      </c>
    </row>
    <row r="63" spans="1:8" s="1086" customFormat="1" ht="36">
      <c r="A63" s="1135">
        <v>3</v>
      </c>
      <c r="B63" s="4046"/>
      <c r="C63" s="1049" t="s">
        <v>1495</v>
      </c>
      <c r="D63" s="1049" t="s">
        <v>1496</v>
      </c>
      <c r="E63" s="1120">
        <v>0.5</v>
      </c>
      <c r="F63" s="1135">
        <v>80</v>
      </c>
    </row>
    <row r="64" spans="1:8" s="1086" customFormat="1" ht="36">
      <c r="A64" s="1135">
        <v>4</v>
      </c>
      <c r="B64" s="4046"/>
      <c r="C64" s="1049" t="s">
        <v>1497</v>
      </c>
      <c r="D64" s="1049" t="s">
        <v>1498</v>
      </c>
      <c r="E64" s="1120">
        <v>0.4</v>
      </c>
      <c r="F64" s="1135">
        <v>60</v>
      </c>
    </row>
    <row r="65" spans="1:6" s="1086" customFormat="1" ht="36">
      <c r="A65" s="1135">
        <v>5</v>
      </c>
      <c r="B65" s="4046"/>
      <c r="C65" s="1049" t="s">
        <v>1499</v>
      </c>
      <c r="D65" s="1049" t="s">
        <v>1500</v>
      </c>
      <c r="E65" s="1120">
        <v>0.2</v>
      </c>
      <c r="F65" s="1135">
        <v>30</v>
      </c>
    </row>
    <row r="66" spans="1:6" s="1086" customFormat="1" ht="36">
      <c r="A66" s="1135">
        <v>6</v>
      </c>
      <c r="B66" s="4046"/>
      <c r="C66" s="1049" t="s">
        <v>1501</v>
      </c>
      <c r="D66" s="1049" t="s">
        <v>1502</v>
      </c>
      <c r="E66" s="1120">
        <v>0.3</v>
      </c>
      <c r="F66" s="1135">
        <v>50</v>
      </c>
    </row>
    <row r="67" spans="1:6" s="1086" customFormat="1" ht="36">
      <c r="A67" s="1135">
        <v>7</v>
      </c>
      <c r="B67" s="4046"/>
      <c r="C67" s="1049" t="s">
        <v>1503</v>
      </c>
      <c r="D67" s="1049" t="s">
        <v>1504</v>
      </c>
      <c r="E67" s="1120">
        <v>0.2</v>
      </c>
      <c r="F67" s="1135">
        <v>30</v>
      </c>
    </row>
    <row r="68" spans="1:6" s="1086" customFormat="1" ht="36">
      <c r="A68" s="1135">
        <v>8</v>
      </c>
      <c r="B68" s="4046"/>
      <c r="C68" s="1049" t="s">
        <v>1505</v>
      </c>
      <c r="D68" s="1049" t="s">
        <v>1506</v>
      </c>
      <c r="E68" s="1120">
        <v>0.2</v>
      </c>
      <c r="F68" s="1135">
        <v>30</v>
      </c>
    </row>
    <row r="69" spans="1:6" s="1086" customFormat="1" ht="36">
      <c r="A69" s="1135">
        <v>9</v>
      </c>
      <c r="B69" s="4046"/>
      <c r="C69" s="1049" t="s">
        <v>1507</v>
      </c>
      <c r="D69" s="1049" t="s">
        <v>1508</v>
      </c>
      <c r="E69" s="1120">
        <v>0.2</v>
      </c>
      <c r="F69" s="1135">
        <v>30</v>
      </c>
    </row>
    <row r="70" spans="1:6" s="1086" customFormat="1" ht="48">
      <c r="A70" s="1135">
        <v>10</v>
      </c>
      <c r="B70" s="4046"/>
      <c r="C70" s="1049" t="s">
        <v>1509</v>
      </c>
      <c r="D70" s="1049" t="s">
        <v>1510</v>
      </c>
      <c r="E70" s="1120">
        <v>0.2</v>
      </c>
      <c r="F70" s="1135">
        <v>30</v>
      </c>
    </row>
    <row r="71" spans="1:6" s="1086" customFormat="1" ht="48">
      <c r="A71" s="1135">
        <v>11</v>
      </c>
      <c r="B71" s="4046"/>
      <c r="C71" s="1049" t="s">
        <v>1511</v>
      </c>
      <c r="D71" s="1049" t="s">
        <v>1512</v>
      </c>
      <c r="E71" s="1120">
        <v>0.2</v>
      </c>
      <c r="F71" s="1135">
        <v>30</v>
      </c>
    </row>
    <row r="72" spans="1:6" s="1086" customFormat="1" ht="36">
      <c r="A72" s="1135">
        <v>12</v>
      </c>
      <c r="B72" s="4046"/>
      <c r="C72" s="1049" t="s">
        <v>1513</v>
      </c>
      <c r="D72" s="1049" t="s">
        <v>1514</v>
      </c>
      <c r="E72" s="1120">
        <v>0.5</v>
      </c>
      <c r="F72" s="1135">
        <v>80</v>
      </c>
    </row>
    <row r="73" spans="1:6" s="1086" customFormat="1" ht="24">
      <c r="A73" s="1135">
        <v>13</v>
      </c>
      <c r="B73" s="4046"/>
      <c r="C73" s="1049" t="s">
        <v>1515</v>
      </c>
      <c r="D73" s="1049" t="s">
        <v>1516</v>
      </c>
      <c r="E73" s="1120">
        <v>0.4</v>
      </c>
      <c r="F73" s="1135">
        <v>60</v>
      </c>
    </row>
    <row r="74" spans="1:6" s="1086" customFormat="1" ht="24">
      <c r="A74" s="1135">
        <v>14</v>
      </c>
      <c r="B74" s="4046"/>
      <c r="C74" s="1049" t="s">
        <v>1517</v>
      </c>
      <c r="D74" s="1049" t="s">
        <v>1518</v>
      </c>
      <c r="E74" s="1120">
        <v>0.2</v>
      </c>
      <c r="F74" s="1135">
        <v>30</v>
      </c>
    </row>
    <row r="75" spans="1:6" s="1086" customFormat="1" ht="24">
      <c r="A75" s="1135">
        <v>15</v>
      </c>
      <c r="B75" s="4046"/>
      <c r="C75" s="1049" t="s">
        <v>1519</v>
      </c>
      <c r="D75" s="1049" t="s">
        <v>1520</v>
      </c>
      <c r="E75" s="1120">
        <v>0.2</v>
      </c>
      <c r="F75" s="1135">
        <v>30</v>
      </c>
    </row>
    <row r="76" spans="1:6" s="1086" customFormat="1" ht="24">
      <c r="A76" s="1135">
        <v>16</v>
      </c>
      <c r="B76" s="4046" t="s">
        <v>1521</v>
      </c>
      <c r="C76" s="1049" t="s">
        <v>1522</v>
      </c>
      <c r="D76" s="1049" t="s">
        <v>1523</v>
      </c>
      <c r="E76" s="1120">
        <v>0.5</v>
      </c>
      <c r="F76" s="1135">
        <v>80</v>
      </c>
    </row>
    <row r="77" spans="1:6" s="1086" customFormat="1" ht="24">
      <c r="A77" s="1135">
        <v>17</v>
      </c>
      <c r="B77" s="4046"/>
      <c r="C77" s="1049" t="s">
        <v>1524</v>
      </c>
      <c r="D77" s="1049" t="s">
        <v>1525</v>
      </c>
      <c r="E77" s="1120">
        <v>0.5</v>
      </c>
      <c r="F77" s="1135">
        <v>80</v>
      </c>
    </row>
    <row r="78" spans="1:6" s="1086" customFormat="1" ht="24">
      <c r="A78" s="1135">
        <v>18</v>
      </c>
      <c r="B78" s="4046"/>
      <c r="C78" s="1049" t="s">
        <v>1526</v>
      </c>
      <c r="D78" s="1049" t="s">
        <v>1527</v>
      </c>
      <c r="E78" s="1120">
        <v>0.2</v>
      </c>
      <c r="F78" s="1135">
        <v>30</v>
      </c>
    </row>
    <row r="79" spans="1:6" s="1086" customFormat="1" ht="24">
      <c r="A79" s="1135">
        <v>19</v>
      </c>
      <c r="B79" s="4046"/>
      <c r="C79" s="1049" t="s">
        <v>1528</v>
      </c>
      <c r="D79" s="1049" t="s">
        <v>1529</v>
      </c>
      <c r="E79" s="1120">
        <v>0.5</v>
      </c>
      <c r="F79" s="1135">
        <v>80</v>
      </c>
    </row>
    <row r="80" spans="1:6" s="1086" customFormat="1" ht="36">
      <c r="A80" s="1135">
        <v>20</v>
      </c>
      <c r="B80" s="4046"/>
      <c r="C80" s="1049" t="s">
        <v>1530</v>
      </c>
      <c r="D80" s="1049" t="s">
        <v>1531</v>
      </c>
      <c r="E80" s="1120">
        <v>0.2</v>
      </c>
      <c r="F80" s="1135">
        <v>30</v>
      </c>
    </row>
    <row r="81" spans="1:6" s="1086" customFormat="1" ht="36">
      <c r="A81" s="1135">
        <v>21</v>
      </c>
      <c r="B81" s="4046"/>
      <c r="C81" s="1049" t="s">
        <v>1532</v>
      </c>
      <c r="D81" s="1049" t="s">
        <v>1533</v>
      </c>
      <c r="E81" s="1120">
        <v>0.2</v>
      </c>
      <c r="F81" s="1135">
        <v>30</v>
      </c>
    </row>
    <row r="82" spans="1:6" s="1086" customFormat="1" ht="48">
      <c r="A82" s="1135">
        <v>22</v>
      </c>
      <c r="B82" s="4046"/>
      <c r="C82" s="1049" t="s">
        <v>1534</v>
      </c>
      <c r="D82" s="1049" t="s">
        <v>1535</v>
      </c>
      <c r="E82" s="1120">
        <v>0.2</v>
      </c>
      <c r="F82" s="1135">
        <v>30</v>
      </c>
    </row>
    <row r="83" spans="1:6" s="1086" customFormat="1" ht="48">
      <c r="A83" s="1135">
        <v>23</v>
      </c>
      <c r="B83" s="4046"/>
      <c r="C83" s="1049" t="s">
        <v>1536</v>
      </c>
      <c r="D83" s="1049" t="s">
        <v>1537</v>
      </c>
      <c r="E83" s="1120">
        <v>0.2</v>
      </c>
      <c r="F83" s="1135">
        <v>30</v>
      </c>
    </row>
    <row r="84" spans="1:6" s="1086" customFormat="1" ht="36">
      <c r="A84" s="1135">
        <v>24</v>
      </c>
      <c r="B84" s="4046"/>
      <c r="C84" s="1049" t="s">
        <v>1538</v>
      </c>
      <c r="D84" s="1049" t="s">
        <v>1539</v>
      </c>
      <c r="E84" s="1120">
        <v>0.2</v>
      </c>
      <c r="F84" s="1135">
        <v>30</v>
      </c>
    </row>
    <row r="85" spans="1:6" s="1086" customFormat="1" ht="36">
      <c r="A85" s="1135">
        <v>25</v>
      </c>
      <c r="B85" s="4046"/>
      <c r="C85" s="1049" t="s">
        <v>1540</v>
      </c>
      <c r="D85" s="1049" t="s">
        <v>1541</v>
      </c>
      <c r="E85" s="1120">
        <v>0.5</v>
      </c>
      <c r="F85" s="1135">
        <v>80</v>
      </c>
    </row>
    <row r="86" spans="1:6" s="1086" customFormat="1" ht="36">
      <c r="A86" s="1135">
        <v>26</v>
      </c>
      <c r="B86" s="4046"/>
      <c r="C86" s="1049" t="s">
        <v>1542</v>
      </c>
      <c r="D86" s="1049" t="s">
        <v>1543</v>
      </c>
      <c r="E86" s="1120">
        <v>0.2</v>
      </c>
      <c r="F86" s="1135">
        <v>30</v>
      </c>
    </row>
    <row r="87" spans="1:6" s="1086" customFormat="1" ht="36">
      <c r="A87" s="1135">
        <v>27</v>
      </c>
      <c r="B87" s="4046"/>
      <c r="C87" s="1049" t="s">
        <v>1544</v>
      </c>
      <c r="D87" s="1049" t="s">
        <v>1545</v>
      </c>
      <c r="E87" s="1120">
        <v>0.2</v>
      </c>
      <c r="F87" s="1135">
        <v>30</v>
      </c>
    </row>
    <row r="88" spans="1:6" s="1086" customFormat="1" ht="36">
      <c r="A88" s="1135">
        <v>28</v>
      </c>
      <c r="B88" s="4046"/>
      <c r="C88" s="1049" t="s">
        <v>1546</v>
      </c>
      <c r="D88" s="1049" t="s">
        <v>1547</v>
      </c>
      <c r="E88" s="1120">
        <v>0.2</v>
      </c>
      <c r="F88" s="1135">
        <v>30</v>
      </c>
    </row>
    <row r="89" spans="1:6" s="1086" customFormat="1" ht="24">
      <c r="A89" s="1135">
        <v>29</v>
      </c>
      <c r="B89" s="4046"/>
      <c r="C89" s="1049" t="s">
        <v>1548</v>
      </c>
      <c r="D89" s="1049" t="s">
        <v>1549</v>
      </c>
      <c r="E89" s="1120">
        <v>0.2</v>
      </c>
      <c r="F89" s="1135">
        <v>30</v>
      </c>
    </row>
    <row r="90" spans="1:6" s="1086" customFormat="1" ht="24">
      <c r="A90" s="1135">
        <v>30</v>
      </c>
      <c r="B90" s="4046"/>
      <c r="C90" s="1049" t="s">
        <v>1550</v>
      </c>
      <c r="D90" s="1049" t="s">
        <v>1551</v>
      </c>
      <c r="E90" s="1120">
        <v>0.2</v>
      </c>
      <c r="F90" s="1135">
        <v>30</v>
      </c>
    </row>
    <row r="91" spans="1:6" s="1086" customFormat="1" ht="36">
      <c r="A91" s="1135">
        <v>31</v>
      </c>
      <c r="B91" s="4046"/>
      <c r="C91" s="1049" t="s">
        <v>1552</v>
      </c>
      <c r="D91" s="1049" t="s">
        <v>1553</v>
      </c>
      <c r="E91" s="1120">
        <v>0.2</v>
      </c>
      <c r="F91" s="1135">
        <v>30</v>
      </c>
    </row>
    <row r="92" spans="1:6" s="1086" customFormat="1" ht="24">
      <c r="A92" s="1135">
        <v>32</v>
      </c>
      <c r="B92" s="4046" t="s">
        <v>1554</v>
      </c>
      <c r="C92" s="1135" t="s">
        <v>1555</v>
      </c>
      <c r="D92" s="1049" t="s">
        <v>1556</v>
      </c>
      <c r="E92" s="1120">
        <v>0.2</v>
      </c>
      <c r="F92" s="1135">
        <v>30</v>
      </c>
    </row>
    <row r="93" spans="1:6" s="1086" customFormat="1" ht="36">
      <c r="A93" s="1135">
        <v>33</v>
      </c>
      <c r="B93" s="4046"/>
      <c r="C93" s="1135" t="s">
        <v>1557</v>
      </c>
      <c r="D93" s="1049" t="s">
        <v>1558</v>
      </c>
      <c r="E93" s="1120">
        <v>0.2</v>
      </c>
      <c r="F93" s="1135">
        <v>30</v>
      </c>
    </row>
    <row r="94" spans="1:6" s="1086" customFormat="1" ht="48">
      <c r="A94" s="1135">
        <v>34</v>
      </c>
      <c r="B94" s="4046"/>
      <c r="C94" s="1135" t="s">
        <v>1559</v>
      </c>
      <c r="D94" s="1049" t="s">
        <v>1560</v>
      </c>
      <c r="E94" s="1120">
        <v>0.2</v>
      </c>
      <c r="F94" s="1135">
        <v>30</v>
      </c>
    </row>
    <row r="95" spans="1:6" s="1086" customFormat="1" ht="36">
      <c r="A95" s="1135">
        <v>35</v>
      </c>
      <c r="B95" s="4046"/>
      <c r="C95" s="1135" t="s">
        <v>1561</v>
      </c>
      <c r="D95" s="1049" t="s">
        <v>1562</v>
      </c>
      <c r="E95" s="1120">
        <v>0.2</v>
      </c>
      <c r="F95" s="1135">
        <v>30</v>
      </c>
    </row>
    <row r="96" spans="1:6" s="1086" customFormat="1" ht="48">
      <c r="A96" s="1135">
        <v>36</v>
      </c>
      <c r="B96" s="4046"/>
      <c r="C96" s="1049" t="s">
        <v>1563</v>
      </c>
      <c r="D96" s="1049" t="s">
        <v>1564</v>
      </c>
      <c r="E96" s="1120">
        <v>0.2</v>
      </c>
      <c r="F96" s="1135">
        <v>30</v>
      </c>
    </row>
    <row r="97" spans="1:6" s="1086" customFormat="1" ht="36">
      <c r="A97" s="1135">
        <v>37</v>
      </c>
      <c r="B97" s="4046"/>
      <c r="C97" s="1135" t="s">
        <v>1565</v>
      </c>
      <c r="D97" s="1049" t="s">
        <v>1566</v>
      </c>
      <c r="E97" s="1120">
        <v>0.2</v>
      </c>
      <c r="F97" s="1135">
        <v>30</v>
      </c>
    </row>
    <row r="98" spans="1:6" s="1086" customFormat="1" ht="36">
      <c r="A98" s="1135">
        <v>38</v>
      </c>
      <c r="B98" s="4046"/>
      <c r="C98" s="1135" t="s">
        <v>1567</v>
      </c>
      <c r="D98" s="1049" t="s">
        <v>1568</v>
      </c>
      <c r="E98" s="1120">
        <v>0.2</v>
      </c>
      <c r="F98" s="1135">
        <v>30</v>
      </c>
    </row>
    <row r="99" spans="1:6" s="1086" customFormat="1" ht="36">
      <c r="A99" s="1135">
        <v>39</v>
      </c>
      <c r="B99" s="4046" t="s">
        <v>1569</v>
      </c>
      <c r="C99" s="1135" t="s">
        <v>1570</v>
      </c>
      <c r="D99" s="1049" t="s">
        <v>1571</v>
      </c>
      <c r="E99" s="1120">
        <v>0.3</v>
      </c>
      <c r="F99" s="1135">
        <v>50</v>
      </c>
    </row>
    <row r="100" spans="1:6" s="1086" customFormat="1" ht="24">
      <c r="A100" s="1135">
        <v>40</v>
      </c>
      <c r="B100" s="4046"/>
      <c r="C100" s="1135" t="s">
        <v>1572</v>
      </c>
      <c r="D100" s="1049" t="s">
        <v>1573</v>
      </c>
      <c r="E100" s="1120">
        <v>0.2</v>
      </c>
      <c r="F100" s="1135">
        <v>30</v>
      </c>
    </row>
    <row r="101" spans="1:6" s="1086" customFormat="1" ht="36">
      <c r="A101" s="1135">
        <v>41</v>
      </c>
      <c r="B101" s="4046"/>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46" t="s">
        <v>1584</v>
      </c>
      <c r="C105" s="1135" t="s">
        <v>1585</v>
      </c>
      <c r="D105" s="1049" t="s">
        <v>1586</v>
      </c>
      <c r="E105" s="1120">
        <v>0.2</v>
      </c>
      <c r="F105" s="1135">
        <v>30</v>
      </c>
    </row>
    <row r="106" spans="1:6" s="1086" customFormat="1" ht="36">
      <c r="A106" s="1135">
        <v>46</v>
      </c>
      <c r="B106" s="4046"/>
      <c r="C106" s="1135" t="s">
        <v>1587</v>
      </c>
      <c r="D106" s="1049" t="s">
        <v>1588</v>
      </c>
      <c r="E106" s="1120">
        <v>0.2</v>
      </c>
      <c r="F106" s="1135">
        <v>30</v>
      </c>
    </row>
    <row r="107" spans="1:6" s="1086" customFormat="1" ht="36">
      <c r="A107" s="1135">
        <v>47</v>
      </c>
      <c r="B107" s="4046" t="s">
        <v>1589</v>
      </c>
      <c r="C107" s="1135" t="s">
        <v>1590</v>
      </c>
      <c r="D107" s="1049" t="s">
        <v>1591</v>
      </c>
      <c r="E107" s="1120">
        <v>0.3</v>
      </c>
      <c r="F107" s="1135">
        <v>50</v>
      </c>
    </row>
    <row r="108" spans="1:6" s="1086" customFormat="1" ht="36">
      <c r="A108" s="1135">
        <v>48</v>
      </c>
      <c r="B108" s="4046"/>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46" t="s">
        <v>1600</v>
      </c>
      <c r="C111" s="1135" t="s">
        <v>1601</v>
      </c>
      <c r="D111" s="1049" t="s">
        <v>1602</v>
      </c>
      <c r="E111" s="1120">
        <v>0.2</v>
      </c>
      <c r="F111" s="1135">
        <v>30</v>
      </c>
    </row>
    <row r="112" spans="1:6" s="1086" customFormat="1" ht="24">
      <c r="A112" s="1135">
        <v>52</v>
      </c>
      <c r="B112" s="4046"/>
      <c r="C112" s="1135" t="s">
        <v>1603</v>
      </c>
      <c r="D112" s="1049" t="s">
        <v>1604</v>
      </c>
      <c r="E112" s="1120">
        <v>0.2</v>
      </c>
      <c r="F112" s="1135">
        <v>30</v>
      </c>
    </row>
    <row r="113" spans="1:14" s="1086" customFormat="1" ht="24">
      <c r="A113" s="1135">
        <v>53</v>
      </c>
      <c r="B113" s="4046"/>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46" t="s">
        <v>1613</v>
      </c>
      <c r="C116" s="1135" t="s">
        <v>1614</v>
      </c>
      <c r="D116" s="1049" t="s">
        <v>1615</v>
      </c>
      <c r="E116" s="1120">
        <v>0.2</v>
      </c>
      <c r="F116" s="1135">
        <v>30</v>
      </c>
    </row>
    <row r="117" spans="1:14" ht="36">
      <c r="A117" s="1135">
        <v>57</v>
      </c>
      <c r="B117" s="4046"/>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45" t="s">
        <v>1622</v>
      </c>
      <c r="B121" s="4045"/>
      <c r="C121" s="4045"/>
      <c r="D121" s="4045"/>
      <c r="E121" s="4045"/>
      <c r="F121" s="4045"/>
      <c r="G121" s="4045"/>
      <c r="H121" s="4045"/>
      <c r="I121" s="4045"/>
      <c r="J121" s="4045"/>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7" t="s">
        <v>1028</v>
      </c>
      <c r="B1" s="4047"/>
      <c r="C1" s="4047"/>
      <c r="D1" s="4047"/>
      <c r="E1" s="4047"/>
      <c r="F1" s="4047"/>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8" t="s">
        <v>1041</v>
      </c>
      <c r="B2" s="4048"/>
      <c r="C2" s="4048"/>
      <c r="D2" s="4048"/>
      <c r="E2" s="4048"/>
      <c r="F2" s="4048"/>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9"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50"/>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0.79679999999999995</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51" t="s">
        <v>2065</v>
      </c>
      <c r="B1" s="4051"/>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1" zoomScale="80" zoomScaleNormal="60" zoomScaleSheetLayoutView="80" workbookViewId="0">
      <selection activeCell="K53" sqref="K5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28023</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3063</v>
      </c>
      <c r="F3" s="1360" t="s">
        <v>3060</v>
      </c>
      <c r="G3" s="1024">
        <f>IF(F3="宗地容积率",'数据-汇总表'!I4,IF(F3="估价对象容积率",'数据-汇总表'!I6,'数据-汇总表'!I7))</f>
        <v>5.85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20115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16228</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13021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11088</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9751</v>
      </c>
      <c r="U7" s="2641"/>
      <c r="V7" s="2652">
        <f t="shared" ca="1" si="1"/>
        <v>0</v>
      </c>
      <c r="W7" s="3271" t="s">
        <v>2742</v>
      </c>
      <c r="X7" s="2642" t="str">
        <f>G2</f>
        <v>六级</v>
      </c>
      <c r="Y7" s="2642" t="s">
        <v>2743</v>
      </c>
      <c r="Z7" s="2643">
        <f>G3</f>
        <v>5.85</v>
      </c>
      <c r="AA7" s="2071"/>
      <c r="AB7" s="2071"/>
      <c r="AC7" s="2072"/>
      <c r="AD7" s="2644"/>
      <c r="AE7" s="2644"/>
      <c r="AF7" s="2644"/>
      <c r="AG7" s="2644"/>
      <c r="AH7" s="2644"/>
      <c r="AI7" s="2644"/>
      <c r="AJ7" s="2645"/>
    </row>
    <row r="8" spans="1:39" ht="25.5">
      <c r="A8" s="4041"/>
      <c r="B8" s="1361" t="s">
        <v>923</v>
      </c>
      <c r="C8" s="1467" t="s">
        <v>3064</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5.85</v>
      </c>
      <c r="Z11" s="1580">
        <f t="shared" ref="Z11:AJ11" si="3">$G$3</f>
        <v>5.85</v>
      </c>
      <c r="AA11" s="1580">
        <f t="shared" si="3"/>
        <v>5.85</v>
      </c>
      <c r="AB11" s="1580">
        <f t="shared" si="3"/>
        <v>5.85</v>
      </c>
      <c r="AC11" s="1580">
        <f t="shared" si="3"/>
        <v>5.85</v>
      </c>
      <c r="AD11" s="1580">
        <f t="shared" si="3"/>
        <v>5.85</v>
      </c>
      <c r="AE11" s="1580">
        <f t="shared" si="3"/>
        <v>5.85</v>
      </c>
      <c r="AF11" s="1580">
        <f t="shared" si="3"/>
        <v>5.85</v>
      </c>
      <c r="AG11" s="1580">
        <f t="shared" si="3"/>
        <v>5.85</v>
      </c>
      <c r="AH11" s="1580">
        <f t="shared" si="3"/>
        <v>5.85</v>
      </c>
      <c r="AI11" s="1580">
        <f t="shared" si="3"/>
        <v>5.85</v>
      </c>
      <c r="AJ11" s="1580">
        <f t="shared" si="3"/>
        <v>5.85</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0.13020512820512822</v>
      </c>
      <c r="Z13" s="2648">
        <f t="shared" ref="Z13:AJ13" si="5">(-0.163*(Z12^2)-0.59*Z12+7617)*(10^(-4))/Z11</f>
        <v>0.13020512820512822</v>
      </c>
      <c r="AA13" s="2648">
        <f t="shared" si="5"/>
        <v>0.13020512820512822</v>
      </c>
      <c r="AB13" s="2648">
        <f t="shared" si="5"/>
        <v>0.13020512820512822</v>
      </c>
      <c r="AC13" s="2648">
        <f t="shared" si="5"/>
        <v>0.13020512820512822</v>
      </c>
      <c r="AD13" s="2648">
        <f t="shared" si="5"/>
        <v>0.13020512820512822</v>
      </c>
      <c r="AE13" s="2648">
        <f t="shared" si="5"/>
        <v>0.13020512820512822</v>
      </c>
      <c r="AF13" s="2648">
        <f t="shared" si="5"/>
        <v>0.13020512820512822</v>
      </c>
      <c r="AG13" s="2648">
        <f t="shared" si="5"/>
        <v>0.13020512820512822</v>
      </c>
      <c r="AH13" s="2648">
        <f t="shared" si="5"/>
        <v>0.13020512820512822</v>
      </c>
      <c r="AI13" s="2648">
        <f t="shared" si="5"/>
        <v>0.13020512820512822</v>
      </c>
      <c r="AJ13" s="2648">
        <f t="shared" si="5"/>
        <v>0.13020512820512822</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3370">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0.79410000000000003</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0.79410000000000003</v>
      </c>
      <c r="E22" s="1024">
        <f>ROUNDDOWN(G3,1)</f>
        <v>5.8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0.7954</v>
      </c>
      <c r="G22" s="1024">
        <f>ROUNDUP(G3,1)</f>
        <v>5.8999999999999995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0.79269999999999996</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1.0609999999999999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11946</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2987</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10530</v>
      </c>
      <c r="D33" s="1475"/>
      <c r="E33" s="1033">
        <f ca="1">ROUND(C33*D33/10000,0)</f>
        <v>0</v>
      </c>
      <c r="F33" s="1033">
        <f>SUMIF(修正!A45:A56,G2,修正!B45:B56)</f>
        <v>0.7</v>
      </c>
      <c r="G33" s="1033">
        <f t="shared" ref="G33" ca="1" si="6">ROUND(IF(E2="工业",C33*$M$39,C33*$M$38),0)</f>
        <v>2633</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6017</v>
      </c>
      <c r="D34" s="1475"/>
      <c r="E34" s="1033">
        <f t="shared" ref="E34:E39" ca="1" si="7">ROUND(C34*D34/10000,0)</f>
        <v>0</v>
      </c>
      <c r="F34" s="1033">
        <f>SUMIF(修正!A45:A56,G2,修正!C45:C56)</f>
        <v>0.4</v>
      </c>
      <c r="G34" s="1033">
        <f ca="1">ROUND(IF(E2="工业",C34*$M$39,C34*$M$38),0)</f>
        <v>1504</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4212</v>
      </c>
      <c r="D35" s="1475"/>
      <c r="E35" s="1033">
        <f t="shared" ca="1" si="7"/>
        <v>0</v>
      </c>
      <c r="F35" s="1033">
        <f>SUMIF(修正!A45:A56,G2,修正!D45:D56)</f>
        <v>0.28000000000000003</v>
      </c>
      <c r="G35" s="1033">
        <f ca="1">ROUND(IF(E2="工业",C35*$M$39,C35*$M$38),0)</f>
        <v>1053</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3761</v>
      </c>
      <c r="D36" s="1475"/>
      <c r="E36" s="1033">
        <f t="shared" ca="1" si="7"/>
        <v>0</v>
      </c>
      <c r="F36" s="1033">
        <f>SUMIF(修正!A45:A56,G2,修正!E45:E56)</f>
        <v>0.25</v>
      </c>
      <c r="G36" s="1033">
        <f ca="1">ROUND(IF(E2="工业",C36*$M$39,C36*$M$38),0)</f>
        <v>940</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3761</v>
      </c>
      <c r="D37" s="1475"/>
      <c r="E37" s="1033">
        <f t="shared" ca="1" si="7"/>
        <v>0</v>
      </c>
      <c r="F37" s="1044">
        <f>SUMIF(修正!A45:A56,G2,修正!F45:F56)</f>
        <v>0.25</v>
      </c>
      <c r="G37" s="1033">
        <f ca="1">ROUND(IF(E2="工业",C37*$M$39,C37*$M$38),0)</f>
        <v>940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1.0609999999999999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3071</v>
      </c>
      <c r="D47" s="2270">
        <f t="shared" ref="D47:D55" si="10">SUMIF($J$46:$N$46,C47,J47:N47)</f>
        <v>2.35E-2</v>
      </c>
      <c r="E47" s="2289">
        <f>ROUND(SUM(D47:D55),4)</f>
        <v>6.0999999999999999E-2</v>
      </c>
      <c r="F47" s="2290">
        <f>IF(E2="商业",SUMIF(L1:L12,G2,N1:N12),"——")</f>
        <v>0.13</v>
      </c>
      <c r="G47" s="4155">
        <v>2.35E-2</v>
      </c>
      <c r="H47" s="2313">
        <f t="shared" ref="H47:H55" si="11">IFERROR(ROUNDDOWN(($F$47*I47/2),4),"——")</f>
        <v>2.1399999999999999E-2</v>
      </c>
      <c r="I47" s="2288">
        <v>0.33</v>
      </c>
      <c r="J47" s="2291">
        <f t="shared" ref="J47:J55" si="12">K47+$G47</f>
        <v>4.7E-2</v>
      </c>
      <c r="K47" s="2291">
        <f t="shared" ref="K47:K55" si="13">$L47+$G47</f>
        <v>2.35E-2</v>
      </c>
      <c r="L47" s="2291">
        <v>0</v>
      </c>
      <c r="M47" s="2291">
        <f t="shared" ref="M47:N55" si="14">L47-$G47</f>
        <v>-2.35E-2</v>
      </c>
      <c r="N47" s="2291">
        <f t="shared" si="14"/>
        <v>-4.7E-2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3070</v>
      </c>
      <c r="D48" s="2270">
        <f t="shared" si="10"/>
        <v>0</v>
      </c>
      <c r="E48" s="2292"/>
      <c r="F48" s="2290"/>
      <c r="G48" s="4155">
        <v>1.41E-2</v>
      </c>
      <c r="H48" s="2313">
        <f t="shared" si="11"/>
        <v>1.6199999999999999E-2</v>
      </c>
      <c r="I48" s="2288">
        <v>0.25</v>
      </c>
      <c r="J48" s="2291">
        <f t="shared" si="12"/>
        <v>2.8199999999999999E-2</v>
      </c>
      <c r="K48" s="2291">
        <f t="shared" si="13"/>
        <v>1.41E-2</v>
      </c>
      <c r="L48" s="2291">
        <v>0</v>
      </c>
      <c r="M48" s="2291">
        <f t="shared" si="14"/>
        <v>-1.41E-2</v>
      </c>
      <c r="N48" s="2291">
        <f t="shared" si="14"/>
        <v>-2.8199999999999999E-2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3071</v>
      </c>
      <c r="D49" s="2270">
        <f t="shared" si="10"/>
        <v>3.2000000000000002E-3</v>
      </c>
      <c r="E49" s="2292"/>
      <c r="F49" s="2290"/>
      <c r="G49" s="2268">
        <f t="shared" ref="G48:G55" si="15">H49</f>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3071</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3071</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3071</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3071</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3077</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3077</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269"/>
      <c r="L90" s="3269"/>
      <c r="M90" s="3269"/>
      <c r="N90" s="3269"/>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5.85</v>
      </c>
      <c r="D101" s="1129">
        <f t="shared" ref="D101:N101" si="32">$G$3</f>
        <v>5.85</v>
      </c>
      <c r="E101" s="1129">
        <f t="shared" si="32"/>
        <v>5.85</v>
      </c>
      <c r="F101" s="1129">
        <f t="shared" si="32"/>
        <v>5.85</v>
      </c>
      <c r="G101" s="1129">
        <f t="shared" si="32"/>
        <v>5.85</v>
      </c>
      <c r="H101" s="1129">
        <f t="shared" si="32"/>
        <v>5.85</v>
      </c>
      <c r="I101" s="1129">
        <f t="shared" si="32"/>
        <v>5.85</v>
      </c>
      <c r="J101" s="1129">
        <f t="shared" si="32"/>
        <v>5.85</v>
      </c>
      <c r="K101" s="1129">
        <f t="shared" si="32"/>
        <v>5.85</v>
      </c>
      <c r="L101" s="1129">
        <f t="shared" si="32"/>
        <v>5.85</v>
      </c>
      <c r="M101" s="1129">
        <f t="shared" si="32"/>
        <v>5.85</v>
      </c>
      <c r="N101" s="1129">
        <f t="shared" si="32"/>
        <v>5.85</v>
      </c>
    </row>
    <row r="102" spans="1:14">
      <c r="A102" s="4030"/>
      <c r="B102" s="1124">
        <v>1</v>
      </c>
      <c r="C102" s="1125">
        <f>1.9362/C101</f>
        <v>0.33097435897435901</v>
      </c>
      <c r="D102" s="1125">
        <f>1.9362/D101</f>
        <v>0.33097435897435901</v>
      </c>
      <c r="E102" s="1125">
        <f>1.8629/E101</f>
        <v>0.31844444444444447</v>
      </c>
      <c r="F102" s="1125">
        <f>1.8629/F101</f>
        <v>0.31844444444444447</v>
      </c>
      <c r="G102" s="1125">
        <f>1.8629/G101</f>
        <v>0.31844444444444447</v>
      </c>
      <c r="H102" s="1125">
        <f>1.8629/H101</f>
        <v>0.31844444444444447</v>
      </c>
      <c r="I102" s="1125">
        <f>1.8629/I101</f>
        <v>0.31844444444444447</v>
      </c>
      <c r="J102" s="1125">
        <f>1.942/J101</f>
        <v>0.33196581196581199</v>
      </c>
      <c r="K102" s="1125">
        <f>1.942/K101</f>
        <v>0.33196581196581199</v>
      </c>
      <c r="L102" s="1125">
        <f>1.942/L101</f>
        <v>0.33196581196581199</v>
      </c>
      <c r="M102" s="1125">
        <f>1.942/M101</f>
        <v>0.33196581196581199</v>
      </c>
      <c r="N102" s="1125">
        <f>1.942/N101</f>
        <v>0.33196581196581199</v>
      </c>
    </row>
    <row r="103" spans="1:14">
      <c r="A103" s="4030"/>
      <c r="B103" s="1124">
        <v>2</v>
      </c>
      <c r="C103" s="1125">
        <f>1.4198/C101</f>
        <v>0.2427008547008547</v>
      </c>
      <c r="D103" s="1125">
        <f>1.4198/D101</f>
        <v>0.2427008547008547</v>
      </c>
      <c r="E103" s="1125">
        <f>1.3372/E101</f>
        <v>0.22858119658119658</v>
      </c>
      <c r="F103" s="1125">
        <f>1.3372/F101</f>
        <v>0.22858119658119658</v>
      </c>
      <c r="G103" s="1125">
        <f>1.3372/G101</f>
        <v>0.22858119658119658</v>
      </c>
      <c r="H103" s="1125">
        <f>1.3372/H101</f>
        <v>0.22858119658119658</v>
      </c>
      <c r="I103" s="1125">
        <f>1.3372/I101</f>
        <v>0.22858119658119658</v>
      </c>
      <c r="J103" s="1125">
        <f>1.2799/J101</f>
        <v>0.21878632478632482</v>
      </c>
      <c r="K103" s="1125">
        <f>1.2799/K101</f>
        <v>0.21878632478632482</v>
      </c>
      <c r="L103" s="1125">
        <f>1.2799/L101</f>
        <v>0.21878632478632482</v>
      </c>
      <c r="M103" s="1125">
        <f>1.2799/M101</f>
        <v>0.21878632478632482</v>
      </c>
      <c r="N103" s="1125">
        <f>1.2799/N101</f>
        <v>0.21878632478632482</v>
      </c>
    </row>
    <row r="104" spans="1:14">
      <c r="A104" s="4030"/>
      <c r="B104" s="1124">
        <v>3</v>
      </c>
      <c r="C104" s="1125">
        <f>1.1594/C101</f>
        <v>0.19818803418803418</v>
      </c>
      <c r="D104" s="1125">
        <f>1.1594/D101</f>
        <v>0.19818803418803418</v>
      </c>
      <c r="E104" s="1125">
        <f>1.0788/E101</f>
        <v>0.18441025641025641</v>
      </c>
      <c r="F104" s="1125">
        <f>1.0788/F101</f>
        <v>0.18441025641025641</v>
      </c>
      <c r="G104" s="1125">
        <f>1.0788/G101</f>
        <v>0.18441025641025641</v>
      </c>
      <c r="H104" s="1125">
        <f>1.0788/H101</f>
        <v>0.18441025641025641</v>
      </c>
      <c r="I104" s="1125">
        <f>1.0788/I101</f>
        <v>0.18441025641025641</v>
      </c>
      <c r="J104" s="1125">
        <f>1.0072/J101</f>
        <v>0.1721709401709402</v>
      </c>
      <c r="K104" s="1125">
        <f>1.0072/K101</f>
        <v>0.1721709401709402</v>
      </c>
      <c r="L104" s="1125">
        <f>1.0072/L101</f>
        <v>0.1721709401709402</v>
      </c>
      <c r="M104" s="1125">
        <f>1.0072/M101</f>
        <v>0.1721709401709402</v>
      </c>
      <c r="N104" s="1125">
        <f>1.0072/N101</f>
        <v>0.1721709401709402</v>
      </c>
    </row>
    <row r="105" spans="1:14">
      <c r="A105" s="4030"/>
      <c r="B105" s="1124">
        <v>4</v>
      </c>
      <c r="C105" s="1125">
        <f>0.9622/C101</f>
        <v>0.16447863247863251</v>
      </c>
      <c r="D105" s="1125">
        <f>0.9622/D101</f>
        <v>0.16447863247863251</v>
      </c>
      <c r="E105" s="1125">
        <f>0.8656/E101</f>
        <v>0.14796581196581199</v>
      </c>
      <c r="F105" s="1125">
        <f>0.8656/F101</f>
        <v>0.14796581196581199</v>
      </c>
      <c r="G105" s="1125">
        <f>0.8656/G101</f>
        <v>0.14796581196581199</v>
      </c>
      <c r="H105" s="1125">
        <f>0.8656/H101</f>
        <v>0.14796581196581199</v>
      </c>
      <c r="I105" s="1125">
        <f>0.8656/I101</f>
        <v>0.14796581196581199</v>
      </c>
      <c r="J105" s="1125">
        <f>0.7525/J101</f>
        <v>0.12863247863247862</v>
      </c>
      <c r="K105" s="1125">
        <f>0.7525/K101</f>
        <v>0.12863247863247862</v>
      </c>
      <c r="L105" s="1125">
        <f>0.7525/L101</f>
        <v>0.12863247863247862</v>
      </c>
      <c r="M105" s="1125">
        <f>0.7525/M101</f>
        <v>0.12863247863247862</v>
      </c>
      <c r="N105" s="1125">
        <f>0.7525/N101</f>
        <v>0.12863247863247862</v>
      </c>
    </row>
    <row r="106" spans="1:14">
      <c r="A106" s="4030"/>
      <c r="B106" s="1124">
        <v>5</v>
      </c>
      <c r="C106" s="1125">
        <f>0.8417/C101</f>
        <v>0.14388034188034188</v>
      </c>
      <c r="D106" s="1125">
        <f>0.8417/D101</f>
        <v>0.14388034188034188</v>
      </c>
      <c r="E106" s="1125">
        <f>0.7371/E101</f>
        <v>0.126</v>
      </c>
      <c r="F106" s="1125">
        <f>0.7371/F101</f>
        <v>0.126</v>
      </c>
      <c r="G106" s="1125">
        <f>0.7371/G101</f>
        <v>0.126</v>
      </c>
      <c r="H106" s="1125">
        <f>0.7371/H101</f>
        <v>0.126</v>
      </c>
      <c r="I106" s="1125">
        <f>0.7371/I101</f>
        <v>0.126</v>
      </c>
      <c r="J106" s="1125">
        <f>0.5659/J101</f>
        <v>9.6735042735042728E-2</v>
      </c>
      <c r="K106" s="1125">
        <f>0.5659/K101</f>
        <v>9.6735042735042728E-2</v>
      </c>
      <c r="L106" s="1125">
        <f>0.5659/L101</f>
        <v>9.6735042735042728E-2</v>
      </c>
      <c r="M106" s="1125">
        <f>0.5659/M101</f>
        <v>9.6735042735042728E-2</v>
      </c>
      <c r="N106" s="1125">
        <f>0.5659/N101</f>
        <v>9.6735042735042728E-2</v>
      </c>
    </row>
    <row r="107" spans="1:14">
      <c r="A107" s="4030"/>
      <c r="B107" s="1124">
        <v>6</v>
      </c>
      <c r="C107" s="1125">
        <f>0.7608/C101</f>
        <v>0.13005128205128205</v>
      </c>
      <c r="D107" s="1125">
        <f>0.7608/D101</f>
        <v>0.13005128205128205</v>
      </c>
      <c r="E107" s="1125">
        <f>0.6482/E101</f>
        <v>0.1108034188034188</v>
      </c>
      <c r="F107" s="1125">
        <f>0.6482/F101</f>
        <v>0.1108034188034188</v>
      </c>
      <c r="G107" s="1125">
        <f>0.6482/G101</f>
        <v>0.1108034188034188</v>
      </c>
      <c r="H107" s="1125">
        <f>0.6482/H101</f>
        <v>0.1108034188034188</v>
      </c>
      <c r="I107" s="1125">
        <f>0.6482/I101</f>
        <v>0.1108034188034188</v>
      </c>
      <c r="J107" s="1125">
        <f>0.4525/J101</f>
        <v>7.7350427350427353E-2</v>
      </c>
      <c r="K107" s="1125">
        <f>0.4525/K101</f>
        <v>7.7350427350427353E-2</v>
      </c>
      <c r="L107" s="1125">
        <f>0.4525/L101</f>
        <v>7.7350427350427353E-2</v>
      </c>
      <c r="M107" s="1125">
        <f>0.4525/M101</f>
        <v>7.7350427350427353E-2</v>
      </c>
      <c r="N107" s="1125">
        <f>0.4525/N101</f>
        <v>7.7350427350427353E-2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0.13020512820512822</v>
      </c>
      <c r="D109" s="1127">
        <f>(-0.163*(D108^2)-0.59*D108+7617)*(10^(-4))/D101</f>
        <v>0.13020512820512822</v>
      </c>
      <c r="E109" s="1127">
        <f>(-0.161*(E108^2)-7.509*E108+6533)*(10^(-4))/E101</f>
        <v>0.11167521367521369</v>
      </c>
      <c r="F109" s="1127">
        <f>(-0.161*(F108^2)-7.509*F108+6533)*(10^(-4))/F101</f>
        <v>0.11167521367521369</v>
      </c>
      <c r="G109" s="1127">
        <f>(-0.161*(G108^2)-7.509*G108+6533)*(10^(-4))/G101</f>
        <v>0.11167521367521369</v>
      </c>
      <c r="H109" s="1127">
        <f>(-0.161*(H108^2)-7.509*H108+6533)*(10^(-4))/H101</f>
        <v>0.11167521367521369</v>
      </c>
      <c r="I109" s="1127">
        <f>(-0.161*(I108^2)-7.509*I108+6533)*(10^(-4))/I101</f>
        <v>0.11167521367521369</v>
      </c>
      <c r="J109" s="1127">
        <f>(-0.214*(J108^2)-21.991*J108+4665)*(10^(-4))/J101</f>
        <v>7.9743589743589749E-2</v>
      </c>
      <c r="K109" s="1127">
        <f>(-0.214*(K108^2)-21.991*K108+4665)*(10^(-4))/K101</f>
        <v>7.9743589743589749E-2</v>
      </c>
      <c r="L109" s="1127">
        <f>(-0.214*(L108^2)-21.991*L108+4665)*(10^(-4))/L101</f>
        <v>7.9743589743589749E-2</v>
      </c>
      <c r="M109" s="1127">
        <f>(-0.214*(M108^2)-21.991*M108+4665)*(10^(-4))/M101</f>
        <v>7.9743589743589749E-2</v>
      </c>
      <c r="N109" s="1127">
        <f>(-0.214*(N108^2)-21.991*N108+4665)*(10^(-4))/N101</f>
        <v>7.9743589743589749E-2</v>
      </c>
    </row>
    <row r="110" spans="1:14">
      <c r="A110" s="4039" t="s">
        <v>1628</v>
      </c>
      <c r="B110" s="4039"/>
      <c r="C110" s="4039"/>
      <c r="D110" s="4039"/>
      <c r="E110" s="4039"/>
      <c r="F110" s="4039"/>
      <c r="G110" s="4039"/>
      <c r="H110" s="4039"/>
      <c r="I110" s="4039"/>
      <c r="J110" s="4039"/>
      <c r="K110" s="3268"/>
      <c r="L110" s="3268"/>
      <c r="M110" s="3268"/>
      <c r="N110" s="3268"/>
    </row>
    <row r="112" spans="1:14" ht="12.75" thickBot="1"/>
    <row r="113" spans="1:13" ht="25.5" thickBot="1">
      <c r="A113" s="1001" t="s">
        <v>885</v>
      </c>
      <c r="B113" s="2304">
        <f>G3</f>
        <v>5.85</v>
      </c>
      <c r="C113" s="1002" t="s">
        <v>886</v>
      </c>
      <c r="D113" s="1003">
        <f>SUMPRODUCT((A115:A118=F113)*(B114:M114=H113)*B115:M118)</f>
        <v>0.76929999999999998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0.87849999999999995</v>
      </c>
      <c r="C115" s="1015">
        <f>B115</f>
        <v>0.87849999999999995</v>
      </c>
      <c r="D115" s="1015">
        <f>ROUND(0.8331-0.0109*B113,4)</f>
        <v>0.76929999999999998</v>
      </c>
      <c r="E115" s="1015">
        <f>D115</f>
        <v>0.76929999999999998</v>
      </c>
      <c r="F115" s="1015">
        <f>E115</f>
        <v>0.76929999999999998</v>
      </c>
      <c r="G115" s="1015">
        <f>F115</f>
        <v>0.76929999999999998</v>
      </c>
      <c r="H115" s="1015">
        <f>G115</f>
        <v>0.76929999999999998</v>
      </c>
      <c r="I115" s="1015">
        <f>ROUND(0.689-0.0155*B113,4)</f>
        <v>0.59830000000000005</v>
      </c>
      <c r="J115" s="1015">
        <f t="shared" ref="J115:M118" si="34">I115</f>
        <v>0.59830000000000005</v>
      </c>
      <c r="K115" s="1015">
        <f t="shared" si="34"/>
        <v>0.59830000000000005</v>
      </c>
      <c r="L115" s="1015">
        <f t="shared" si="34"/>
        <v>0.59830000000000005</v>
      </c>
      <c r="M115" s="1016">
        <f t="shared" si="34"/>
        <v>0.59830000000000005</v>
      </c>
    </row>
    <row r="116" spans="1:13" ht="12.75">
      <c r="A116" s="1014" t="s">
        <v>890</v>
      </c>
      <c r="B116" s="1015">
        <f>ROUND(0.949-0.012*B113,4)</f>
        <v>0.87880000000000003</v>
      </c>
      <c r="C116" s="1015">
        <f>B116</f>
        <v>0.87880000000000003</v>
      </c>
      <c r="D116" s="1015">
        <f>ROUND(0.8567-0.013*B113,4)</f>
        <v>0.78069999999999995</v>
      </c>
      <c r="E116" s="1015">
        <f t="shared" ref="E116:H117" si="35">D116</f>
        <v>0.78069999999999995</v>
      </c>
      <c r="F116" s="1015">
        <f t="shared" si="35"/>
        <v>0.78069999999999995</v>
      </c>
      <c r="G116" s="1015">
        <f t="shared" si="35"/>
        <v>0.78069999999999995</v>
      </c>
      <c r="H116" s="1015">
        <f t="shared" si="35"/>
        <v>0.78069999999999995</v>
      </c>
      <c r="I116" s="1015">
        <f>ROUND(0.7694-0.014*B113,4)</f>
        <v>0.6875</v>
      </c>
      <c r="J116" s="1015">
        <f t="shared" si="34"/>
        <v>0.6875</v>
      </c>
      <c r="K116" s="1015">
        <f t="shared" si="34"/>
        <v>0.6875</v>
      </c>
      <c r="L116" s="1015">
        <f t="shared" si="34"/>
        <v>0.6875</v>
      </c>
      <c r="M116" s="1016">
        <f t="shared" si="34"/>
        <v>0.6875</v>
      </c>
    </row>
    <row r="117" spans="1:13" ht="12.75">
      <c r="A117" s="1017" t="s">
        <v>891</v>
      </c>
      <c r="B117" s="1015">
        <f>ROUND(0.8808-0.006*B113,4)</f>
        <v>0.84570000000000001</v>
      </c>
      <c r="C117" s="1015">
        <f>B117</f>
        <v>0.84570000000000001</v>
      </c>
      <c r="D117" s="1015">
        <f>ROUND(0.8748-0.008*B113,4)</f>
        <v>0.82799999999999996</v>
      </c>
      <c r="E117" s="1015">
        <f t="shared" si="35"/>
        <v>0.82799999999999996</v>
      </c>
      <c r="F117" s="1015">
        <f t="shared" si="35"/>
        <v>0.82799999999999996</v>
      </c>
      <c r="G117" s="1015">
        <f t="shared" si="35"/>
        <v>0.82799999999999996</v>
      </c>
      <c r="H117" s="1015">
        <f t="shared" si="35"/>
        <v>0.82799999999999996</v>
      </c>
      <c r="I117" s="1015">
        <f>ROUND(0.7412-0.0095*B113,4)</f>
        <v>0.68559999999999999</v>
      </c>
      <c r="J117" s="1015">
        <f t="shared" si="34"/>
        <v>0.68559999999999999</v>
      </c>
      <c r="K117" s="1015">
        <f t="shared" si="34"/>
        <v>0.68559999999999999</v>
      </c>
      <c r="L117" s="1015">
        <f t="shared" si="34"/>
        <v>0.68559999999999999</v>
      </c>
      <c r="M117" s="1016">
        <f t="shared" si="34"/>
        <v>0.68559999999999999</v>
      </c>
    </row>
    <row r="118" spans="1:13" ht="13.5" thickBot="1">
      <c r="A118" s="1018" t="s">
        <v>892</v>
      </c>
      <c r="B118" s="1019">
        <f>ROUND(0.7275-0.01*B113,4)</f>
        <v>0.66900000000000004</v>
      </c>
      <c r="C118" s="1019">
        <f>B118</f>
        <v>0.66900000000000004</v>
      </c>
      <c r="D118" s="1019">
        <f>ROUND(0.7043-0.012*B113,4)</f>
        <v>0.6341</v>
      </c>
      <c r="E118" s="1019">
        <f>D118</f>
        <v>0.6341</v>
      </c>
      <c r="F118" s="1019">
        <f>E118</f>
        <v>0.6341</v>
      </c>
      <c r="G118" s="1019">
        <f>ROUND(0.6299-0.0122*B113,4)</f>
        <v>0.5585</v>
      </c>
      <c r="H118" s="1019">
        <f>G118</f>
        <v>0.5585</v>
      </c>
      <c r="I118" s="1019">
        <f>ROUND(0.5667-0.0136*B113,4)</f>
        <v>0.48709999999999998</v>
      </c>
      <c r="J118" s="1019">
        <f t="shared" si="34"/>
        <v>0.48709999999999998</v>
      </c>
      <c r="K118" s="1019">
        <f t="shared" si="34"/>
        <v>0.48709999999999998</v>
      </c>
      <c r="L118" s="1019">
        <f t="shared" si="34"/>
        <v>0.48709999999999998</v>
      </c>
      <c r="M118" s="1020">
        <f t="shared" si="34"/>
        <v>0.48709999999999998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14" priority="5" stopIfTrue="1" operator="notEqual">
      <formula>"——"</formula>
    </cfRule>
  </conditionalFormatting>
  <conditionalFormatting sqref="F58">
    <cfRule type="cellIs" dxfId="213" priority="4" stopIfTrue="1" operator="notEqual">
      <formula>"——"</formula>
    </cfRule>
  </conditionalFormatting>
  <conditionalFormatting sqref="F69">
    <cfRule type="cellIs" dxfId="212" priority="3" stopIfTrue="1" operator="notEqual">
      <formula>"——"</formula>
    </cfRule>
  </conditionalFormatting>
  <conditionalFormatting sqref="F80">
    <cfRule type="cellIs" dxfId="211" priority="2" stopIfTrue="1" operator="notEqual">
      <formula>"——"</formula>
    </cfRule>
  </conditionalFormatting>
  <conditionalFormatting sqref="H58:H66 H47:H55 H69:H77 H80:H87">
    <cfRule type="cellIs" dxfId="21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81070.11平方米。根据《建设工程规划许可证》[]、《出让合同》[]，估价对象规划建筑面积为780200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根据《国有土地使用证》[]，估价对象（分摊）出让国有建设用地使用权面积为81070.11平方米。根据《建设工程规划许可证》[]、《出让合同》[]，估价对象规划建筑面积为780200平方米。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36" zoomScale="80" zoomScaleNormal="60" zoomScaleSheetLayoutView="80" workbookViewId="0">
      <selection activeCell="G58" sqref="G58:G59"/>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980</v>
      </c>
      <c r="D1" s="1459">
        <f>SUM(D29:D30,D33:D39)</f>
        <v>306100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363922</v>
      </c>
      <c r="C2" s="1354" t="s">
        <v>910</v>
      </c>
      <c r="D2" s="1355" t="s">
        <v>887</v>
      </c>
      <c r="E2" s="1356" t="s">
        <v>1665</v>
      </c>
      <c r="F2" s="1355" t="s">
        <v>888</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27838</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5.85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19982</v>
      </c>
      <c r="U3" s="2641"/>
      <c r="V3" s="2652">
        <f t="shared" ref="V3:V16" ca="1" si="1">ROUND(T3*U3/10000,0)</f>
        <v>0</v>
      </c>
      <c r="W3" s="2068"/>
      <c r="X3" s="2068"/>
      <c r="Y3" s="2068"/>
      <c r="Z3" s="2068"/>
      <c r="AA3" s="2068"/>
      <c r="AB3" s="2068"/>
      <c r="AC3" s="2069"/>
    </row>
    <row r="4" spans="1:39" ht="28.5">
      <c r="A4" s="1803" t="s">
        <v>2265</v>
      </c>
      <c r="B4" s="2306">
        <f ca="1">ROUND(B2*10000/F1,0)</f>
        <v>44890</v>
      </c>
      <c r="C4" s="1806" t="s">
        <v>2240</v>
      </c>
      <c r="D4" s="1806">
        <f ca="1">ROUND(B2/(F1/666.67),0)</f>
        <v>2993</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16121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12935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SUMIF(L1:L12,基准地价商务公寓!G2,M1:M12)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11015</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9686</v>
      </c>
      <c r="U7" s="2641"/>
      <c r="V7" s="2652">
        <f t="shared" ca="1" si="1"/>
        <v>0</v>
      </c>
      <c r="W7" s="3393" t="s">
        <v>2742</v>
      </c>
      <c r="X7" s="2642" t="str">
        <f>G2</f>
        <v>六级</v>
      </c>
      <c r="Y7" s="2642" t="s">
        <v>2743</v>
      </c>
      <c r="Z7" s="2643">
        <f>G3</f>
        <v>5.85</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5.85</v>
      </c>
      <c r="Z11" s="1580">
        <f t="shared" ref="Z11:AJ11" si="3">$G$3</f>
        <v>5.85</v>
      </c>
      <c r="AA11" s="1580">
        <f t="shared" si="3"/>
        <v>5.85</v>
      </c>
      <c r="AB11" s="1580">
        <f t="shared" si="3"/>
        <v>5.85</v>
      </c>
      <c r="AC11" s="1580">
        <f t="shared" si="3"/>
        <v>5.85</v>
      </c>
      <c r="AD11" s="1580">
        <f t="shared" si="3"/>
        <v>5.85</v>
      </c>
      <c r="AE11" s="1580">
        <f t="shared" si="3"/>
        <v>5.85</v>
      </c>
      <c r="AF11" s="1580">
        <f t="shared" si="3"/>
        <v>5.85</v>
      </c>
      <c r="AG11" s="1580">
        <f t="shared" si="3"/>
        <v>5.85</v>
      </c>
      <c r="AH11" s="1580">
        <f t="shared" si="3"/>
        <v>5.85</v>
      </c>
      <c r="AI11" s="1580">
        <f t="shared" si="3"/>
        <v>5.85</v>
      </c>
      <c r="AJ11" s="1580">
        <f t="shared" si="3"/>
        <v>5.85</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0.13020512820512822</v>
      </c>
      <c r="Z13" s="2648">
        <f t="shared" ref="Z13:AJ13" si="5">(-0.163*(Z12^2)-0.59*Z12+7617)*(10^(-4))/Z11</f>
        <v>0.13020512820512822</v>
      </c>
      <c r="AA13" s="2648">
        <f t="shared" si="5"/>
        <v>0.13020512820512822</v>
      </c>
      <c r="AB13" s="2648">
        <f t="shared" si="5"/>
        <v>0.13020512820512822</v>
      </c>
      <c r="AC13" s="2648">
        <f t="shared" si="5"/>
        <v>0.13020512820512822</v>
      </c>
      <c r="AD13" s="2648">
        <f t="shared" si="5"/>
        <v>0.13020512820512822</v>
      </c>
      <c r="AE13" s="2648">
        <f t="shared" si="5"/>
        <v>0.13020512820512822</v>
      </c>
      <c r="AF13" s="2648">
        <f t="shared" si="5"/>
        <v>0.13020512820512822</v>
      </c>
      <c r="AG13" s="2648">
        <f t="shared" si="5"/>
        <v>0.13020512820512822</v>
      </c>
      <c r="AH13" s="2648">
        <f t="shared" si="5"/>
        <v>0.13020512820512822</v>
      </c>
      <c r="AI13" s="2648">
        <f t="shared" si="5"/>
        <v>0.13020512820512822</v>
      </c>
      <c r="AJ13" s="2648">
        <f t="shared" si="5"/>
        <v>0.13020512820512822</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1037">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0.79559999999999997</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0.79559999999999997</v>
      </c>
      <c r="E22" s="1024">
        <f>ROUNDDOWN(G3,1)</f>
        <v>5.8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1024">
        <f>ROUNDUP(G3,1)</f>
        <v>5.8999999999999995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1.0591999999999999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363922</v>
      </c>
      <c r="D26" s="1428"/>
      <c r="E26" s="1403"/>
      <c r="F26" s="1429"/>
      <c r="G26" s="1403"/>
      <c r="H26" s="1403"/>
      <c r="I26" s="1403"/>
      <c r="J26" s="1430"/>
      <c r="K26" s="3222"/>
      <c r="L26" s="1527" t="s">
        <v>887</v>
      </c>
      <c r="M26" s="1375" t="s">
        <v>964</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306100</v>
      </c>
      <c r="E29" s="1761">
        <f ca="1">ROUND(C29*D29/10000,0)</f>
        <v>363922</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10460</v>
      </c>
      <c r="D33" s="1475"/>
      <c r="E33" s="1033">
        <f ca="1">ROUND(C33*D33/10000,0)</f>
        <v>0</v>
      </c>
      <c r="F33" s="1033">
        <f>SUMIF(修正!A45:A56,G2,修正!B45:B56)</f>
        <v>0.7</v>
      </c>
      <c r="G33" s="1033">
        <f t="shared" ref="G33" ca="1" si="6">ROUND(IF(E2="工业",C33*$M$39,C33*$M$38),0)</f>
        <v>2615</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5977</v>
      </c>
      <c r="D34" s="1475"/>
      <c r="E34" s="1033">
        <f t="shared" ref="E34:E39" ca="1" si="7">ROUND(C34*D34/10000,0)</f>
        <v>0</v>
      </c>
      <c r="F34" s="1033">
        <f>SUMIF(修正!A45:A56,G2,修正!C45:C56)</f>
        <v>0.4</v>
      </c>
      <c r="G34" s="1033">
        <f ca="1">ROUND(IF(E2="工业",C34*$M$39,C34*$M$38),0)</f>
        <v>1494</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4184</v>
      </c>
      <c r="D35" s="1475"/>
      <c r="E35" s="1033">
        <f t="shared" ca="1" si="7"/>
        <v>0</v>
      </c>
      <c r="F35" s="1033">
        <f>SUMIF(修正!A45:A56,G2,修正!D45:D56)</f>
        <v>0.28000000000000003</v>
      </c>
      <c r="G35" s="1033">
        <f ca="1">ROUND(IF(E2="工业",C35*$M$39,C35*$M$38),0)</f>
        <v>1046</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3736</v>
      </c>
      <c r="D36" s="1475"/>
      <c r="E36" s="1033">
        <f t="shared" ca="1" si="7"/>
        <v>0</v>
      </c>
      <c r="F36" s="1033">
        <f>SUMIF(修正!A45:A56,G2,修正!E45:E56)</f>
        <v>0.25</v>
      </c>
      <c r="G36" s="1033">
        <f ca="1">ROUND(IF(E2="工业",C36*$M$39,C36*$M$38),0)</f>
        <v>934</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3736</v>
      </c>
      <c r="D37" s="1475"/>
      <c r="E37" s="1033">
        <f t="shared" ca="1" si="7"/>
        <v>0</v>
      </c>
      <c r="F37" s="1044">
        <f>SUMIF(修正!A45:A56,G2,修正!F45:F56)</f>
        <v>0.25</v>
      </c>
      <c r="G37" s="1033">
        <f ca="1">ROUND(IF(E2="工业",C37*$M$39,C37*$M$38),0)</f>
        <v>934</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75" hidden="1" thickBot="1">
      <c r="A45" s="2277" t="s">
        <v>964</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75" hidden="1" thickBot="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75" hidden="1" thickBot="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75" hidden="1" thickBot="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75" hidden="1" thickBot="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75" hidden="1" thickBot="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75" hidden="1" thickBot="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75" hidden="1" thickBot="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75" hidden="1" thickBot="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75" hidden="1" thickBot="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967</v>
      </c>
      <c r="B56" s="2278">
        <f>1+E58</f>
        <v>1.0591999999999999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1.7600000000000001E-2</v>
      </c>
      <c r="E58" s="2289">
        <f>ROUND(SUM(D58:D66),4)</f>
        <v>5.9200000000000003E-2</v>
      </c>
      <c r="F58" s="2290">
        <f>IF(E2="办公",SUMIF(L1:L12,G2,N1:N12),"——")</f>
        <v>0.13</v>
      </c>
      <c r="G58" s="4155">
        <v>1.7600000000000001E-2</v>
      </c>
      <c r="H58" s="2313">
        <f>IFERROR(ROUNDDOWN($F$58*I58/2,4),"——")</f>
        <v>1.5599999999999999E-2</v>
      </c>
      <c r="I58" s="2288">
        <v>0.24</v>
      </c>
      <c r="J58" s="2291">
        <f t="shared" ref="J58:J66" si="16">K58+$G58</f>
        <v>3.5200000000000002E-2</v>
      </c>
      <c r="K58" s="2291">
        <f t="shared" ref="K58:K66" si="17">$L58+$G58</f>
        <v>1.7600000000000001E-2</v>
      </c>
      <c r="L58" s="2291">
        <v>0</v>
      </c>
      <c r="M58" s="2291">
        <f t="shared" ref="M58:N66" si="18">L58-$G58</f>
        <v>-1.7600000000000001E-2</v>
      </c>
      <c r="N58" s="2291">
        <f t="shared" si="18"/>
        <v>-3.5200000000000002E-2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4155">
        <v>1.7399999999999999E-2</v>
      </c>
      <c r="H59" s="2269">
        <f t="shared" ref="H59:H66" si="19">IFERROR($F$58*I59/2,"——")</f>
        <v>1.95E-2</v>
      </c>
      <c r="I59" s="2288">
        <v>0.3</v>
      </c>
      <c r="J59" s="2291">
        <f t="shared" si="16"/>
        <v>3.4799999999999998E-2</v>
      </c>
      <c r="K59" s="2291">
        <f t="shared" si="17"/>
        <v>1.7399999999999999E-2</v>
      </c>
      <c r="L59" s="2291">
        <v>0</v>
      </c>
      <c r="M59" s="2291">
        <f t="shared" si="18"/>
        <v>-1.7399999999999999E-2</v>
      </c>
      <c r="N59" s="2291">
        <f t="shared" si="18"/>
        <v>-3.4799999999999998E-2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ref="G59:G66" si="20">H60</f>
        <v>5.2000000000000006E-3</v>
      </c>
      <c r="H60" s="2269">
        <f t="shared" si="19"/>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20"/>
        <v>2.6000000000000003E-3</v>
      </c>
      <c r="H61" s="2269">
        <f t="shared" si="19"/>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20"/>
        <v>3.2500000000000003E-3</v>
      </c>
      <c r="H62" s="2269">
        <f t="shared" si="19"/>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20"/>
        <v>3.2500000000000003E-3</v>
      </c>
      <c r="H63" s="2269">
        <f t="shared" si="19"/>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20"/>
        <v>3.8999999999999998E-3</v>
      </c>
      <c r="H64" s="2269">
        <f t="shared" si="19"/>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20"/>
        <v>7.7999999999999996E-3</v>
      </c>
      <c r="H65" s="2269">
        <f t="shared" si="19"/>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20"/>
        <v>3.8999999999999998E-3</v>
      </c>
      <c r="H66" s="2269">
        <f t="shared" si="19"/>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891</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1010</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974</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1010</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391"/>
      <c r="L90" s="3391"/>
      <c r="M90" s="3391"/>
      <c r="N90" s="3391"/>
    </row>
    <row r="91" spans="1:40">
      <c r="A91" s="4046" t="s">
        <v>887</v>
      </c>
      <c r="B91" s="4046" t="s">
        <v>1623</v>
      </c>
      <c r="C91" s="1121" t="s">
        <v>1624</v>
      </c>
      <c r="D91" s="1122"/>
      <c r="E91" s="1122"/>
      <c r="F91" s="1122"/>
      <c r="G91" s="1122"/>
      <c r="H91" s="1122"/>
      <c r="I91" s="1122"/>
      <c r="J91" s="1123"/>
      <c r="K91" s="1115"/>
      <c r="L91" s="1115"/>
      <c r="M91" s="1115"/>
      <c r="N91" s="1115"/>
    </row>
    <row r="92" spans="1:40">
      <c r="A92" s="4046"/>
      <c r="B92" s="4046"/>
      <c r="C92" s="3392" t="s">
        <v>873</v>
      </c>
      <c r="D92" s="3392" t="s">
        <v>874</v>
      </c>
      <c r="E92" s="3392" t="s">
        <v>875</v>
      </c>
      <c r="F92" s="3392" t="s">
        <v>876</v>
      </c>
      <c r="G92" s="3392" t="s">
        <v>877</v>
      </c>
      <c r="H92" s="3392" t="s">
        <v>878</v>
      </c>
      <c r="I92" s="3392" t="s">
        <v>879</v>
      </c>
      <c r="J92" s="3392" t="s">
        <v>880</v>
      </c>
      <c r="K92" s="3392" t="s">
        <v>881</v>
      </c>
      <c r="L92" s="3392" t="s">
        <v>882</v>
      </c>
      <c r="M92" s="3392" t="s">
        <v>883</v>
      </c>
      <c r="N92" s="3392" t="s">
        <v>884</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5.85</v>
      </c>
      <c r="D101" s="1129">
        <f t="shared" ref="D101:N101" si="32">$G$3</f>
        <v>5.85</v>
      </c>
      <c r="E101" s="1129">
        <f t="shared" si="32"/>
        <v>5.85</v>
      </c>
      <c r="F101" s="1129">
        <f t="shared" si="32"/>
        <v>5.85</v>
      </c>
      <c r="G101" s="1129">
        <f t="shared" si="32"/>
        <v>5.85</v>
      </c>
      <c r="H101" s="1129">
        <f t="shared" si="32"/>
        <v>5.85</v>
      </c>
      <c r="I101" s="1129">
        <f t="shared" si="32"/>
        <v>5.85</v>
      </c>
      <c r="J101" s="1129">
        <f t="shared" si="32"/>
        <v>5.85</v>
      </c>
      <c r="K101" s="1129">
        <f t="shared" si="32"/>
        <v>5.85</v>
      </c>
      <c r="L101" s="1129">
        <f t="shared" si="32"/>
        <v>5.85</v>
      </c>
      <c r="M101" s="1129">
        <f t="shared" si="32"/>
        <v>5.85</v>
      </c>
      <c r="N101" s="1129">
        <f t="shared" si="32"/>
        <v>5.85</v>
      </c>
    </row>
    <row r="102" spans="1:14">
      <c r="A102" s="4030"/>
      <c r="B102" s="1124">
        <v>1</v>
      </c>
      <c r="C102" s="1125">
        <f>1.9362/C101</f>
        <v>0.33097435897435901</v>
      </c>
      <c r="D102" s="1125">
        <f>1.9362/D101</f>
        <v>0.33097435897435901</v>
      </c>
      <c r="E102" s="1125">
        <f>1.8629/E101</f>
        <v>0.31844444444444447</v>
      </c>
      <c r="F102" s="1125">
        <f>1.8629/F101</f>
        <v>0.31844444444444447</v>
      </c>
      <c r="G102" s="1125">
        <f>1.8629/G101</f>
        <v>0.31844444444444447</v>
      </c>
      <c r="H102" s="1125">
        <f>1.8629/H101</f>
        <v>0.31844444444444447</v>
      </c>
      <c r="I102" s="1125">
        <f>1.8629/I101</f>
        <v>0.31844444444444447</v>
      </c>
      <c r="J102" s="1125">
        <f>1.942/J101</f>
        <v>0.33196581196581199</v>
      </c>
      <c r="K102" s="1125">
        <f>1.942/K101</f>
        <v>0.33196581196581199</v>
      </c>
      <c r="L102" s="1125">
        <f>1.942/L101</f>
        <v>0.33196581196581199</v>
      </c>
      <c r="M102" s="1125">
        <f>1.942/M101</f>
        <v>0.33196581196581199</v>
      </c>
      <c r="N102" s="1125">
        <f>1.942/N101</f>
        <v>0.33196581196581199</v>
      </c>
    </row>
    <row r="103" spans="1:14">
      <c r="A103" s="4030"/>
      <c r="B103" s="1124">
        <v>2</v>
      </c>
      <c r="C103" s="1125">
        <f>1.4198/C101</f>
        <v>0.2427008547008547</v>
      </c>
      <c r="D103" s="1125">
        <f>1.4198/D101</f>
        <v>0.2427008547008547</v>
      </c>
      <c r="E103" s="1125">
        <f>1.3372/E101</f>
        <v>0.22858119658119658</v>
      </c>
      <c r="F103" s="1125">
        <f>1.3372/F101</f>
        <v>0.22858119658119658</v>
      </c>
      <c r="G103" s="1125">
        <f>1.3372/G101</f>
        <v>0.22858119658119658</v>
      </c>
      <c r="H103" s="1125">
        <f>1.3372/H101</f>
        <v>0.22858119658119658</v>
      </c>
      <c r="I103" s="1125">
        <f>1.3372/I101</f>
        <v>0.22858119658119658</v>
      </c>
      <c r="J103" s="1125">
        <f>1.2799/J101</f>
        <v>0.21878632478632482</v>
      </c>
      <c r="K103" s="1125">
        <f>1.2799/K101</f>
        <v>0.21878632478632482</v>
      </c>
      <c r="L103" s="1125">
        <f>1.2799/L101</f>
        <v>0.21878632478632482</v>
      </c>
      <c r="M103" s="1125">
        <f>1.2799/M101</f>
        <v>0.21878632478632482</v>
      </c>
      <c r="N103" s="1125">
        <f>1.2799/N101</f>
        <v>0.21878632478632482</v>
      </c>
    </row>
    <row r="104" spans="1:14">
      <c r="A104" s="4030"/>
      <c r="B104" s="1124">
        <v>3</v>
      </c>
      <c r="C104" s="1125">
        <f>1.1594/C101</f>
        <v>0.19818803418803418</v>
      </c>
      <c r="D104" s="1125">
        <f>1.1594/D101</f>
        <v>0.19818803418803418</v>
      </c>
      <c r="E104" s="1125">
        <f>1.0788/E101</f>
        <v>0.18441025641025641</v>
      </c>
      <c r="F104" s="1125">
        <f>1.0788/F101</f>
        <v>0.18441025641025641</v>
      </c>
      <c r="G104" s="1125">
        <f>1.0788/G101</f>
        <v>0.18441025641025641</v>
      </c>
      <c r="H104" s="1125">
        <f>1.0788/H101</f>
        <v>0.18441025641025641</v>
      </c>
      <c r="I104" s="1125">
        <f>1.0788/I101</f>
        <v>0.18441025641025641</v>
      </c>
      <c r="J104" s="1125">
        <f>1.0072/J101</f>
        <v>0.1721709401709402</v>
      </c>
      <c r="K104" s="1125">
        <f>1.0072/K101</f>
        <v>0.1721709401709402</v>
      </c>
      <c r="L104" s="1125">
        <f>1.0072/L101</f>
        <v>0.1721709401709402</v>
      </c>
      <c r="M104" s="1125">
        <f>1.0072/M101</f>
        <v>0.1721709401709402</v>
      </c>
      <c r="N104" s="1125">
        <f>1.0072/N101</f>
        <v>0.1721709401709402</v>
      </c>
    </row>
    <row r="105" spans="1:14">
      <c r="A105" s="4030"/>
      <c r="B105" s="1124">
        <v>4</v>
      </c>
      <c r="C105" s="1125">
        <f>0.9622/C101</f>
        <v>0.16447863247863251</v>
      </c>
      <c r="D105" s="1125">
        <f>0.9622/D101</f>
        <v>0.16447863247863251</v>
      </c>
      <c r="E105" s="1125">
        <f>0.8656/E101</f>
        <v>0.14796581196581199</v>
      </c>
      <c r="F105" s="1125">
        <f>0.8656/F101</f>
        <v>0.14796581196581199</v>
      </c>
      <c r="G105" s="1125">
        <f>0.8656/G101</f>
        <v>0.14796581196581199</v>
      </c>
      <c r="H105" s="1125">
        <f>0.8656/H101</f>
        <v>0.14796581196581199</v>
      </c>
      <c r="I105" s="1125">
        <f>0.8656/I101</f>
        <v>0.14796581196581199</v>
      </c>
      <c r="J105" s="1125">
        <f>0.7525/J101</f>
        <v>0.12863247863247862</v>
      </c>
      <c r="K105" s="1125">
        <f>0.7525/K101</f>
        <v>0.12863247863247862</v>
      </c>
      <c r="L105" s="1125">
        <f>0.7525/L101</f>
        <v>0.12863247863247862</v>
      </c>
      <c r="M105" s="1125">
        <f>0.7525/M101</f>
        <v>0.12863247863247862</v>
      </c>
      <c r="N105" s="1125">
        <f>0.7525/N101</f>
        <v>0.12863247863247862</v>
      </c>
    </row>
    <row r="106" spans="1:14">
      <c r="A106" s="4030"/>
      <c r="B106" s="1124">
        <v>5</v>
      </c>
      <c r="C106" s="1125">
        <f>0.8417/C101</f>
        <v>0.14388034188034188</v>
      </c>
      <c r="D106" s="1125">
        <f>0.8417/D101</f>
        <v>0.14388034188034188</v>
      </c>
      <c r="E106" s="1125">
        <f>0.7371/E101</f>
        <v>0.126</v>
      </c>
      <c r="F106" s="1125">
        <f>0.7371/F101</f>
        <v>0.126</v>
      </c>
      <c r="G106" s="1125">
        <f>0.7371/G101</f>
        <v>0.126</v>
      </c>
      <c r="H106" s="1125">
        <f>0.7371/H101</f>
        <v>0.126</v>
      </c>
      <c r="I106" s="1125">
        <f>0.7371/I101</f>
        <v>0.126</v>
      </c>
      <c r="J106" s="1125">
        <f>0.5659/J101</f>
        <v>9.6735042735042728E-2</v>
      </c>
      <c r="K106" s="1125">
        <f>0.5659/K101</f>
        <v>9.6735042735042728E-2</v>
      </c>
      <c r="L106" s="1125">
        <f>0.5659/L101</f>
        <v>9.6735042735042728E-2</v>
      </c>
      <c r="M106" s="1125">
        <f>0.5659/M101</f>
        <v>9.6735042735042728E-2</v>
      </c>
      <c r="N106" s="1125">
        <f>0.5659/N101</f>
        <v>9.6735042735042728E-2</v>
      </c>
    </row>
    <row r="107" spans="1:14">
      <c r="A107" s="4030"/>
      <c r="B107" s="1124">
        <v>6</v>
      </c>
      <c r="C107" s="1125">
        <f>0.7608/C101</f>
        <v>0.13005128205128205</v>
      </c>
      <c r="D107" s="1125">
        <f>0.7608/D101</f>
        <v>0.13005128205128205</v>
      </c>
      <c r="E107" s="1125">
        <f>0.6482/E101</f>
        <v>0.1108034188034188</v>
      </c>
      <c r="F107" s="1125">
        <f>0.6482/F101</f>
        <v>0.1108034188034188</v>
      </c>
      <c r="G107" s="1125">
        <f>0.6482/G101</f>
        <v>0.1108034188034188</v>
      </c>
      <c r="H107" s="1125">
        <f>0.6482/H101</f>
        <v>0.1108034188034188</v>
      </c>
      <c r="I107" s="1125">
        <f>0.6482/I101</f>
        <v>0.1108034188034188</v>
      </c>
      <c r="J107" s="1125">
        <f>0.4525/J101</f>
        <v>7.7350427350427353E-2</v>
      </c>
      <c r="K107" s="1125">
        <f>0.4525/K101</f>
        <v>7.7350427350427353E-2</v>
      </c>
      <c r="L107" s="1125">
        <f>0.4525/L101</f>
        <v>7.7350427350427353E-2</v>
      </c>
      <c r="M107" s="1125">
        <f>0.4525/M101</f>
        <v>7.7350427350427353E-2</v>
      </c>
      <c r="N107" s="1125">
        <f>0.4525/N101</f>
        <v>7.7350427350427353E-2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0.13020512820512822</v>
      </c>
      <c r="D109" s="1127">
        <f>(-0.163*(D108^2)-0.59*D108+7617)*(10^(-4))/D101</f>
        <v>0.13020512820512822</v>
      </c>
      <c r="E109" s="1127">
        <f>(-0.161*(E108^2)-7.509*E108+6533)*(10^(-4))/E101</f>
        <v>0.11167521367521369</v>
      </c>
      <c r="F109" s="1127">
        <f>(-0.161*(F108^2)-7.509*F108+6533)*(10^(-4))/F101</f>
        <v>0.11167521367521369</v>
      </c>
      <c r="G109" s="1127">
        <f>(-0.161*(G108^2)-7.509*G108+6533)*(10^(-4))/G101</f>
        <v>0.11167521367521369</v>
      </c>
      <c r="H109" s="1127">
        <f>(-0.161*(H108^2)-7.509*H108+6533)*(10^(-4))/H101</f>
        <v>0.11167521367521369</v>
      </c>
      <c r="I109" s="1127">
        <f>(-0.161*(I108^2)-7.509*I108+6533)*(10^(-4))/I101</f>
        <v>0.11167521367521369</v>
      </c>
      <c r="J109" s="1127">
        <f>(-0.214*(J108^2)-21.991*J108+4665)*(10^(-4))/J101</f>
        <v>7.9743589743589749E-2</v>
      </c>
      <c r="K109" s="1127">
        <f>(-0.214*(K108^2)-21.991*K108+4665)*(10^(-4))/K101</f>
        <v>7.9743589743589749E-2</v>
      </c>
      <c r="L109" s="1127">
        <f>(-0.214*(L108^2)-21.991*L108+4665)*(10^(-4))/L101</f>
        <v>7.9743589743589749E-2</v>
      </c>
      <c r="M109" s="1127">
        <f>(-0.214*(M108^2)-21.991*M108+4665)*(10^(-4))/M101</f>
        <v>7.9743589743589749E-2</v>
      </c>
      <c r="N109" s="1127">
        <f>(-0.214*(N108^2)-21.991*N108+4665)*(10^(-4))/N101</f>
        <v>7.9743589743589749E-2</v>
      </c>
    </row>
    <row r="110" spans="1:14">
      <c r="A110" s="4039" t="s">
        <v>1628</v>
      </c>
      <c r="B110" s="4039"/>
      <c r="C110" s="4039"/>
      <c r="D110" s="4039"/>
      <c r="E110" s="4039"/>
      <c r="F110" s="4039"/>
      <c r="G110" s="4039"/>
      <c r="H110" s="4039"/>
      <c r="I110" s="4039"/>
      <c r="J110" s="4039"/>
      <c r="K110" s="3390"/>
      <c r="L110" s="3390"/>
      <c r="M110" s="3390"/>
      <c r="N110" s="3390"/>
    </row>
    <row r="112" spans="1:14" ht="12.75" thickBot="1"/>
    <row r="113" spans="1:13" ht="25.5" thickBot="1">
      <c r="A113" s="1001" t="s">
        <v>885</v>
      </c>
      <c r="B113" s="2304">
        <f>G3</f>
        <v>5.85</v>
      </c>
      <c r="C113" s="1002" t="s">
        <v>886</v>
      </c>
      <c r="D113" s="1003">
        <f>SUMPRODUCT((A115:A118=F113)*(B114:M114=H113)*B115:M118)</f>
        <v>0.78069999999999995</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0.87849999999999995</v>
      </c>
      <c r="C115" s="1015">
        <f>B115</f>
        <v>0.87849999999999995</v>
      </c>
      <c r="D115" s="1015">
        <f>ROUND(0.8331-0.0109*B113,4)</f>
        <v>0.76929999999999998</v>
      </c>
      <c r="E115" s="1015">
        <f>D115</f>
        <v>0.76929999999999998</v>
      </c>
      <c r="F115" s="1015">
        <f>E115</f>
        <v>0.76929999999999998</v>
      </c>
      <c r="G115" s="1015">
        <f>F115</f>
        <v>0.76929999999999998</v>
      </c>
      <c r="H115" s="1015">
        <f>G115</f>
        <v>0.76929999999999998</v>
      </c>
      <c r="I115" s="1015">
        <f>ROUND(0.689-0.0155*B113,4)</f>
        <v>0.59830000000000005</v>
      </c>
      <c r="J115" s="1015">
        <f t="shared" ref="J115:M118" si="34">I115</f>
        <v>0.59830000000000005</v>
      </c>
      <c r="K115" s="1015">
        <f t="shared" si="34"/>
        <v>0.59830000000000005</v>
      </c>
      <c r="L115" s="1015">
        <f t="shared" si="34"/>
        <v>0.59830000000000005</v>
      </c>
      <c r="M115" s="1016">
        <f t="shared" si="34"/>
        <v>0.59830000000000005</v>
      </c>
    </row>
    <row r="116" spans="1:13" ht="12.75">
      <c r="A116" s="1014" t="s">
        <v>890</v>
      </c>
      <c r="B116" s="1015">
        <f>ROUND(0.949-0.012*B113,4)</f>
        <v>0.87880000000000003</v>
      </c>
      <c r="C116" s="1015">
        <f>B116</f>
        <v>0.87880000000000003</v>
      </c>
      <c r="D116" s="1015">
        <f>ROUND(0.8567-0.013*B113,4)</f>
        <v>0.78069999999999995</v>
      </c>
      <c r="E116" s="1015">
        <f t="shared" ref="E116:H117" si="35">D116</f>
        <v>0.78069999999999995</v>
      </c>
      <c r="F116" s="1015">
        <f t="shared" si="35"/>
        <v>0.78069999999999995</v>
      </c>
      <c r="G116" s="1015">
        <f t="shared" si="35"/>
        <v>0.78069999999999995</v>
      </c>
      <c r="H116" s="1015">
        <f t="shared" si="35"/>
        <v>0.78069999999999995</v>
      </c>
      <c r="I116" s="1015">
        <f>ROUND(0.7694-0.014*B113,4)</f>
        <v>0.6875</v>
      </c>
      <c r="J116" s="1015">
        <f t="shared" si="34"/>
        <v>0.6875</v>
      </c>
      <c r="K116" s="1015">
        <f t="shared" si="34"/>
        <v>0.6875</v>
      </c>
      <c r="L116" s="1015">
        <f t="shared" si="34"/>
        <v>0.6875</v>
      </c>
      <c r="M116" s="1016">
        <f t="shared" si="34"/>
        <v>0.6875</v>
      </c>
    </row>
    <row r="117" spans="1:13" ht="12.75">
      <c r="A117" s="1017" t="s">
        <v>891</v>
      </c>
      <c r="B117" s="1015">
        <f>ROUND(0.8808-0.006*B113,4)</f>
        <v>0.84570000000000001</v>
      </c>
      <c r="C117" s="1015">
        <f>B117</f>
        <v>0.84570000000000001</v>
      </c>
      <c r="D117" s="1015">
        <f>ROUND(0.8748-0.008*B113,4)</f>
        <v>0.82799999999999996</v>
      </c>
      <c r="E117" s="1015">
        <f t="shared" si="35"/>
        <v>0.82799999999999996</v>
      </c>
      <c r="F117" s="1015">
        <f t="shared" si="35"/>
        <v>0.82799999999999996</v>
      </c>
      <c r="G117" s="1015">
        <f t="shared" si="35"/>
        <v>0.82799999999999996</v>
      </c>
      <c r="H117" s="1015">
        <f t="shared" si="35"/>
        <v>0.82799999999999996</v>
      </c>
      <c r="I117" s="1015">
        <f>ROUND(0.7412-0.0095*B113,4)</f>
        <v>0.68559999999999999</v>
      </c>
      <c r="J117" s="1015">
        <f t="shared" si="34"/>
        <v>0.68559999999999999</v>
      </c>
      <c r="K117" s="1015">
        <f t="shared" si="34"/>
        <v>0.68559999999999999</v>
      </c>
      <c r="L117" s="1015">
        <f t="shared" si="34"/>
        <v>0.68559999999999999</v>
      </c>
      <c r="M117" s="1016">
        <f t="shared" si="34"/>
        <v>0.68559999999999999</v>
      </c>
    </row>
    <row r="118" spans="1:13" ht="13.5" thickBot="1">
      <c r="A118" s="1018" t="s">
        <v>892</v>
      </c>
      <c r="B118" s="1019">
        <f>ROUND(0.7275-0.01*B113,4)</f>
        <v>0.66900000000000004</v>
      </c>
      <c r="C118" s="1019">
        <f>B118</f>
        <v>0.66900000000000004</v>
      </c>
      <c r="D118" s="1019">
        <f>ROUND(0.7043-0.012*B113,4)</f>
        <v>0.6341</v>
      </c>
      <c r="E118" s="1019">
        <f>D118</f>
        <v>0.6341</v>
      </c>
      <c r="F118" s="1019">
        <f>E118</f>
        <v>0.6341</v>
      </c>
      <c r="G118" s="1019">
        <f>ROUND(0.6299-0.0122*B113,4)</f>
        <v>0.5585</v>
      </c>
      <c r="H118" s="1019">
        <f>G118</f>
        <v>0.5585</v>
      </c>
      <c r="I118" s="1019">
        <f>ROUND(0.5667-0.0136*B113,4)</f>
        <v>0.48709999999999998</v>
      </c>
      <c r="J118" s="1019">
        <f t="shared" si="34"/>
        <v>0.48709999999999998</v>
      </c>
      <c r="K118" s="1019">
        <f t="shared" si="34"/>
        <v>0.48709999999999998</v>
      </c>
      <c r="L118" s="1019">
        <f t="shared" si="34"/>
        <v>0.48709999999999998</v>
      </c>
      <c r="M118" s="1020">
        <f t="shared" si="34"/>
        <v>0.48709999999999998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9" priority="5" stopIfTrue="1" operator="notEqual">
      <formula>"——"</formula>
    </cfRule>
  </conditionalFormatting>
  <conditionalFormatting sqref="F58">
    <cfRule type="cellIs" dxfId="208" priority="4" stopIfTrue="1" operator="notEqual">
      <formula>"——"</formula>
    </cfRule>
  </conditionalFormatting>
  <conditionalFormatting sqref="F69">
    <cfRule type="cellIs" dxfId="207" priority="3" stopIfTrue="1" operator="notEqual">
      <formula>"——"</formula>
    </cfRule>
  </conditionalFormatting>
  <conditionalFormatting sqref="F80">
    <cfRule type="cellIs" dxfId="206" priority="2" stopIfTrue="1" operator="notEqual">
      <formula>"——"</formula>
    </cfRule>
  </conditionalFormatting>
  <conditionalFormatting sqref="H58:H66 H47:H55 H69:H77 H80:H87">
    <cfRule type="cellIs" dxfId="20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39" zoomScale="80" zoomScaleNormal="60" zoomScaleSheetLayoutView="80" workbookViewId="0">
      <selection activeCell="G58" sqref="G58:G59"/>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306100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363922</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27838</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5.85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19982</v>
      </c>
      <c r="U3" s="2641"/>
      <c r="V3" s="2652">
        <f t="shared" ref="V3:V16" ca="1" si="1">ROUND(T3*U3/10000,0)</f>
        <v>0</v>
      </c>
      <c r="W3" s="2068"/>
      <c r="X3" s="2068"/>
      <c r="Y3" s="2068"/>
      <c r="Z3" s="2068"/>
      <c r="AA3" s="2068"/>
      <c r="AB3" s="2068"/>
      <c r="AC3" s="2069"/>
    </row>
    <row r="4" spans="1:39" ht="28.5">
      <c r="A4" s="1803" t="s">
        <v>2265</v>
      </c>
      <c r="B4" s="2306">
        <f ca="1">ROUND(B2*10000/F1,0)</f>
        <v>44890</v>
      </c>
      <c r="C4" s="1806" t="s">
        <v>2240</v>
      </c>
      <c r="D4" s="1806">
        <f ca="1">ROUND(B2/(F1/666.67),0)</f>
        <v>2993</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16121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12935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11015</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9686</v>
      </c>
      <c r="U7" s="2641"/>
      <c r="V7" s="2652">
        <f t="shared" ca="1" si="1"/>
        <v>0</v>
      </c>
      <c r="W7" s="3271" t="s">
        <v>2742</v>
      </c>
      <c r="X7" s="2642" t="str">
        <f>G2</f>
        <v>六级</v>
      </c>
      <c r="Y7" s="2642" t="s">
        <v>2743</v>
      </c>
      <c r="Z7" s="2643">
        <f>G3</f>
        <v>5.85</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5.85</v>
      </c>
      <c r="Z11" s="1580">
        <f t="shared" ref="Z11:AJ11" si="3">$G$3</f>
        <v>5.85</v>
      </c>
      <c r="AA11" s="1580">
        <f t="shared" si="3"/>
        <v>5.85</v>
      </c>
      <c r="AB11" s="1580">
        <f t="shared" si="3"/>
        <v>5.85</v>
      </c>
      <c r="AC11" s="1580">
        <f t="shared" si="3"/>
        <v>5.85</v>
      </c>
      <c r="AD11" s="1580">
        <f t="shared" si="3"/>
        <v>5.85</v>
      </c>
      <c r="AE11" s="1580">
        <f t="shared" si="3"/>
        <v>5.85</v>
      </c>
      <c r="AF11" s="1580">
        <f t="shared" si="3"/>
        <v>5.85</v>
      </c>
      <c r="AG11" s="1580">
        <f t="shared" si="3"/>
        <v>5.85</v>
      </c>
      <c r="AH11" s="1580">
        <f t="shared" si="3"/>
        <v>5.85</v>
      </c>
      <c r="AI11" s="1580">
        <f t="shared" si="3"/>
        <v>5.85</v>
      </c>
      <c r="AJ11" s="1580">
        <f t="shared" si="3"/>
        <v>5.85</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0.13020512820512822</v>
      </c>
      <c r="Z13" s="2648">
        <f t="shared" ref="Z13:AJ13" si="5">(-0.163*(Z12^2)-0.59*Z12+7617)*(10^(-4))/Z11</f>
        <v>0.13020512820512822</v>
      </c>
      <c r="AA13" s="2648">
        <f t="shared" si="5"/>
        <v>0.13020512820512822</v>
      </c>
      <c r="AB13" s="2648">
        <f t="shared" si="5"/>
        <v>0.13020512820512822</v>
      </c>
      <c r="AC13" s="2648">
        <f t="shared" si="5"/>
        <v>0.13020512820512822</v>
      </c>
      <c r="AD13" s="2648">
        <f t="shared" si="5"/>
        <v>0.13020512820512822</v>
      </c>
      <c r="AE13" s="2648">
        <f t="shared" si="5"/>
        <v>0.13020512820512822</v>
      </c>
      <c r="AF13" s="2648">
        <f t="shared" si="5"/>
        <v>0.13020512820512822</v>
      </c>
      <c r="AG13" s="2648">
        <f t="shared" si="5"/>
        <v>0.13020512820512822</v>
      </c>
      <c r="AH13" s="2648">
        <f t="shared" si="5"/>
        <v>0.13020512820512822</v>
      </c>
      <c r="AI13" s="2648">
        <f t="shared" si="5"/>
        <v>0.13020512820512822</v>
      </c>
      <c r="AJ13" s="2648">
        <f t="shared" si="5"/>
        <v>0.13020512820512822</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1037">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0.79559999999999997</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0.79559999999999997</v>
      </c>
      <c r="E22" s="1024">
        <f>ROUNDDOWN(G3,1)</f>
        <v>5.8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0.79679999999999995</v>
      </c>
      <c r="G22" s="1024">
        <f>ROUNDUP(G3,1)</f>
        <v>5.8999999999999995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0.7944</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1.0591999999999999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363922</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306100</v>
      </c>
      <c r="E29" s="1761">
        <f ca="1">ROUND(C29*D29/10000,0)</f>
        <v>363922</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10460</v>
      </c>
      <c r="D33" s="1475"/>
      <c r="E33" s="1033">
        <f ca="1">ROUND(C33*D33/10000,0)</f>
        <v>0</v>
      </c>
      <c r="F33" s="1033">
        <f>SUMIF(修正!A45:A56,G2,修正!B45:B56)</f>
        <v>0.7</v>
      </c>
      <c r="G33" s="1033">
        <f t="shared" ref="G33" ca="1" si="6">ROUND(IF(E2="工业",C33*$M$39,C33*$M$38),0)</f>
        <v>2615</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5977</v>
      </c>
      <c r="D34" s="1475"/>
      <c r="E34" s="1033">
        <f t="shared" ref="E34:E39" ca="1" si="7">ROUND(C34*D34/10000,0)</f>
        <v>0</v>
      </c>
      <c r="F34" s="1033">
        <f>SUMIF(修正!A45:A56,G2,修正!C45:C56)</f>
        <v>0.4</v>
      </c>
      <c r="G34" s="1033">
        <f ca="1">ROUND(IF(E2="工业",C34*$M$39,C34*$M$38),0)</f>
        <v>1494</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4184</v>
      </c>
      <c r="D35" s="1475"/>
      <c r="E35" s="1033">
        <f t="shared" ca="1" si="7"/>
        <v>0</v>
      </c>
      <c r="F35" s="1033">
        <f>SUMIF(修正!A45:A56,G2,修正!D45:D56)</f>
        <v>0.28000000000000003</v>
      </c>
      <c r="G35" s="1033">
        <f ca="1">ROUND(IF(E2="工业",C35*$M$39,C35*$M$38),0)</f>
        <v>1046</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3736</v>
      </c>
      <c r="D36" s="1475"/>
      <c r="E36" s="1033">
        <f t="shared" ca="1" si="7"/>
        <v>0</v>
      </c>
      <c r="F36" s="1033">
        <f>SUMIF(修正!A45:A56,G2,修正!E45:E56)</f>
        <v>0.25</v>
      </c>
      <c r="G36" s="1033">
        <f ca="1">ROUND(IF(E2="工业",C36*$M$39,C36*$M$38),0)</f>
        <v>934</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3736</v>
      </c>
      <c r="D37" s="1475"/>
      <c r="E37" s="1033">
        <f t="shared" ca="1" si="7"/>
        <v>0</v>
      </c>
      <c r="F37" s="1044">
        <f>SUMIF(修正!A45:A56,G2,修正!F45:F56)</f>
        <v>0.25</v>
      </c>
      <c r="G37" s="1033">
        <f ca="1">ROUND(IF(E2="工业",C37*$M$39,C37*$M$38),0)</f>
        <v>934</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1.0591999999999999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1.7600000000000001E-2</v>
      </c>
      <c r="E58" s="2289">
        <f>ROUND(SUM(D58:D66),4)</f>
        <v>5.9200000000000003E-2</v>
      </c>
      <c r="F58" s="2290">
        <f>IF(E2="办公",SUMIF(L1:L12,G2,N1:N12),"——")</f>
        <v>0.13</v>
      </c>
      <c r="G58" s="4155">
        <f>基准地价商务公寓!G58</f>
        <v>1.7600000000000001E-2</v>
      </c>
      <c r="H58" s="2313">
        <f>IFERROR(ROUNDDOWN($F$58*I58/2,4),"——")</f>
        <v>1.5599999999999999E-2</v>
      </c>
      <c r="I58" s="2288">
        <v>0.24</v>
      </c>
      <c r="J58" s="2291">
        <f t="shared" ref="J58:J66" si="16">K58+$G58</f>
        <v>3.5200000000000002E-2</v>
      </c>
      <c r="K58" s="2291">
        <f t="shared" ref="K58:K66" si="17">$L58+$G58</f>
        <v>1.7600000000000001E-2</v>
      </c>
      <c r="L58" s="2291">
        <v>0</v>
      </c>
      <c r="M58" s="2291">
        <f t="shared" ref="M58:N66" si="18">L58-$G58</f>
        <v>-1.7600000000000001E-2</v>
      </c>
      <c r="N58" s="2291">
        <f t="shared" si="18"/>
        <v>-3.5200000000000002E-2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4155">
        <f>基准地价商务公寓!G59</f>
        <v>1.7399999999999999E-2</v>
      </c>
      <c r="H59" s="2269">
        <f t="shared" ref="H59:H66" si="19">IFERROR($F$58*I59/2,"——")</f>
        <v>1.95E-2</v>
      </c>
      <c r="I59" s="2288">
        <v>0.3</v>
      </c>
      <c r="J59" s="2291">
        <f t="shared" si="16"/>
        <v>3.4799999999999998E-2</v>
      </c>
      <c r="K59" s="2291">
        <f t="shared" si="17"/>
        <v>1.7399999999999999E-2</v>
      </c>
      <c r="L59" s="2291">
        <v>0</v>
      </c>
      <c r="M59" s="2291">
        <f t="shared" si="18"/>
        <v>-1.7399999999999999E-2</v>
      </c>
      <c r="N59" s="2291">
        <f t="shared" si="18"/>
        <v>-3.4799999999999998E-2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ref="G59:G66" si="20">H60</f>
        <v>5.2000000000000006E-3</v>
      </c>
      <c r="H60" s="2269">
        <f t="shared" si="19"/>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20"/>
        <v>2.6000000000000003E-3</v>
      </c>
      <c r="H61" s="2269">
        <f t="shared" si="19"/>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20"/>
        <v>3.2500000000000003E-3</v>
      </c>
      <c r="H62" s="2269">
        <f t="shared" si="19"/>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20"/>
        <v>3.2500000000000003E-3</v>
      </c>
      <c r="H63" s="2269">
        <f t="shared" si="19"/>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20"/>
        <v>3.8999999999999998E-3</v>
      </c>
      <c r="H64" s="2269">
        <f t="shared" si="19"/>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20"/>
        <v>7.7999999999999996E-3</v>
      </c>
      <c r="H65" s="2269">
        <f t="shared" si="19"/>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20"/>
        <v>3.8999999999999998E-3</v>
      </c>
      <c r="H66" s="2269">
        <f t="shared" si="19"/>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269"/>
      <c r="L90" s="3269"/>
      <c r="M90" s="3269"/>
      <c r="N90" s="3269"/>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5.85</v>
      </c>
      <c r="D101" s="1129">
        <f t="shared" ref="D101:N101" si="32">$G$3</f>
        <v>5.85</v>
      </c>
      <c r="E101" s="1129">
        <f t="shared" si="32"/>
        <v>5.85</v>
      </c>
      <c r="F101" s="1129">
        <f t="shared" si="32"/>
        <v>5.85</v>
      </c>
      <c r="G101" s="1129">
        <f t="shared" si="32"/>
        <v>5.85</v>
      </c>
      <c r="H101" s="1129">
        <f t="shared" si="32"/>
        <v>5.85</v>
      </c>
      <c r="I101" s="1129">
        <f t="shared" si="32"/>
        <v>5.85</v>
      </c>
      <c r="J101" s="1129">
        <f t="shared" si="32"/>
        <v>5.85</v>
      </c>
      <c r="K101" s="1129">
        <f t="shared" si="32"/>
        <v>5.85</v>
      </c>
      <c r="L101" s="1129">
        <f t="shared" si="32"/>
        <v>5.85</v>
      </c>
      <c r="M101" s="1129">
        <f t="shared" si="32"/>
        <v>5.85</v>
      </c>
      <c r="N101" s="1129">
        <f t="shared" si="32"/>
        <v>5.85</v>
      </c>
    </row>
    <row r="102" spans="1:14">
      <c r="A102" s="4030"/>
      <c r="B102" s="1124">
        <v>1</v>
      </c>
      <c r="C102" s="1125">
        <f>1.9362/C101</f>
        <v>0.33097435897435901</v>
      </c>
      <c r="D102" s="1125">
        <f>1.9362/D101</f>
        <v>0.33097435897435901</v>
      </c>
      <c r="E102" s="1125">
        <f>1.8629/E101</f>
        <v>0.31844444444444447</v>
      </c>
      <c r="F102" s="1125">
        <f>1.8629/F101</f>
        <v>0.31844444444444447</v>
      </c>
      <c r="G102" s="1125">
        <f>1.8629/G101</f>
        <v>0.31844444444444447</v>
      </c>
      <c r="H102" s="1125">
        <f>1.8629/H101</f>
        <v>0.31844444444444447</v>
      </c>
      <c r="I102" s="1125">
        <f>1.8629/I101</f>
        <v>0.31844444444444447</v>
      </c>
      <c r="J102" s="1125">
        <f>1.942/J101</f>
        <v>0.33196581196581199</v>
      </c>
      <c r="K102" s="1125">
        <f>1.942/K101</f>
        <v>0.33196581196581199</v>
      </c>
      <c r="L102" s="1125">
        <f>1.942/L101</f>
        <v>0.33196581196581199</v>
      </c>
      <c r="M102" s="1125">
        <f>1.942/M101</f>
        <v>0.33196581196581199</v>
      </c>
      <c r="N102" s="1125">
        <f>1.942/N101</f>
        <v>0.33196581196581199</v>
      </c>
    </row>
    <row r="103" spans="1:14">
      <c r="A103" s="4030"/>
      <c r="B103" s="1124">
        <v>2</v>
      </c>
      <c r="C103" s="1125">
        <f>1.4198/C101</f>
        <v>0.2427008547008547</v>
      </c>
      <c r="D103" s="1125">
        <f>1.4198/D101</f>
        <v>0.2427008547008547</v>
      </c>
      <c r="E103" s="1125">
        <f>1.3372/E101</f>
        <v>0.22858119658119658</v>
      </c>
      <c r="F103" s="1125">
        <f>1.3372/F101</f>
        <v>0.22858119658119658</v>
      </c>
      <c r="G103" s="1125">
        <f>1.3372/G101</f>
        <v>0.22858119658119658</v>
      </c>
      <c r="H103" s="1125">
        <f>1.3372/H101</f>
        <v>0.22858119658119658</v>
      </c>
      <c r="I103" s="1125">
        <f>1.3372/I101</f>
        <v>0.22858119658119658</v>
      </c>
      <c r="J103" s="1125">
        <f>1.2799/J101</f>
        <v>0.21878632478632482</v>
      </c>
      <c r="K103" s="1125">
        <f>1.2799/K101</f>
        <v>0.21878632478632482</v>
      </c>
      <c r="L103" s="1125">
        <f>1.2799/L101</f>
        <v>0.21878632478632482</v>
      </c>
      <c r="M103" s="1125">
        <f>1.2799/M101</f>
        <v>0.21878632478632482</v>
      </c>
      <c r="N103" s="1125">
        <f>1.2799/N101</f>
        <v>0.21878632478632482</v>
      </c>
    </row>
    <row r="104" spans="1:14">
      <c r="A104" s="4030"/>
      <c r="B104" s="1124">
        <v>3</v>
      </c>
      <c r="C104" s="1125">
        <f>1.1594/C101</f>
        <v>0.19818803418803418</v>
      </c>
      <c r="D104" s="1125">
        <f>1.1594/D101</f>
        <v>0.19818803418803418</v>
      </c>
      <c r="E104" s="1125">
        <f>1.0788/E101</f>
        <v>0.18441025641025641</v>
      </c>
      <c r="F104" s="1125">
        <f>1.0788/F101</f>
        <v>0.18441025641025641</v>
      </c>
      <c r="G104" s="1125">
        <f>1.0788/G101</f>
        <v>0.18441025641025641</v>
      </c>
      <c r="H104" s="1125">
        <f>1.0788/H101</f>
        <v>0.18441025641025641</v>
      </c>
      <c r="I104" s="1125">
        <f>1.0788/I101</f>
        <v>0.18441025641025641</v>
      </c>
      <c r="J104" s="1125">
        <f>1.0072/J101</f>
        <v>0.1721709401709402</v>
      </c>
      <c r="K104" s="1125">
        <f>1.0072/K101</f>
        <v>0.1721709401709402</v>
      </c>
      <c r="L104" s="1125">
        <f>1.0072/L101</f>
        <v>0.1721709401709402</v>
      </c>
      <c r="M104" s="1125">
        <f>1.0072/M101</f>
        <v>0.1721709401709402</v>
      </c>
      <c r="N104" s="1125">
        <f>1.0072/N101</f>
        <v>0.1721709401709402</v>
      </c>
    </row>
    <row r="105" spans="1:14">
      <c r="A105" s="4030"/>
      <c r="B105" s="1124">
        <v>4</v>
      </c>
      <c r="C105" s="1125">
        <f>0.9622/C101</f>
        <v>0.16447863247863251</v>
      </c>
      <c r="D105" s="1125">
        <f>0.9622/D101</f>
        <v>0.16447863247863251</v>
      </c>
      <c r="E105" s="1125">
        <f>0.8656/E101</f>
        <v>0.14796581196581199</v>
      </c>
      <c r="F105" s="1125">
        <f>0.8656/F101</f>
        <v>0.14796581196581199</v>
      </c>
      <c r="G105" s="1125">
        <f>0.8656/G101</f>
        <v>0.14796581196581199</v>
      </c>
      <c r="H105" s="1125">
        <f>0.8656/H101</f>
        <v>0.14796581196581199</v>
      </c>
      <c r="I105" s="1125">
        <f>0.8656/I101</f>
        <v>0.14796581196581199</v>
      </c>
      <c r="J105" s="1125">
        <f>0.7525/J101</f>
        <v>0.12863247863247862</v>
      </c>
      <c r="K105" s="1125">
        <f>0.7525/K101</f>
        <v>0.12863247863247862</v>
      </c>
      <c r="L105" s="1125">
        <f>0.7525/L101</f>
        <v>0.12863247863247862</v>
      </c>
      <c r="M105" s="1125">
        <f>0.7525/M101</f>
        <v>0.12863247863247862</v>
      </c>
      <c r="N105" s="1125">
        <f>0.7525/N101</f>
        <v>0.12863247863247862</v>
      </c>
    </row>
    <row r="106" spans="1:14">
      <c r="A106" s="4030"/>
      <c r="B106" s="1124">
        <v>5</v>
      </c>
      <c r="C106" s="1125">
        <f>0.8417/C101</f>
        <v>0.14388034188034188</v>
      </c>
      <c r="D106" s="1125">
        <f>0.8417/D101</f>
        <v>0.14388034188034188</v>
      </c>
      <c r="E106" s="1125">
        <f>0.7371/E101</f>
        <v>0.126</v>
      </c>
      <c r="F106" s="1125">
        <f>0.7371/F101</f>
        <v>0.126</v>
      </c>
      <c r="G106" s="1125">
        <f>0.7371/G101</f>
        <v>0.126</v>
      </c>
      <c r="H106" s="1125">
        <f>0.7371/H101</f>
        <v>0.126</v>
      </c>
      <c r="I106" s="1125">
        <f>0.7371/I101</f>
        <v>0.126</v>
      </c>
      <c r="J106" s="1125">
        <f>0.5659/J101</f>
        <v>9.6735042735042728E-2</v>
      </c>
      <c r="K106" s="1125">
        <f>0.5659/K101</f>
        <v>9.6735042735042728E-2</v>
      </c>
      <c r="L106" s="1125">
        <f>0.5659/L101</f>
        <v>9.6735042735042728E-2</v>
      </c>
      <c r="M106" s="1125">
        <f>0.5659/M101</f>
        <v>9.6735042735042728E-2</v>
      </c>
      <c r="N106" s="1125">
        <f>0.5659/N101</f>
        <v>9.6735042735042728E-2</v>
      </c>
    </row>
    <row r="107" spans="1:14">
      <c r="A107" s="4030"/>
      <c r="B107" s="1124">
        <v>6</v>
      </c>
      <c r="C107" s="1125">
        <f>0.7608/C101</f>
        <v>0.13005128205128205</v>
      </c>
      <c r="D107" s="1125">
        <f>0.7608/D101</f>
        <v>0.13005128205128205</v>
      </c>
      <c r="E107" s="1125">
        <f>0.6482/E101</f>
        <v>0.1108034188034188</v>
      </c>
      <c r="F107" s="1125">
        <f>0.6482/F101</f>
        <v>0.1108034188034188</v>
      </c>
      <c r="G107" s="1125">
        <f>0.6482/G101</f>
        <v>0.1108034188034188</v>
      </c>
      <c r="H107" s="1125">
        <f>0.6482/H101</f>
        <v>0.1108034188034188</v>
      </c>
      <c r="I107" s="1125">
        <f>0.6482/I101</f>
        <v>0.1108034188034188</v>
      </c>
      <c r="J107" s="1125">
        <f>0.4525/J101</f>
        <v>7.7350427350427353E-2</v>
      </c>
      <c r="K107" s="1125">
        <f>0.4525/K101</f>
        <v>7.7350427350427353E-2</v>
      </c>
      <c r="L107" s="1125">
        <f>0.4525/L101</f>
        <v>7.7350427350427353E-2</v>
      </c>
      <c r="M107" s="1125">
        <f>0.4525/M101</f>
        <v>7.7350427350427353E-2</v>
      </c>
      <c r="N107" s="1125">
        <f>0.4525/N101</f>
        <v>7.7350427350427353E-2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0.13020512820512822</v>
      </c>
      <c r="D109" s="1127">
        <f>(-0.163*(D108^2)-0.59*D108+7617)*(10^(-4))/D101</f>
        <v>0.13020512820512822</v>
      </c>
      <c r="E109" s="1127">
        <f>(-0.161*(E108^2)-7.509*E108+6533)*(10^(-4))/E101</f>
        <v>0.11167521367521369</v>
      </c>
      <c r="F109" s="1127">
        <f>(-0.161*(F108^2)-7.509*F108+6533)*(10^(-4))/F101</f>
        <v>0.11167521367521369</v>
      </c>
      <c r="G109" s="1127">
        <f>(-0.161*(G108^2)-7.509*G108+6533)*(10^(-4))/G101</f>
        <v>0.11167521367521369</v>
      </c>
      <c r="H109" s="1127">
        <f>(-0.161*(H108^2)-7.509*H108+6533)*(10^(-4))/H101</f>
        <v>0.11167521367521369</v>
      </c>
      <c r="I109" s="1127">
        <f>(-0.161*(I108^2)-7.509*I108+6533)*(10^(-4))/I101</f>
        <v>0.11167521367521369</v>
      </c>
      <c r="J109" s="1127">
        <f>(-0.214*(J108^2)-21.991*J108+4665)*(10^(-4))/J101</f>
        <v>7.9743589743589749E-2</v>
      </c>
      <c r="K109" s="1127">
        <f>(-0.214*(K108^2)-21.991*K108+4665)*(10^(-4))/K101</f>
        <v>7.9743589743589749E-2</v>
      </c>
      <c r="L109" s="1127">
        <f>(-0.214*(L108^2)-21.991*L108+4665)*(10^(-4))/L101</f>
        <v>7.9743589743589749E-2</v>
      </c>
      <c r="M109" s="1127">
        <f>(-0.214*(M108^2)-21.991*M108+4665)*(10^(-4))/M101</f>
        <v>7.9743589743589749E-2</v>
      </c>
      <c r="N109" s="1127">
        <f>(-0.214*(N108^2)-21.991*N108+4665)*(10^(-4))/N101</f>
        <v>7.9743589743589749E-2</v>
      </c>
    </row>
    <row r="110" spans="1:14">
      <c r="A110" s="4039" t="s">
        <v>1628</v>
      </c>
      <c r="B110" s="4039"/>
      <c r="C110" s="4039"/>
      <c r="D110" s="4039"/>
      <c r="E110" s="4039"/>
      <c r="F110" s="4039"/>
      <c r="G110" s="4039"/>
      <c r="H110" s="4039"/>
      <c r="I110" s="4039"/>
      <c r="J110" s="4039"/>
      <c r="K110" s="3268"/>
      <c r="L110" s="3268"/>
      <c r="M110" s="3268"/>
      <c r="N110" s="3268"/>
    </row>
    <row r="112" spans="1:14" ht="12.75" thickBot="1"/>
    <row r="113" spans="1:13" ht="25.5" thickBot="1">
      <c r="A113" s="1001" t="s">
        <v>885</v>
      </c>
      <c r="B113" s="2304">
        <f>G3</f>
        <v>5.85</v>
      </c>
      <c r="C113" s="1002" t="s">
        <v>886</v>
      </c>
      <c r="D113" s="1003">
        <f>SUMPRODUCT((A115:A118=F113)*(B114:M114=H113)*B115:M118)</f>
        <v>0.78069999999999995</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0.87849999999999995</v>
      </c>
      <c r="C115" s="1015">
        <f>B115</f>
        <v>0.87849999999999995</v>
      </c>
      <c r="D115" s="1015">
        <f>ROUND(0.8331-0.0109*B113,4)</f>
        <v>0.76929999999999998</v>
      </c>
      <c r="E115" s="1015">
        <f>D115</f>
        <v>0.76929999999999998</v>
      </c>
      <c r="F115" s="1015">
        <f>E115</f>
        <v>0.76929999999999998</v>
      </c>
      <c r="G115" s="1015">
        <f>F115</f>
        <v>0.76929999999999998</v>
      </c>
      <c r="H115" s="1015">
        <f>G115</f>
        <v>0.76929999999999998</v>
      </c>
      <c r="I115" s="1015">
        <f>ROUND(0.689-0.0155*B113,4)</f>
        <v>0.59830000000000005</v>
      </c>
      <c r="J115" s="1015">
        <f t="shared" ref="J115:M118" si="34">I115</f>
        <v>0.59830000000000005</v>
      </c>
      <c r="K115" s="1015">
        <f t="shared" si="34"/>
        <v>0.59830000000000005</v>
      </c>
      <c r="L115" s="1015">
        <f t="shared" si="34"/>
        <v>0.59830000000000005</v>
      </c>
      <c r="M115" s="1016">
        <f t="shared" si="34"/>
        <v>0.59830000000000005</v>
      </c>
    </row>
    <row r="116" spans="1:13" ht="12.75">
      <c r="A116" s="1014" t="s">
        <v>890</v>
      </c>
      <c r="B116" s="1015">
        <f>ROUND(0.949-0.012*B113,4)</f>
        <v>0.87880000000000003</v>
      </c>
      <c r="C116" s="1015">
        <f>B116</f>
        <v>0.87880000000000003</v>
      </c>
      <c r="D116" s="1015">
        <f>ROUND(0.8567-0.013*B113,4)</f>
        <v>0.78069999999999995</v>
      </c>
      <c r="E116" s="1015">
        <f t="shared" ref="E116:H117" si="35">D116</f>
        <v>0.78069999999999995</v>
      </c>
      <c r="F116" s="1015">
        <f t="shared" si="35"/>
        <v>0.78069999999999995</v>
      </c>
      <c r="G116" s="1015">
        <f t="shared" si="35"/>
        <v>0.78069999999999995</v>
      </c>
      <c r="H116" s="1015">
        <f t="shared" si="35"/>
        <v>0.78069999999999995</v>
      </c>
      <c r="I116" s="1015">
        <f>ROUND(0.7694-0.014*B113,4)</f>
        <v>0.6875</v>
      </c>
      <c r="J116" s="1015">
        <f t="shared" si="34"/>
        <v>0.6875</v>
      </c>
      <c r="K116" s="1015">
        <f t="shared" si="34"/>
        <v>0.6875</v>
      </c>
      <c r="L116" s="1015">
        <f t="shared" si="34"/>
        <v>0.6875</v>
      </c>
      <c r="M116" s="1016">
        <f t="shared" si="34"/>
        <v>0.6875</v>
      </c>
    </row>
    <row r="117" spans="1:13" ht="12.75">
      <c r="A117" s="1017" t="s">
        <v>891</v>
      </c>
      <c r="B117" s="1015">
        <f>ROUND(0.8808-0.006*B113,4)</f>
        <v>0.84570000000000001</v>
      </c>
      <c r="C117" s="1015">
        <f>B117</f>
        <v>0.84570000000000001</v>
      </c>
      <c r="D117" s="1015">
        <f>ROUND(0.8748-0.008*B113,4)</f>
        <v>0.82799999999999996</v>
      </c>
      <c r="E117" s="1015">
        <f t="shared" si="35"/>
        <v>0.82799999999999996</v>
      </c>
      <c r="F117" s="1015">
        <f t="shared" si="35"/>
        <v>0.82799999999999996</v>
      </c>
      <c r="G117" s="1015">
        <f t="shared" si="35"/>
        <v>0.82799999999999996</v>
      </c>
      <c r="H117" s="1015">
        <f t="shared" si="35"/>
        <v>0.82799999999999996</v>
      </c>
      <c r="I117" s="1015">
        <f>ROUND(0.7412-0.0095*B113,4)</f>
        <v>0.68559999999999999</v>
      </c>
      <c r="J117" s="1015">
        <f t="shared" si="34"/>
        <v>0.68559999999999999</v>
      </c>
      <c r="K117" s="1015">
        <f t="shared" si="34"/>
        <v>0.68559999999999999</v>
      </c>
      <c r="L117" s="1015">
        <f t="shared" si="34"/>
        <v>0.68559999999999999</v>
      </c>
      <c r="M117" s="1016">
        <f t="shared" si="34"/>
        <v>0.68559999999999999</v>
      </c>
    </row>
    <row r="118" spans="1:13" ht="13.5" thickBot="1">
      <c r="A118" s="1018" t="s">
        <v>892</v>
      </c>
      <c r="B118" s="1019">
        <f>ROUND(0.7275-0.01*B113,4)</f>
        <v>0.66900000000000004</v>
      </c>
      <c r="C118" s="1019">
        <f>B118</f>
        <v>0.66900000000000004</v>
      </c>
      <c r="D118" s="1019">
        <f>ROUND(0.7043-0.012*B113,4)</f>
        <v>0.6341</v>
      </c>
      <c r="E118" s="1019">
        <f>D118</f>
        <v>0.6341</v>
      </c>
      <c r="F118" s="1019">
        <f>E118</f>
        <v>0.6341</v>
      </c>
      <c r="G118" s="1019">
        <f>ROUND(0.6299-0.0122*B113,4)</f>
        <v>0.5585</v>
      </c>
      <c r="H118" s="1019">
        <f>G118</f>
        <v>0.5585</v>
      </c>
      <c r="I118" s="1019">
        <f>ROUND(0.5667-0.0136*B113,4)</f>
        <v>0.48709999999999998</v>
      </c>
      <c r="J118" s="1019">
        <f t="shared" si="34"/>
        <v>0.48709999999999998</v>
      </c>
      <c r="K118" s="1019">
        <f t="shared" si="34"/>
        <v>0.48709999999999998</v>
      </c>
      <c r="L118" s="1019">
        <f t="shared" si="34"/>
        <v>0.48709999999999998</v>
      </c>
      <c r="M118" s="1020">
        <f t="shared" si="34"/>
        <v>0.48709999999999998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4" priority="5" stopIfTrue="1" operator="notEqual">
      <formula>"——"</formula>
    </cfRule>
  </conditionalFormatting>
  <conditionalFormatting sqref="F58">
    <cfRule type="cellIs" dxfId="203" priority="4" stopIfTrue="1" operator="notEqual">
      <formula>"——"</formula>
    </cfRule>
  </conditionalFormatting>
  <conditionalFormatting sqref="F69">
    <cfRule type="cellIs" dxfId="202" priority="3" stopIfTrue="1" operator="notEqual">
      <formula>"——"</formula>
    </cfRule>
  </conditionalFormatting>
  <conditionalFormatting sqref="F80">
    <cfRule type="cellIs" dxfId="201" priority="2" stopIfTrue="1" operator="notEqual">
      <formula>"——"</formula>
    </cfRule>
  </conditionalFormatting>
  <conditionalFormatting sqref="H58:H66 H47:H55 H69:H77 H80:H87">
    <cfRule type="cellIs" dxfId="20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9" t="s">
        <v>2554</v>
      </c>
      <c r="C1" s="4059"/>
      <c r="D1" s="4059"/>
      <c r="E1" s="4059"/>
      <c r="F1" s="4059"/>
      <c r="G1" s="4058" t="s">
        <v>2555</v>
      </c>
      <c r="H1" s="4058"/>
      <c r="I1" s="4058"/>
      <c r="J1" s="4058"/>
      <c r="K1" s="4058"/>
      <c r="L1" s="4058"/>
      <c r="N1" s="4058" t="s">
        <v>2556</v>
      </c>
      <c r="O1" s="4058"/>
      <c r="P1" s="4058"/>
      <c r="Q1" s="4058"/>
      <c r="S1" s="4058" t="s">
        <v>2557</v>
      </c>
      <c r="T1" s="4058"/>
      <c r="U1" s="4058"/>
      <c r="V1" s="4058"/>
      <c r="X1" s="4057" t="s">
        <v>2617</v>
      </c>
      <c r="Y1" s="4058"/>
      <c r="Z1" s="4058"/>
      <c r="AA1" s="4058"/>
      <c r="AB1" s="4058"/>
      <c r="AD1" s="4057" t="s">
        <v>2621</v>
      </c>
      <c r="AE1" s="4058"/>
      <c r="AF1" s="4058"/>
      <c r="AG1" s="4058"/>
      <c r="AH1" s="4058"/>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4" customFormat="1">
      <c r="A5" s="3759" t="s">
        <v>3224</v>
      </c>
      <c r="B5" s="3760">
        <f t="shared" ref="B5:C7" si="2">B6*(1+N5)</f>
        <v>504.87072809615569</v>
      </c>
      <c r="C5" s="3760">
        <f t="shared" si="2"/>
        <v>351.71182348101968</v>
      </c>
      <c r="D5" s="3760">
        <f t="shared" ref="D5:D7" si="3">C5</f>
        <v>351.71182348101968</v>
      </c>
      <c r="E5" s="3760">
        <f t="shared" ref="E5:F7" si="4">E6*(1+P5)</f>
        <v>728.75350858360832</v>
      </c>
      <c r="F5" s="3760">
        <f t="shared" si="4"/>
        <v>334.04593931673656</v>
      </c>
      <c r="G5" s="3761">
        <v>2021</v>
      </c>
      <c r="H5" s="3762">
        <v>4</v>
      </c>
      <c r="I5" s="3763">
        <v>0</v>
      </c>
      <c r="J5" s="3763">
        <v>0</v>
      </c>
      <c r="K5" s="3763">
        <v>0</v>
      </c>
      <c r="L5" s="3763">
        <v>0</v>
      </c>
      <c r="N5" s="3765">
        <f t="shared" ref="N5:Q7" si="5">I5/100</f>
        <v>0</v>
      </c>
      <c r="O5" s="3765">
        <f t="shared" si="5"/>
        <v>0</v>
      </c>
      <c r="P5" s="3765">
        <f t="shared" si="5"/>
        <v>0</v>
      </c>
      <c r="Q5" s="3765">
        <f t="shared" si="5"/>
        <v>0</v>
      </c>
      <c r="S5" s="3766"/>
      <c r="W5" s="2886" t="s">
        <v>2929</v>
      </c>
      <c r="X5" s="3767">
        <f>ROUND(SUMPRODUCT(PRODUCT(1+N5:N$36)),4)</f>
        <v>1.6903999999999999</v>
      </c>
      <c r="Y5" s="3767">
        <f>ROUND(SUMPRODUCT(PRODUCT(1+O5:O$36)),4)</f>
        <v>1.3963000000000001</v>
      </c>
      <c r="Z5" s="3767">
        <f t="shared" ref="Z5:Z7" si="6">Y5</f>
        <v>1.3963000000000001</v>
      </c>
      <c r="AA5" s="3767">
        <f>ROUND(SUMPRODUCT(PRODUCT(1+P5:P$36)),4)</f>
        <v>1.7797000000000001</v>
      </c>
      <c r="AB5" s="3767">
        <f>ROUND(SUMPRODUCT(PRODUCT(1+Q5:Q$36)),4)</f>
        <v>1.4726999999999999</v>
      </c>
      <c r="AD5" s="3768">
        <f>ROUND(AVERAGE(I5:I$36)/100,4)</f>
        <v>1.66E-2</v>
      </c>
      <c r="AE5" s="3768">
        <f>ROUND(AVERAGE(J5:J$36)/100,4)</f>
        <v>1.0500000000000001E-2</v>
      </c>
      <c r="AF5" s="3768">
        <f t="shared" ref="AF5:AF7" si="7">AE5</f>
        <v>1.0500000000000001E-2</v>
      </c>
      <c r="AG5" s="3768">
        <f>ROUND(AVERAGE(K5:K$36)/100,4)</f>
        <v>1.83E-2</v>
      </c>
      <c r="AH5" s="3768">
        <f>ROUND(AVERAGE(L5:L$36)/100,4)</f>
        <v>1.2200000000000001E-2</v>
      </c>
    </row>
    <row r="6" spans="1:34" s="3779" customFormat="1">
      <c r="A6" s="3769" t="s">
        <v>3225</v>
      </c>
      <c r="B6" s="3770">
        <f t="shared" si="2"/>
        <v>504.87072809615569</v>
      </c>
      <c r="C6" s="3770">
        <f t="shared" si="2"/>
        <v>351.71182348101968</v>
      </c>
      <c r="D6" s="3770">
        <f t="shared" si="3"/>
        <v>351.71182348101968</v>
      </c>
      <c r="E6" s="3770">
        <f t="shared" si="4"/>
        <v>728.75350858360832</v>
      </c>
      <c r="F6" s="3770">
        <f t="shared" si="4"/>
        <v>334.04593931673656</v>
      </c>
      <c r="G6" s="3761">
        <v>2021</v>
      </c>
      <c r="H6" s="3771">
        <v>3</v>
      </c>
      <c r="I6" s="3771">
        <v>0.47</v>
      </c>
      <c r="J6" s="3771">
        <v>0.41</v>
      </c>
      <c r="K6" s="3771">
        <v>0.48</v>
      </c>
      <c r="L6" s="3772">
        <v>0.48</v>
      </c>
      <c r="M6" s="3773"/>
      <c r="N6" s="3774">
        <f t="shared" si="5"/>
        <v>4.6999999999999993E-3</v>
      </c>
      <c r="O6" s="3775">
        <f t="shared" si="5"/>
        <v>4.0999999999999995E-3</v>
      </c>
      <c r="P6" s="3775">
        <f t="shared" si="5"/>
        <v>4.7999999999999996E-3</v>
      </c>
      <c r="Q6" s="3775">
        <f t="shared" si="5"/>
        <v>4.7999999999999996E-3</v>
      </c>
      <c r="R6" s="3776"/>
      <c r="S6" s="3777"/>
      <c r="T6" s="3778"/>
      <c r="U6" s="3778"/>
      <c r="V6" s="3778"/>
      <c r="W6" s="3773"/>
      <c r="X6" s="3773">
        <f>ROUND(SUMPRODUCT(PRODUCT(1+N6:N$36)),4)</f>
        <v>1.6903999999999999</v>
      </c>
      <c r="Y6" s="3773">
        <f>ROUND(SUMPRODUCT(PRODUCT(1+O6:O$36)),4)</f>
        <v>1.3963000000000001</v>
      </c>
      <c r="Z6" s="3773">
        <f t="shared" si="6"/>
        <v>1.3963000000000001</v>
      </c>
      <c r="AA6" s="3773">
        <f>ROUND(SUMPRODUCT(PRODUCT(1+P6:P$36)),4)</f>
        <v>1.7797000000000001</v>
      </c>
      <c r="AB6" s="3773">
        <f>ROUND(SUMPRODUCT(PRODUCT(1+Q6:Q$36)),4)</f>
        <v>1.4726999999999999</v>
      </c>
      <c r="AC6" s="3773"/>
      <c r="AD6" s="3775">
        <f>ROUND(AVERAGE(I6:I$36)/100,4)</f>
        <v>1.72E-2</v>
      </c>
      <c r="AE6" s="3775">
        <f>ROUND(AVERAGE(J6:J$36)/100,4)</f>
        <v>1.09E-2</v>
      </c>
      <c r="AF6" s="3775">
        <f t="shared" si="7"/>
        <v>1.09E-2</v>
      </c>
      <c r="AG6" s="3775">
        <f>ROUND(AVERAGE(K6:K$36)/100,4)</f>
        <v>1.89E-2</v>
      </c>
      <c r="AH6" s="3775">
        <f>ROUND(AVERAGE(L6:L$36)/100,4)</f>
        <v>1.26E-2</v>
      </c>
    </row>
    <row r="7" spans="1:34" s="3779" customFormat="1">
      <c r="A7" s="3769" t="s">
        <v>2995</v>
      </c>
      <c r="B7" s="3770">
        <f t="shared" si="2"/>
        <v>502.50893609650217</v>
      </c>
      <c r="C7" s="3770">
        <f t="shared" si="2"/>
        <v>350.27569313914915</v>
      </c>
      <c r="D7" s="3770">
        <f t="shared" si="3"/>
        <v>350.27569313914915</v>
      </c>
      <c r="E7" s="3770">
        <f t="shared" si="4"/>
        <v>725.27220201394141</v>
      </c>
      <c r="F7" s="3770">
        <f t="shared" si="4"/>
        <v>332.45017846012797</v>
      </c>
      <c r="G7" s="3761">
        <v>2021</v>
      </c>
      <c r="H7" s="3771">
        <v>2</v>
      </c>
      <c r="I7" s="3771">
        <v>0.92</v>
      </c>
      <c r="J7" s="3771">
        <v>0.72</v>
      </c>
      <c r="K7" s="3771">
        <v>0.95</v>
      </c>
      <c r="L7" s="3772">
        <v>1.01</v>
      </c>
      <c r="M7" s="3773"/>
      <c r="N7" s="3774">
        <f t="shared" si="5"/>
        <v>9.1999999999999998E-3</v>
      </c>
      <c r="O7" s="3775">
        <f t="shared" si="5"/>
        <v>7.1999999999999998E-3</v>
      </c>
      <c r="P7" s="3775">
        <f t="shared" si="5"/>
        <v>9.4999999999999998E-3</v>
      </c>
      <c r="Q7" s="3775">
        <f t="shared" si="5"/>
        <v>1.01E-2</v>
      </c>
      <c r="R7" s="3776"/>
      <c r="S7" s="3777"/>
      <c r="T7" s="3778"/>
      <c r="U7" s="3778"/>
      <c r="V7" s="3778"/>
      <c r="W7" s="3773"/>
      <c r="X7" s="3773">
        <f>ROUND(SUMPRODUCT(PRODUCT(1+N7:N$36)),4)</f>
        <v>1.6825000000000001</v>
      </c>
      <c r="Y7" s="3773">
        <f>ROUND(SUMPRODUCT(PRODUCT(1+O7:O$36)),4)</f>
        <v>1.3906000000000001</v>
      </c>
      <c r="Z7" s="3773">
        <f t="shared" si="6"/>
        <v>1.3906000000000001</v>
      </c>
      <c r="AA7" s="3773">
        <f>ROUND(SUMPRODUCT(PRODUCT(1+P7:P$36)),4)</f>
        <v>1.7712000000000001</v>
      </c>
      <c r="AB7" s="3773">
        <f>ROUND(SUMPRODUCT(PRODUCT(1+Q7:Q$36)),4)</f>
        <v>1.4657</v>
      </c>
      <c r="AC7" s="3773"/>
      <c r="AD7" s="3775">
        <f>ROUND(AVERAGE(I7:I$36)/100,4)</f>
        <v>1.7600000000000001E-2</v>
      </c>
      <c r="AE7" s="3775">
        <f>ROUND(AVERAGE(J7:J$36)/100,4)</f>
        <v>1.11E-2</v>
      </c>
      <c r="AF7" s="3775">
        <f t="shared" si="7"/>
        <v>1.11E-2</v>
      </c>
      <c r="AG7" s="3775">
        <f>ROUND(AVERAGE(K7:K$36)/100,4)</f>
        <v>1.9400000000000001E-2</v>
      </c>
      <c r="AH7" s="3775">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53">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53"/>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53"/>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54"/>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52">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53"/>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53"/>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54"/>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52">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53"/>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53"/>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6"/>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5">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53"/>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53"/>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6"/>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5">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53"/>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53"/>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6"/>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60">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61"/>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61"/>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62"/>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5">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53"/>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53"/>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6"/>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5">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53">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53">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6">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5">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53">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53">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6">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5">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53">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53">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6">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5">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53">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53">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6">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5">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53">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53">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6">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5">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53">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53">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6">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5">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53">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53">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6">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5">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53">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53">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6">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5">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53">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53">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6">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5">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53">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53">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6">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64" t="s">
        <v>2442</v>
      </c>
      <c r="C8" s="1738">
        <f ca="1">ROUND(F8*F10*F9*(1-F11)/10000,0)</f>
        <v>0</v>
      </c>
      <c r="D8" s="1735" t="s">
        <v>2513</v>
      </c>
      <c r="E8" s="60" t="s">
        <v>629</v>
      </c>
      <c r="F8" s="773">
        <f ca="1">INDIRECT("'数据-取费表'!u"&amp;$G$1)</f>
        <v>0</v>
      </c>
      <c r="G8" s="1525"/>
      <c r="H8" s="2355" t="s">
        <v>1812</v>
      </c>
      <c r="I8" s="4064" t="s">
        <v>2442</v>
      </c>
      <c r="J8" s="771">
        <f ca="1">ROUND(M8*M10*M9*(1-M11)/10000,0)</f>
        <v>0</v>
      </c>
      <c r="K8" s="337" t="s">
        <v>2513</v>
      </c>
      <c r="L8" s="772" t="s">
        <v>1726</v>
      </c>
      <c r="M8" s="773">
        <f ca="1">INDIRECT("'数据-取费表'!z"&amp;$G$1)</f>
        <v>0</v>
      </c>
    </row>
    <row r="9" spans="1:25" ht="18" customHeight="1">
      <c r="A9" s="2351"/>
      <c r="B9" s="4065"/>
      <c r="C9" s="1739"/>
      <c r="D9" s="1736"/>
      <c r="E9" s="60" t="s">
        <v>630</v>
      </c>
      <c r="F9" s="773">
        <f ca="1">IF(INDIRECT("'数据-取费表'!ah"&amp;$G$1)="",INDIRECT("'数据-取费表'!k"&amp;$G$1),INDIRECT("'数据-取费表'!ah"&amp;$G$1))</f>
        <v>0</v>
      </c>
      <c r="G9" s="1525"/>
      <c r="H9" s="2340"/>
      <c r="I9" s="4065"/>
      <c r="J9" s="776"/>
      <c r="K9" s="777"/>
      <c r="L9" s="772" t="s">
        <v>1727</v>
      </c>
      <c r="M9" s="773">
        <f ca="1">F9</f>
        <v>0</v>
      </c>
    </row>
    <row r="10" spans="1:25" ht="18" customHeight="1">
      <c r="A10" s="2344"/>
      <c r="B10" s="4066"/>
      <c r="C10" s="1739"/>
      <c r="D10" s="1736"/>
      <c r="E10" s="60" t="s">
        <v>631</v>
      </c>
      <c r="F10" s="773">
        <f ca="1">INDIRECT("'数据-取费表'!ai"&amp;$G$1)</f>
        <v>0</v>
      </c>
      <c r="G10" s="1525"/>
      <c r="H10" s="2340"/>
      <c r="I10" s="4066"/>
      <c r="J10" s="776"/>
      <c r="K10" s="777"/>
      <c r="L10" s="772" t="s">
        <v>1728</v>
      </c>
      <c r="M10" s="773">
        <f ca="1">INDIRECT("'数据-取费表'!ai"&amp;$G$1)</f>
        <v>0</v>
      </c>
    </row>
    <row r="11" spans="1:25" ht="18" customHeight="1">
      <c r="A11" s="774"/>
      <c r="B11" s="4067"/>
      <c r="C11" s="1739"/>
      <c r="D11" s="1736"/>
      <c r="E11" s="60" t="s">
        <v>632</v>
      </c>
      <c r="F11" s="782">
        <f ca="1">INDIRECT("'数据-取费表'!w"&amp;$G$1)</f>
        <v>0</v>
      </c>
      <c r="G11" s="1525"/>
      <c r="H11" s="2356"/>
      <c r="I11" s="4066"/>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63"/>
      <c r="J36" s="1960"/>
      <c r="K36" s="1961"/>
      <c r="L36" s="1960"/>
      <c r="M36" s="1960"/>
    </row>
    <row r="37" spans="1:18" ht="18" customHeight="1">
      <c r="A37" s="802"/>
      <c r="B37" s="781"/>
      <c r="C37" s="68"/>
      <c r="D37" s="803"/>
      <c r="E37" s="772" t="s">
        <v>666</v>
      </c>
      <c r="F37" s="773">
        <f ca="1">INDIRECT("'数据-取费表'!r"&amp;$G$1)</f>
        <v>0</v>
      </c>
      <c r="G37" s="1943"/>
      <c r="H37" s="1946"/>
      <c r="I37" s="4063"/>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8"/>
      <c r="L54" s="4069"/>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99" priority="6">
      <formula>$F$12="自定义"</formula>
    </cfRule>
  </conditionalFormatting>
  <conditionalFormatting sqref="J13">
    <cfRule type="expression" dxfId="198" priority="5">
      <formula>$M$10="自定义"</formula>
    </cfRule>
  </conditionalFormatting>
  <conditionalFormatting sqref="K56">
    <cfRule type="expression" dxfId="197" priority="3">
      <formula>$L$48&gt;$J$51</formula>
    </cfRule>
  </conditionalFormatting>
  <conditionalFormatting sqref="I56">
    <cfRule type="expression" dxfId="196" priority="4">
      <formula>$J$51&gt;$L$48</formula>
    </cfRule>
  </conditionalFormatting>
  <conditionalFormatting sqref="I61">
    <cfRule type="expression" dxfId="195" priority="2">
      <formula>$J$51&gt;$L$48</formula>
    </cfRule>
  </conditionalFormatting>
  <conditionalFormatting sqref="K61">
    <cfRule type="expression" dxfId="1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70" t="s">
        <v>2450</v>
      </c>
      <c r="B1" s="4071"/>
      <c r="C1" s="4072"/>
      <c r="D1" s="4073">
        <f>SUM(I10,I15,I20,I21,I23)</f>
        <v>0</v>
      </c>
      <c r="E1" s="4073"/>
      <c r="F1" s="4073"/>
      <c r="G1" s="4073"/>
      <c r="H1" s="4073"/>
      <c r="I1" s="4074"/>
    </row>
    <row r="2" spans="1:9">
      <c r="A2" s="4075" t="s">
        <v>2451</v>
      </c>
      <c r="B2" s="4076" t="s">
        <v>2452</v>
      </c>
      <c r="C2" s="4076"/>
      <c r="D2" s="2358" t="s">
        <v>2453</v>
      </c>
      <c r="E2" s="2358" t="s">
        <v>2454</v>
      </c>
      <c r="F2" s="2358" t="s">
        <v>2455</v>
      </c>
      <c r="G2" s="2358" t="s">
        <v>2456</v>
      </c>
      <c r="H2" s="2358" t="s">
        <v>2457</v>
      </c>
      <c r="I2" s="2359" t="s">
        <v>2458</v>
      </c>
    </row>
    <row r="3" spans="1:9">
      <c r="A3" s="4075"/>
      <c r="B3" s="4076" t="s">
        <v>2459</v>
      </c>
      <c r="C3" s="4076"/>
      <c r="D3" s="2360"/>
      <c r="E3" s="2358"/>
      <c r="F3" s="2361"/>
      <c r="G3" s="2361"/>
      <c r="H3" s="2362"/>
      <c r="I3" s="2363">
        <f>ROUND(D3*E3*F3*G3*H3/10000,0)</f>
        <v>0</v>
      </c>
    </row>
    <row r="4" spans="1:9">
      <c r="A4" s="4075"/>
      <c r="B4" s="4076" t="s">
        <v>2460</v>
      </c>
      <c r="C4" s="4076"/>
      <c r="D4" s="2360"/>
      <c r="E4" s="2358"/>
      <c r="F4" s="2361"/>
      <c r="G4" s="2361"/>
      <c r="H4" s="2362"/>
      <c r="I4" s="2363">
        <f t="shared" ref="I4:I9" si="0">ROUND(D4*E4*F4*G4*H4/10000,0)</f>
        <v>0</v>
      </c>
    </row>
    <row r="5" spans="1:9">
      <c r="A5" s="4075"/>
      <c r="B5" s="4076" t="s">
        <v>2461</v>
      </c>
      <c r="C5" s="4076"/>
      <c r="D5" s="2360"/>
      <c r="E5" s="2358"/>
      <c r="F5" s="2361"/>
      <c r="G5" s="2361"/>
      <c r="H5" s="2362"/>
      <c r="I5" s="2363">
        <f t="shared" si="0"/>
        <v>0</v>
      </c>
    </row>
    <row r="6" spans="1:9">
      <c r="A6" s="4075"/>
      <c r="B6" s="4076" t="s">
        <v>2462</v>
      </c>
      <c r="C6" s="4076"/>
      <c r="D6" s="2360"/>
      <c r="E6" s="2358"/>
      <c r="F6" s="2361"/>
      <c r="G6" s="2361"/>
      <c r="H6" s="2362"/>
      <c r="I6" s="2363">
        <f t="shared" si="0"/>
        <v>0</v>
      </c>
    </row>
    <row r="7" spans="1:9">
      <c r="A7" s="4075"/>
      <c r="B7" s="4076" t="s">
        <v>2463</v>
      </c>
      <c r="C7" s="4076"/>
      <c r="D7" s="2360"/>
      <c r="E7" s="2358"/>
      <c r="F7" s="2361"/>
      <c r="G7" s="2361"/>
      <c r="H7" s="2362"/>
      <c r="I7" s="2363">
        <f t="shared" si="0"/>
        <v>0</v>
      </c>
    </row>
    <row r="8" spans="1:9">
      <c r="A8" s="4075"/>
      <c r="B8" s="4076" t="s">
        <v>2464</v>
      </c>
      <c r="C8" s="4076"/>
      <c r="D8" s="2360"/>
      <c r="E8" s="2358"/>
      <c r="F8" s="2361"/>
      <c r="G8" s="2361"/>
      <c r="H8" s="2362"/>
      <c r="I8" s="2363">
        <f t="shared" si="0"/>
        <v>0</v>
      </c>
    </row>
    <row r="9" spans="1:9">
      <c r="A9" s="4075"/>
      <c r="B9" s="4076" t="s">
        <v>2465</v>
      </c>
      <c r="C9" s="4076"/>
      <c r="D9" s="2360"/>
      <c r="E9" s="2358"/>
      <c r="F9" s="2361"/>
      <c r="G9" s="2361"/>
      <c r="H9" s="2362"/>
      <c r="I9" s="2363">
        <f t="shared" si="0"/>
        <v>0</v>
      </c>
    </row>
    <row r="10" spans="1:9">
      <c r="A10" s="4075"/>
      <c r="B10" s="4077" t="s">
        <v>2466</v>
      </c>
      <c r="C10" s="4077"/>
      <c r="D10" s="2364">
        <v>527</v>
      </c>
      <c r="E10" s="2364" t="e">
        <f>ROUND(D1*10000/D10/H9,0)</f>
        <v>#DIV/0!</v>
      </c>
      <c r="F10" s="2365"/>
      <c r="G10" s="2365"/>
      <c r="H10" s="2366"/>
      <c r="I10" s="2367">
        <f>SUM(I3:I9)</f>
        <v>0</v>
      </c>
    </row>
    <row r="11" spans="1:9" ht="14.25">
      <c r="A11" s="4075" t="s">
        <v>2467</v>
      </c>
      <c r="B11" s="4076" t="s">
        <v>2468</v>
      </c>
      <c r="C11" s="4076"/>
      <c r="D11" s="2360" t="s">
        <v>2469</v>
      </c>
      <c r="E11" s="2360" t="s">
        <v>2470</v>
      </c>
      <c r="F11" s="2361" t="s">
        <v>2471</v>
      </c>
      <c r="G11" s="2361" t="s">
        <v>2472</v>
      </c>
      <c r="H11" s="2368" t="s">
        <v>2473</v>
      </c>
      <c r="I11" s="2359" t="s">
        <v>2474</v>
      </c>
    </row>
    <row r="12" spans="1:9">
      <c r="A12" s="4075"/>
      <c r="B12" s="4076" t="s">
        <v>2475</v>
      </c>
      <c r="C12" s="4076"/>
      <c r="D12" s="2360"/>
      <c r="E12" s="2360"/>
      <c r="F12" s="2361"/>
      <c r="G12" s="2362"/>
      <c r="H12" s="2369"/>
      <c r="I12" s="2359">
        <f>ROUND(D12*E12*F12*G12/10000,0)</f>
        <v>0</v>
      </c>
    </row>
    <row r="13" spans="1:9">
      <c r="A13" s="4075"/>
      <c r="B13" s="4076" t="s">
        <v>2476</v>
      </c>
      <c r="C13" s="4076"/>
      <c r="D13" s="2360"/>
      <c r="E13" s="2360"/>
      <c r="F13" s="2361"/>
      <c r="G13" s="2362"/>
      <c r="H13" s="2369"/>
      <c r="I13" s="2359">
        <f>ROUND(D13*E13*F13*G13/10000,0)</f>
        <v>0</v>
      </c>
    </row>
    <row r="14" spans="1:9">
      <c r="A14" s="4075"/>
      <c r="B14" s="4076" t="s">
        <v>2477</v>
      </c>
      <c r="C14" s="4076"/>
      <c r="D14" s="2360"/>
      <c r="E14" s="2360"/>
      <c r="F14" s="2361"/>
      <c r="G14" s="2362"/>
      <c r="H14" s="2369"/>
      <c r="I14" s="2359">
        <f>ROUND(D14*E14*F14*G14/10000,0)</f>
        <v>0</v>
      </c>
    </row>
    <row r="15" spans="1:9">
      <c r="A15" s="4075"/>
      <c r="B15" s="4077" t="s">
        <v>2466</v>
      </c>
      <c r="C15" s="4077"/>
      <c r="D15" s="2364"/>
      <c r="E15" s="2364">
        <f>SUM(E12:E14)</f>
        <v>0</v>
      </c>
      <c r="F15" s="2365"/>
      <c r="G15" s="2362"/>
      <c r="H15" s="2369"/>
      <c r="I15" s="2370">
        <f>SUM(I12:I14)</f>
        <v>0</v>
      </c>
    </row>
    <row r="16" spans="1:9" ht="24">
      <c r="A16" s="4075" t="s">
        <v>2478</v>
      </c>
      <c r="B16" s="4076" t="s">
        <v>2479</v>
      </c>
      <c r="C16" s="4076"/>
      <c r="D16" s="2360" t="s">
        <v>2480</v>
      </c>
      <c r="E16" s="2371" t="s">
        <v>2481</v>
      </c>
      <c r="F16" s="2361" t="s">
        <v>2482</v>
      </c>
      <c r="G16" s="2362" t="s">
        <v>2472</v>
      </c>
      <c r="H16" s="2368" t="s">
        <v>2473</v>
      </c>
      <c r="I16" s="2359" t="s">
        <v>2474</v>
      </c>
    </row>
    <row r="17" spans="1:9" ht="14.25">
      <c r="A17" s="4075"/>
      <c r="B17" s="4076" t="s">
        <v>2483</v>
      </c>
      <c r="C17" s="4076"/>
      <c r="D17" s="2360"/>
      <c r="E17" s="2360"/>
      <c r="F17" s="2361"/>
      <c r="G17" s="2362"/>
      <c r="H17" s="2372"/>
      <c r="I17" s="2373">
        <f>ROUND(D17*E17*F17*G17/10000,0)</f>
        <v>0</v>
      </c>
    </row>
    <row r="18" spans="1:9" ht="14.25">
      <c r="A18" s="4075"/>
      <c r="B18" s="4076" t="s">
        <v>2484</v>
      </c>
      <c r="C18" s="4076"/>
      <c r="D18" s="2360"/>
      <c r="E18" s="2360"/>
      <c r="F18" s="2361"/>
      <c r="G18" s="2362"/>
      <c r="H18" s="2372"/>
      <c r="I18" s="2373">
        <f>ROUND(D18*E18*F18*G18/10000,0)</f>
        <v>0</v>
      </c>
    </row>
    <row r="19" spans="1:9" ht="14.25">
      <c r="A19" s="4075"/>
      <c r="B19" s="4076" t="s">
        <v>2485</v>
      </c>
      <c r="C19" s="4076"/>
      <c r="D19" s="2360"/>
      <c r="E19" s="2360"/>
      <c r="F19" s="2361"/>
      <c r="G19" s="2362"/>
      <c r="H19" s="2372"/>
      <c r="I19" s="2373">
        <f>ROUND(D19*E19*F19*G19/10000,0)</f>
        <v>0</v>
      </c>
    </row>
    <row r="20" spans="1:9">
      <c r="A20" s="4075"/>
      <c r="B20" s="4077" t="s">
        <v>2466</v>
      </c>
      <c r="C20" s="4077"/>
      <c r="D20" s="2364">
        <f>SUM(D17:D19)</f>
        <v>0</v>
      </c>
      <c r="E20" s="2364"/>
      <c r="F20" s="2365"/>
      <c r="G20" s="2362"/>
      <c r="H20" s="2369"/>
      <c r="I20" s="2370">
        <f>SUM(I17:I19)</f>
        <v>0</v>
      </c>
    </row>
    <row r="21" spans="1:9">
      <c r="A21" s="4075" t="s">
        <v>2486</v>
      </c>
      <c r="B21" s="4079"/>
      <c r="C21" s="4079"/>
      <c r="D21" s="4079"/>
      <c r="E21" s="4079"/>
      <c r="F21" s="4079"/>
      <c r="G21" s="4079"/>
      <c r="H21" s="2374">
        <v>0.1</v>
      </c>
      <c r="I21" s="2367">
        <f>ROUND(I10*H21,0)</f>
        <v>0</v>
      </c>
    </row>
    <row r="22" spans="1:9" ht="14.25">
      <c r="A22" s="4080" t="s">
        <v>2487</v>
      </c>
      <c r="B22" s="4081"/>
      <c r="C22" s="4082"/>
      <c r="D22" s="2375" t="s">
        <v>2488</v>
      </c>
      <c r="E22" s="2375" t="s">
        <v>2489</v>
      </c>
      <c r="F22" s="2376" t="s">
        <v>2490</v>
      </c>
      <c r="G22" s="2376" t="s">
        <v>2491</v>
      </c>
      <c r="H22" s="2368" t="s">
        <v>2492</v>
      </c>
      <c r="I22" s="2359" t="s">
        <v>2493</v>
      </c>
    </row>
    <row r="23" spans="1:9" ht="14.25" thickBot="1">
      <c r="A23" s="4083"/>
      <c r="B23" s="4084"/>
      <c r="C23" s="4085"/>
      <c r="D23" s="2377"/>
      <c r="E23" s="2377"/>
      <c r="F23" s="2377"/>
      <c r="G23" s="2378"/>
      <c r="H23" s="2379"/>
      <c r="I23" s="2380">
        <f>ROUND(E23*D23*F23*(1-G23)/10000,0)</f>
        <v>0</v>
      </c>
    </row>
    <row r="26" spans="1:9">
      <c r="A26" s="2381" t="s">
        <v>2494</v>
      </c>
      <c r="B26" s="2381"/>
      <c r="C26" s="2381"/>
      <c r="D26" s="2381"/>
      <c r="E26" s="4086">
        <f>C27-C30-C31-C32</f>
        <v>0</v>
      </c>
      <c r="F26" s="4086"/>
      <c r="G26" s="4086"/>
      <c r="H26" s="2754" t="s">
        <v>2820</v>
      </c>
    </row>
    <row r="27" spans="1:9">
      <c r="A27" s="2382">
        <v>1</v>
      </c>
      <c r="B27" s="2383" t="s">
        <v>2495</v>
      </c>
      <c r="C27" s="2383"/>
      <c r="D27" s="2383"/>
      <c r="E27" s="4087"/>
      <c r="F27" s="4087"/>
      <c r="G27" s="4087"/>
    </row>
    <row r="28" spans="1:9">
      <c r="A28" s="2384" t="s">
        <v>2496</v>
      </c>
      <c r="B28" s="2383" t="s">
        <v>2497</v>
      </c>
      <c r="C28" s="2383"/>
      <c r="D28" s="2383"/>
      <c r="E28" s="4087"/>
      <c r="F28" s="4087"/>
      <c r="G28" s="4087"/>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8"/>
      <c r="F32" s="4078"/>
      <c r="G32" s="4078"/>
    </row>
    <row r="33" spans="1:7" hidden="1">
      <c r="A33" s="4088" t="s">
        <v>2505</v>
      </c>
      <c r="B33" s="4089"/>
      <c r="C33" s="4089"/>
      <c r="D33" s="4090"/>
      <c r="E33" s="4086"/>
      <c r="F33" s="4086"/>
      <c r="G33" s="4086"/>
    </row>
    <row r="34" spans="1:7" hidden="1">
      <c r="A34" s="2386">
        <v>1</v>
      </c>
      <c r="B34" s="2383" t="s">
        <v>2506</v>
      </c>
      <c r="C34" s="2383"/>
      <c r="D34" s="2383"/>
      <c r="E34" s="4087"/>
      <c r="F34" s="4087"/>
      <c r="G34" s="4087"/>
    </row>
    <row r="35" spans="1:7" hidden="1">
      <c r="A35" s="2386">
        <v>2</v>
      </c>
      <c r="B35" s="2383" t="s">
        <v>2507</v>
      </c>
      <c r="C35" s="2383"/>
      <c r="D35" s="2383"/>
      <c r="E35" s="4087"/>
      <c r="F35" s="4087"/>
      <c r="G35" s="4087"/>
    </row>
    <row r="36" spans="1:7" hidden="1">
      <c r="A36" s="2386">
        <v>3</v>
      </c>
      <c r="B36" s="2383" t="s">
        <v>2508</v>
      </c>
      <c r="C36" s="2383"/>
      <c r="D36" s="2383"/>
      <c r="E36" s="4087"/>
      <c r="F36" s="4087"/>
      <c r="G36" s="4087"/>
    </row>
    <row r="37" spans="1:7" hidden="1">
      <c r="A37" s="2386">
        <v>4</v>
      </c>
      <c r="B37" s="2383" t="s">
        <v>2509</v>
      </c>
      <c r="C37" s="2383"/>
      <c r="D37" s="2383"/>
      <c r="E37" s="4087"/>
      <c r="F37" s="4087"/>
      <c r="G37" s="4087"/>
    </row>
    <row r="38" spans="1:7" hidden="1">
      <c r="A38" s="4088" t="s">
        <v>2510</v>
      </c>
      <c r="B38" s="4089"/>
      <c r="C38" s="4089"/>
      <c r="D38" s="4090"/>
      <c r="E38" s="4086"/>
      <c r="F38" s="4086"/>
      <c r="G38" s="40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2856</v>
      </c>
      <c r="D12" s="3258">
        <f>'数据-汇总表'!E5</f>
        <v>168000</v>
      </c>
      <c r="E12" s="3258">
        <f>'数据-取费表'!B27</f>
        <v>170</v>
      </c>
      <c r="F12" s="744"/>
      <c r="G12" s="747"/>
    </row>
    <row r="13" spans="1:25" s="2062" customFormat="1" ht="13.5" customHeight="1">
      <c r="A13" s="2327" t="s">
        <v>2427</v>
      </c>
      <c r="B13" s="745" t="s">
        <v>604</v>
      </c>
      <c r="C13" s="746">
        <f>ROUND(D13*E13/10000,0)</f>
        <v>12244</v>
      </c>
      <c r="D13" s="3258">
        <f>'数据-汇总表'!E6</f>
        <v>612200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O20" sqref="O2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476018</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15551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149660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9977</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997886</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'不动产比较法-商业'!C48</f>
        <v>32600</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306100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ROUND(C8*C9/10000,0)</f>
        <v>997886</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153050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4592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6122</v>
      </c>
      <c r="D16" s="2559">
        <f ca="1">IF(B1="",'数据-汇总表'!E3,INDIRECT("'数据-取费表'!K"&amp;$K$1)+INDIRECT("'数据-取费表'!S"&amp;$K$1))</f>
        <v>306100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2296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166060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459</v>
      </c>
      <c r="D19" s="2569">
        <f ca="1">D16</f>
        <v>306100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6122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6122</v>
      </c>
      <c r="D22" s="2559">
        <f ca="1">IF(B1="",'数据-汇总表'!E6,IF(INDIRECT("'数据-取费表'!c"&amp;$K$1)="住宅",INDIRECT("'数据-取费表'!s"&amp;$K$1),INDIRECT("'数据-取费表'!k"&amp;$K$1)+INDIRECT("'数据-取费表'!s"&amp;$K$1)))</f>
        <v>306100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3453</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19958</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14133</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14133</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52270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262455</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262455</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49013</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49013</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476018</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15551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Normal="80" zoomScaleSheetLayoutView="10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438518</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14326</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137870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9191</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904128</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'不动产比较法-办公'!C49</f>
        <v>29537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306100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ROUND(C8*C9/10000,0)</f>
        <v>904128</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153050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4592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6122</v>
      </c>
      <c r="D16" s="2559">
        <f ca="1">IF(B1="",'数据-汇总表'!E3,INDIRECT("'数据-取费表'!K"&amp;$K$1)+INDIRECT("'数据-取费表'!S"&amp;$K$1))</f>
        <v>306100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2296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166060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459</v>
      </c>
      <c r="D19" s="2569">
        <f ca="1">D16</f>
        <v>306100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6122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6122</v>
      </c>
      <c r="D22" s="2559">
        <f ca="1">IF(B1="",'数据-汇总表'!E6,IF(INDIRECT("'数据-取费表'!c"&amp;$K$1)="住宅",INDIRECT("'数据-取费表'!s"&amp;$K$1),INDIRECT("'数据-取费表'!k"&amp;$K$1)+INDIRECT("'数据-取费表'!s"&amp;$K$1)))</f>
        <v>306100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3453</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18083</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13998</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13998</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47359</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255534</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255534</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38835</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38835</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438518</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14326</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81070.11平方米。根据《建设工程规划许可证》[]、《出让合同》[]，估价对象规划建筑面积为780200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根据《国有土地使用证》[]，估价对象（分摊）出让国有建设用地使用权面积为81070.11平方米。根据《建设工程规划许可证》[]、《出让合同》[]，估价对象规划建筑面积为780200平方米。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10" zoomScaleNormal="80" zoomScaleSheetLayoutView="10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3228</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361842</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21538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207279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13819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799579</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3228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'不动产比较法-商务办公'!C50</f>
        <v>47594</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SUMIF('数据-汇总表'!$C19:$C33,剩余法商务公寓!C7,'数据-汇总表'!$E19:$E33)</f>
        <v>168000</v>
      </c>
      <c r="D9" s="433">
        <f>SUMIF('数据-汇总表'!$C19:$C33,剩余法商务公寓!D7,'数据-汇总表'!$E19:$E33)</f>
        <v>0</v>
      </c>
      <c r="E9" s="433">
        <f>SUMIF('数据-汇总表'!$C19:$C33,剩余法商务公寓!E7,'数据-汇总表'!$E19:$E33)</f>
        <v>0</v>
      </c>
      <c r="F9" s="433">
        <f>SUMIF('数据-汇总表'!$C19:$C33,剩余法商务公寓!F7,'数据-汇总表'!$E19:$E33)</f>
        <v>0</v>
      </c>
      <c r="G9" s="433">
        <f>SUMIF('数据-汇总表'!$C19:$C33,剩余法商务公寓!G7,'数据-汇总表'!$E19:$E33)</f>
        <v>0</v>
      </c>
      <c r="H9" s="433">
        <f>SUMIF('数据-汇总表'!$C19:$C33,剩余法商务公寓!H7,'数据-汇总表'!$E19:$E33)</f>
        <v>0</v>
      </c>
      <c r="I9" s="433">
        <f>SUMIF('数据-汇总表'!$C19:$C33,剩余法商务公寓!I7,'数据-汇总表'!$E19:$E33)</f>
        <v>0</v>
      </c>
      <c r="J9" s="433">
        <f>SUMIF('数据-汇总表'!$C19:$C33,剩余法商务公寓!J7,'数据-汇总表'!$E19:$E33)</f>
        <v>0</v>
      </c>
      <c r="K9" s="434">
        <f>SUMIF('数据-汇总表'!$C19:$C33,剩余法商务公寓!K7,'数据-汇总表'!$E19:$E33)</f>
        <v>0</v>
      </c>
      <c r="AA9" s="1994"/>
      <c r="AB9" s="1994"/>
      <c r="AC9" s="1994"/>
      <c r="AD9" s="1994"/>
      <c r="AE9" s="1994"/>
    </row>
    <row r="10" spans="1:31" s="1995" customFormat="1" ht="13.5" customHeight="1" thickBot="1">
      <c r="A10" s="2551" t="s">
        <v>1835</v>
      </c>
      <c r="B10" s="2537" t="s">
        <v>466</v>
      </c>
      <c r="C10" s="2740">
        <f>ROUND(C8*C9/10000,0)</f>
        <v>799579</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388" t="s">
        <v>468</v>
      </c>
      <c r="E12" s="3388" t="s">
        <v>469</v>
      </c>
      <c r="F12" s="3388"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100800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3024</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v>0</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3360</v>
      </c>
      <c r="D16" s="2559">
        <f ca="1">IF(B1="",'数据-汇总表'!E3,INDIRECT("'数据-取费表'!K"&amp;$K$1)+INDIRECT("'数据-取费表'!S"&amp;$K$1))</f>
        <v>168000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1512</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108696</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388">
        <f ca="1">ROUND(D19*E19/10000,0)</f>
        <v>252</v>
      </c>
      <c r="D19" s="2569">
        <f ca="1">D16</f>
        <v>168000</v>
      </c>
      <c r="E19" s="3388">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388">
        <f ca="1">C21+C22-IF(B1="",'数据-取费表'!B29,IF(G20="已全部缴纳",C21+C22,H20))</f>
        <v>3360</v>
      </c>
      <c r="D20" s="2569"/>
      <c r="E20" s="3388"/>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3360</v>
      </c>
      <c r="D22" s="2559">
        <f ca="1">IF(B1="",'数据-汇总表'!E6,IF(INDIRECT("'数据-取费表'!c"&amp;$K$1)="住宅",INDIRECT("'数据-取费表'!s"&amp;$K$1),INDIRECT("'数据-取费表'!k"&amp;$K$1)+INDIRECT("'数据-取费表'!s"&amp;$K$1)))</f>
        <v>168000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3369</v>
      </c>
      <c r="D23" s="460"/>
      <c r="E23" s="460"/>
      <c r="F23" s="3793">
        <v>0.03</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23987</v>
      </c>
      <c r="D24" s="467"/>
      <c r="E24" s="465"/>
      <c r="F24" s="3793">
        <v>0.03</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10068</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10068</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41883</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191615</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191615</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48882</v>
      </c>
      <c r="D33" s="459">
        <f ca="1">C34</f>
        <v>0.36070000000000002</v>
      </c>
      <c r="E33" s="461" t="s">
        <v>487</v>
      </c>
      <c r="F33" s="471">
        <f ca="1">IF(B1="",'数据-取费表'!Q16,INDIRECT("'数据-取费表'!q"&amp;$K$1))</f>
        <v>0.35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0.36070000000000002</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48882</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361842</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21538</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disablePrompts="1"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zoomScale="80" zoomScaleNormal="60" zoomScaleSheetLayoutView="80" workbookViewId="0">
      <selection activeCell="C49" sqref="C49"/>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1456852</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47594</v>
      </c>
      <c r="C3" s="3415" t="s">
        <v>3177</v>
      </c>
      <c r="D3" s="3416">
        <f>SUMIF('数据-汇总表'!$C19:$C33,D1,'数据-汇总表'!$E19:$E33)</f>
        <v>306100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098" t="s">
        <v>519</v>
      </c>
      <c r="Q4" s="4099"/>
      <c r="R4" s="4104" t="s">
        <v>515</v>
      </c>
      <c r="S4" s="4105"/>
      <c r="T4" s="4104" t="s">
        <v>516</v>
      </c>
      <c r="U4" s="4105"/>
      <c r="V4" s="4119" t="s">
        <v>517</v>
      </c>
      <c r="W4" s="4119"/>
      <c r="X4" s="3423"/>
      <c r="Y4" s="4104" t="s">
        <v>519</v>
      </c>
      <c r="Z4" s="4105"/>
      <c r="AA4" s="4091" t="s">
        <v>515</v>
      </c>
      <c r="AB4" s="4091" t="s">
        <v>516</v>
      </c>
      <c r="AC4" s="4091" t="s">
        <v>517</v>
      </c>
    </row>
    <row r="5" spans="1:29" ht="15">
      <c r="A5" s="3425"/>
      <c r="B5" s="3426"/>
      <c r="C5" s="4108" t="s">
        <v>2892</v>
      </c>
      <c r="D5" s="4109"/>
      <c r="E5" s="4110" t="str">
        <f>'公寓案例截图及地图 '!$A$2</f>
        <v>复地时代中心</v>
      </c>
      <c r="F5" s="4111"/>
      <c r="G5" s="4112" t="str">
        <f>'公寓案例截图及地图 '!$A$37</f>
        <v>通州富力中心</v>
      </c>
      <c r="H5" s="4109"/>
      <c r="I5" s="4108" t="str">
        <f>'公寓案例截图及地图 '!$A$73</f>
        <v>合景中心</v>
      </c>
      <c r="J5" s="4109"/>
      <c r="K5" s="3420"/>
      <c r="L5" s="3421"/>
      <c r="M5" s="3422"/>
      <c r="N5" s="3422"/>
      <c r="O5" s="3422"/>
      <c r="P5" s="4100"/>
      <c r="Q5" s="4101"/>
      <c r="R5" s="4106"/>
      <c r="S5" s="4107"/>
      <c r="T5" s="4106"/>
      <c r="U5" s="4107"/>
      <c r="V5" s="4119"/>
      <c r="W5" s="4119"/>
      <c r="X5" s="3423"/>
      <c r="Y5" s="4106"/>
      <c r="Z5" s="4107"/>
      <c r="AA5" s="4092"/>
      <c r="AB5" s="4092"/>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02"/>
      <c r="Q6" s="4103"/>
      <c r="R6" s="4106"/>
      <c r="S6" s="4107"/>
      <c r="T6" s="4117"/>
      <c r="U6" s="4118"/>
      <c r="V6" s="4119"/>
      <c r="W6" s="4119"/>
      <c r="X6" s="3423"/>
      <c r="Y6" s="4117"/>
      <c r="Z6" s="4118"/>
      <c r="AA6" s="4093"/>
      <c r="AB6" s="4093"/>
      <c r="AC6" s="4093"/>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20"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3066</v>
      </c>
      <c r="F8" s="3434">
        <f>SUMIF(62:62,E8,63:63)-SUMIF(62:62,C8,63:63)+100</f>
        <v>100</v>
      </c>
      <c r="G8" s="3445" t="s">
        <v>3066</v>
      </c>
      <c r="H8" s="3432">
        <f>SUMIF(62:62,G8,63:63)-SUMIF(62:62,C8,63:63)+100</f>
        <v>100</v>
      </c>
      <c r="I8" s="3445" t="s">
        <v>3066</v>
      </c>
      <c r="J8" s="3432">
        <f>SUMIF(62:62,I8,63:63)-SUMIF(62:62,C8,63:63)+100</f>
        <v>100</v>
      </c>
      <c r="K8" s="3435"/>
      <c r="L8" s="3436"/>
      <c r="M8" s="3437"/>
      <c r="N8" s="3437"/>
      <c r="O8" s="3437"/>
      <c r="P8" s="4120" t="s">
        <v>525</v>
      </c>
      <c r="Q8" s="4121"/>
      <c r="R8" s="3438" t="s">
        <v>8</v>
      </c>
      <c r="S8" s="3439">
        <f t="shared" si="0"/>
        <v>100</v>
      </c>
      <c r="T8" s="3438" t="s">
        <v>8</v>
      </c>
      <c r="U8" s="3439">
        <f t="shared" si="1"/>
        <v>100</v>
      </c>
      <c r="V8" s="3438" t="s">
        <v>8</v>
      </c>
      <c r="W8" s="3439">
        <f t="shared" si="2"/>
        <v>100</v>
      </c>
      <c r="X8" s="3440"/>
      <c r="Y8" s="4122" t="s">
        <v>525</v>
      </c>
      <c r="Z8" s="4121"/>
      <c r="AA8" s="3441">
        <f t="shared" ref="AA8:AA47" si="3">D8/F8</f>
        <v>1</v>
      </c>
      <c r="AB8" s="3441">
        <f t="shared" ref="AB8:AB47" si="4">D8/H8</f>
        <v>1</v>
      </c>
      <c r="AC8" s="3441">
        <f t="shared" ref="AC8:AC47" si="5">D8/J8</f>
        <v>1</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99.5</v>
      </c>
      <c r="G10" s="3457" t="s">
        <v>3130</v>
      </c>
      <c r="H10" s="3456">
        <f>SUMIF(66:66,G10,67:67)-SUMIF(66:66,C10,67:67)+100</f>
        <v>100</v>
      </c>
      <c r="I10" s="3455" t="s">
        <v>3124</v>
      </c>
      <c r="J10" s="3456">
        <f>SUMIF(66:66,I10,67:67)-SUMIF(66:66,C10,67:67)+100</f>
        <v>99.5</v>
      </c>
      <c r="K10" s="3458">
        <v>0.5</v>
      </c>
      <c r="L10" s="3459"/>
      <c r="M10" s="3460"/>
      <c r="N10" s="3460"/>
      <c r="O10" s="3460"/>
      <c r="P10" s="4123"/>
      <c r="Q10" s="3453" t="str">
        <f t="shared" si="6"/>
        <v>土地使用年限（年）</v>
      </c>
      <c r="R10" s="3438" t="s">
        <v>8</v>
      </c>
      <c r="S10" s="3439">
        <f t="shared" si="0"/>
        <v>99.5</v>
      </c>
      <c r="T10" s="3438" t="s">
        <v>8</v>
      </c>
      <c r="U10" s="3439">
        <f t="shared" si="1"/>
        <v>100</v>
      </c>
      <c r="V10" s="3438" t="s">
        <v>8</v>
      </c>
      <c r="W10" s="3439">
        <f t="shared" si="2"/>
        <v>99.5</v>
      </c>
      <c r="X10" s="3440"/>
      <c r="Y10" s="4124"/>
      <c r="Z10" s="3441" t="str">
        <f t="shared" si="7"/>
        <v>土地使用年限（年）</v>
      </c>
      <c r="AA10" s="3441">
        <f t="shared" si="3"/>
        <v>1.0050251256281406</v>
      </c>
      <c r="AB10" s="3441">
        <f t="shared" si="4"/>
        <v>1</v>
      </c>
      <c r="AC10" s="3441">
        <f t="shared" si="5"/>
        <v>1.0050251256281406</v>
      </c>
    </row>
    <row r="11" spans="1:29" ht="15">
      <c r="A11" s="3463"/>
      <c r="B11" s="3444" t="s">
        <v>2736</v>
      </c>
      <c r="C11" s="3464">
        <f>'[2]4个单元汇总表'!$L$6</f>
        <v>5.79</v>
      </c>
      <c r="D11" s="3456">
        <v>100</v>
      </c>
      <c r="E11" s="3464">
        <v>1.8</v>
      </c>
      <c r="F11" s="3456">
        <f>LOOKUP(E11,69:69,70:70)-LOOKUP(C11,69:69,70:70)+100</f>
        <v>100.39999999999998</v>
      </c>
      <c r="G11" s="3465">
        <v>1.8</v>
      </c>
      <c r="H11" s="3456">
        <f>LOOKUP(G11,69:69,70:70)-LOOKUP(C11,69:69,70:70)+100</f>
        <v>100.39999999999998</v>
      </c>
      <c r="I11" s="3464">
        <v>1.8</v>
      </c>
      <c r="J11" s="3456">
        <f>LOOKUP(I11,69:69,70:70)-LOOKUP(C11,69:69,70:70)+100</f>
        <v>100.39999999999998</v>
      </c>
      <c r="K11" s="3458">
        <v>0.1</v>
      </c>
      <c r="L11" s="3466"/>
      <c r="M11" s="3422"/>
      <c r="N11" s="3422"/>
      <c r="O11" s="3422"/>
      <c r="P11" s="4123"/>
      <c r="Q11" s="3453" t="str">
        <f t="shared" si="6"/>
        <v>容积率</v>
      </c>
      <c r="R11" s="3438" t="s">
        <v>8</v>
      </c>
      <c r="S11" s="3439">
        <f t="shared" si="0"/>
        <v>100.39999999999998</v>
      </c>
      <c r="T11" s="3438" t="s">
        <v>8</v>
      </c>
      <c r="U11" s="3439">
        <f t="shared" si="1"/>
        <v>100.39999999999998</v>
      </c>
      <c r="V11" s="3438" t="s">
        <v>8</v>
      </c>
      <c r="W11" s="3439">
        <f t="shared" si="2"/>
        <v>100.39999999999998</v>
      </c>
      <c r="X11" s="3440"/>
      <c r="Y11" s="4124"/>
      <c r="Z11" s="3441" t="str">
        <f t="shared" si="7"/>
        <v>容积率</v>
      </c>
      <c r="AA11" s="3441">
        <f t="shared" si="3"/>
        <v>0.99601593625498031</v>
      </c>
      <c r="AB11" s="3441">
        <f t="shared" si="4"/>
        <v>0.99601593625498031</v>
      </c>
      <c r="AC11" s="3441">
        <f t="shared" si="5"/>
        <v>0.99601593625498031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97</v>
      </c>
      <c r="G15" s="3485"/>
      <c r="H15" s="3484">
        <f>SUMIF(77:77,G16,78:78)-SUMIF(77:77,C16,78:78)+100</f>
        <v>97</v>
      </c>
      <c r="I15" s="3485"/>
      <c r="J15" s="3484">
        <f>SUMIF(77:77,I16,78:78)-SUMIF(77:77,C16,78:78)+100</f>
        <v>97</v>
      </c>
      <c r="K15" s="3488">
        <v>3</v>
      </c>
      <c r="L15" s="3476"/>
      <c r="M15" s="3422"/>
      <c r="N15" s="3422"/>
      <c r="O15" s="3422"/>
      <c r="P15" s="4125" t="s">
        <v>532</v>
      </c>
      <c r="Q15" s="3489" t="str">
        <f t="shared" si="6"/>
        <v>办公集聚程度</v>
      </c>
      <c r="R15" s="3490" t="s">
        <v>8</v>
      </c>
      <c r="S15" s="3491">
        <f t="shared" si="0"/>
        <v>97</v>
      </c>
      <c r="T15" s="3490" t="s">
        <v>8</v>
      </c>
      <c r="U15" s="3491">
        <f t="shared" si="1"/>
        <v>97</v>
      </c>
      <c r="V15" s="3490" t="s">
        <v>8</v>
      </c>
      <c r="W15" s="3491">
        <f t="shared" si="2"/>
        <v>97</v>
      </c>
      <c r="X15" s="3423"/>
      <c r="Y15" s="4125" t="s">
        <v>532</v>
      </c>
      <c r="Z15" s="3492" t="str">
        <f t="shared" si="7"/>
        <v>办公集聚程度</v>
      </c>
      <c r="AA15" s="3492">
        <f t="shared" si="3"/>
        <v>1.0309278350515463</v>
      </c>
      <c r="AB15" s="3492">
        <f t="shared" si="4"/>
        <v>1.0309278350515463</v>
      </c>
      <c r="AC15" s="3492">
        <f t="shared" si="5"/>
        <v>1.0309278350515463</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26"/>
      <c r="Q16" s="3489"/>
      <c r="R16" s="3490"/>
      <c r="S16" s="3491"/>
      <c r="T16" s="3490"/>
      <c r="U16" s="3491"/>
      <c r="V16" s="3490"/>
      <c r="W16" s="3491"/>
      <c r="X16" s="3423"/>
      <c r="Y16" s="4126"/>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105</v>
      </c>
      <c r="G17" s="3502"/>
      <c r="H17" s="3505">
        <f>SUMIF(79:79,G18,80:80)-SUMIF(79:79,C18,80:80)+100</f>
        <v>110</v>
      </c>
      <c r="I17" s="3502"/>
      <c r="J17" s="3505">
        <f>SUMIF(79:79,I18,80:80)-SUMIF(79:79,C18,80:80)+100</f>
        <v>105</v>
      </c>
      <c r="K17" s="3488">
        <v>5</v>
      </c>
      <c r="L17" s="3476"/>
      <c r="M17" s="3422"/>
      <c r="N17" s="3422"/>
      <c r="O17" s="3422"/>
      <c r="P17" s="4126"/>
      <c r="Q17" s="3489" t="str">
        <f>B17</f>
        <v>交通便捷度</v>
      </c>
      <c r="R17" s="3490" t="s">
        <v>8</v>
      </c>
      <c r="S17" s="3491">
        <f>F17</f>
        <v>105</v>
      </c>
      <c r="T17" s="3490" t="s">
        <v>8</v>
      </c>
      <c r="U17" s="3491">
        <f>H17</f>
        <v>110</v>
      </c>
      <c r="V17" s="3490" t="s">
        <v>8</v>
      </c>
      <c r="W17" s="3491">
        <f>J17</f>
        <v>105</v>
      </c>
      <c r="X17" s="3423"/>
      <c r="Y17" s="4126"/>
      <c r="Z17" s="3492" t="str">
        <f>Q17</f>
        <v>交通便捷度</v>
      </c>
      <c r="AA17" s="3492">
        <f t="shared" si="3"/>
        <v>0.95238095238095233</v>
      </c>
      <c r="AB17" s="3492">
        <f t="shared" si="4"/>
        <v>0.90909090909090906</v>
      </c>
      <c r="AC17" s="3492">
        <f t="shared" si="5"/>
        <v>0.95238095238095233</v>
      </c>
    </row>
    <row r="18" spans="1:29" ht="15">
      <c r="A18" s="3493"/>
      <c r="B18" s="3526"/>
      <c r="C18" s="3729" t="s">
        <v>3070</v>
      </c>
      <c r="D18" s="3498"/>
      <c r="E18" s="3509" t="s">
        <v>3071</v>
      </c>
      <c r="F18" s="3498"/>
      <c r="G18" s="3508" t="s">
        <v>3077</v>
      </c>
      <c r="H18" s="3496"/>
      <c r="I18" s="3508" t="s">
        <v>3071</v>
      </c>
      <c r="J18" s="3496"/>
      <c r="K18" s="3499"/>
      <c r="L18" s="3476"/>
      <c r="M18" s="3422"/>
      <c r="N18" s="3422"/>
      <c r="O18" s="3422"/>
      <c r="P18" s="4126"/>
      <c r="Q18" s="3489"/>
      <c r="R18" s="3490"/>
      <c r="S18" s="3491"/>
      <c r="T18" s="3490"/>
      <c r="U18" s="3491"/>
      <c r="V18" s="3490"/>
      <c r="W18" s="3491"/>
      <c r="X18" s="3423"/>
      <c r="Y18" s="4126"/>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100</v>
      </c>
      <c r="G19" s="3511"/>
      <c r="H19" s="3498">
        <f>SUMIF(81:81,G20,82:82)-SUMIF(81:81,C20,82:82)+100</f>
        <v>100</v>
      </c>
      <c r="I19" s="3511"/>
      <c r="J19" s="3498">
        <f>SUMIF(81:81,I20,82:82)-SUMIF(81:81,C20,82:82)+100</f>
        <v>100</v>
      </c>
      <c r="K19" s="3488">
        <v>1</v>
      </c>
      <c r="L19" s="3476"/>
      <c r="M19" s="3422"/>
      <c r="N19" s="3422"/>
      <c r="O19" s="3422"/>
      <c r="P19" s="4126"/>
      <c r="Q19" s="3489" t="str">
        <f>B19</f>
        <v>公共配套设施</v>
      </c>
      <c r="R19" s="3490" t="s">
        <v>8</v>
      </c>
      <c r="S19" s="3491">
        <f>F19</f>
        <v>100</v>
      </c>
      <c r="T19" s="3490" t="s">
        <v>8</v>
      </c>
      <c r="U19" s="3491">
        <f>H19</f>
        <v>100</v>
      </c>
      <c r="V19" s="3490" t="s">
        <v>8</v>
      </c>
      <c r="W19" s="3491">
        <f>J19</f>
        <v>100</v>
      </c>
      <c r="X19" s="3423"/>
      <c r="Y19" s="4126"/>
      <c r="Z19" s="3492" t="str">
        <f>Q19</f>
        <v>公共配套设施</v>
      </c>
      <c r="AA19" s="3492">
        <f t="shared" si="3"/>
        <v>1</v>
      </c>
      <c r="AB19" s="3492">
        <f t="shared" si="4"/>
        <v>1</v>
      </c>
      <c r="AC19" s="3492">
        <f t="shared" si="5"/>
        <v>1</v>
      </c>
    </row>
    <row r="20" spans="1:29" ht="15">
      <c r="A20" s="3493"/>
      <c r="B20" s="3526"/>
      <c r="C20" s="3726" t="s">
        <v>3071</v>
      </c>
      <c r="D20" s="3496"/>
      <c r="E20" s="3515" t="s">
        <v>3071</v>
      </c>
      <c r="F20" s="3496"/>
      <c r="G20" s="3514" t="s">
        <v>3071</v>
      </c>
      <c r="H20" s="3496"/>
      <c r="I20" s="3514" t="s">
        <v>3071</v>
      </c>
      <c r="J20" s="3496"/>
      <c r="K20" s="3499"/>
      <c r="L20" s="3476"/>
      <c r="M20" s="3422"/>
      <c r="N20" s="3422"/>
      <c r="O20" s="3422"/>
      <c r="P20" s="4126"/>
      <c r="Q20" s="3489"/>
      <c r="R20" s="3490"/>
      <c r="S20" s="3491"/>
      <c r="T20" s="3490"/>
      <c r="U20" s="3491"/>
      <c r="V20" s="3490"/>
      <c r="W20" s="3491"/>
      <c r="X20" s="3423"/>
      <c r="Y20" s="4126"/>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26"/>
      <c r="Q22" s="3489"/>
      <c r="R22" s="3490"/>
      <c r="S22" s="3491"/>
      <c r="T22" s="3490"/>
      <c r="U22" s="3491"/>
      <c r="V22" s="3490"/>
      <c r="W22" s="3491"/>
      <c r="X22" s="3423"/>
      <c r="Y22" s="4126"/>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100</v>
      </c>
      <c r="G23" s="3502"/>
      <c r="H23" s="3498">
        <f>SUMIF(85:85,G24,86:86)-SUMIF(85:85,C24,86:86)+100</f>
        <v>99</v>
      </c>
      <c r="I23" s="3502"/>
      <c r="J23" s="3498">
        <f>SUMIF(85:85,I24,86:86)-SUMIF(85:85,C24,86:86)+100</f>
        <v>99</v>
      </c>
      <c r="K23" s="3488">
        <v>1</v>
      </c>
      <c r="L23" s="3476"/>
      <c r="M23" s="3422"/>
      <c r="N23" s="3422"/>
      <c r="O23" s="3422"/>
      <c r="P23" s="4126"/>
      <c r="Q23" s="3489" t="str">
        <f>B23</f>
        <v>环境质量</v>
      </c>
      <c r="R23" s="3490" t="s">
        <v>8</v>
      </c>
      <c r="S23" s="3491">
        <f>F23</f>
        <v>100</v>
      </c>
      <c r="T23" s="3490" t="s">
        <v>8</v>
      </c>
      <c r="U23" s="3491">
        <f>H23</f>
        <v>99</v>
      </c>
      <c r="V23" s="3490" t="s">
        <v>8</v>
      </c>
      <c r="W23" s="3491">
        <f>J23</f>
        <v>99</v>
      </c>
      <c r="X23" s="3423"/>
      <c r="Y23" s="4126"/>
      <c r="Z23" s="3492" t="str">
        <f>Q23</f>
        <v>环境质量</v>
      </c>
      <c r="AA23" s="3492">
        <f t="shared" si="3"/>
        <v>1</v>
      </c>
      <c r="AB23" s="3492">
        <f t="shared" si="4"/>
        <v>1.0101010101010102</v>
      </c>
      <c r="AC23" s="3492">
        <f t="shared" si="5"/>
        <v>1.0101010101010102</v>
      </c>
    </row>
    <row r="24" spans="1:29" ht="15">
      <c r="A24" s="3493"/>
      <c r="B24" s="3732"/>
      <c r="C24" s="3726" t="s">
        <v>3077</v>
      </c>
      <c r="D24" s="3496"/>
      <c r="E24" s="3515" t="s">
        <v>3077</v>
      </c>
      <c r="F24" s="3496"/>
      <c r="G24" s="3514" t="s">
        <v>3071</v>
      </c>
      <c r="H24" s="3496"/>
      <c r="I24" s="3514" t="s">
        <v>3071</v>
      </c>
      <c r="J24" s="3496"/>
      <c r="K24" s="3499"/>
      <c r="L24" s="3476"/>
      <c r="M24" s="3422"/>
      <c r="N24" s="3422"/>
      <c r="O24" s="3422"/>
      <c r="P24" s="4126"/>
      <c r="Q24" s="3489"/>
      <c r="R24" s="3490"/>
      <c r="S24" s="3491"/>
      <c r="T24" s="3490"/>
      <c r="U24" s="3491"/>
      <c r="V24" s="3490"/>
      <c r="W24" s="3491"/>
      <c r="X24" s="3423"/>
      <c r="Y24" s="4126"/>
      <c r="Z24" s="3492"/>
      <c r="AA24" s="3492">
        <v>1</v>
      </c>
      <c r="AB24" s="3492">
        <v>1</v>
      </c>
      <c r="AC24" s="3492">
        <v>1</v>
      </c>
    </row>
    <row r="25" spans="1:29" ht="27.75">
      <c r="A25" s="3425"/>
      <c r="B25" s="3727" t="s">
        <v>777</v>
      </c>
      <c r="C25" s="3473" t="s">
        <v>3207</v>
      </c>
      <c r="D25" s="3475">
        <v>100</v>
      </c>
      <c r="E25" s="3472" t="s">
        <v>3236</v>
      </c>
      <c r="F25" s="3475">
        <f>SUMIF(87:87,E26,88:88)-SUMIF(87:87,C26,88:88)+100</f>
        <v>99</v>
      </c>
      <c r="G25" s="3472" t="s">
        <v>3209</v>
      </c>
      <c r="H25" s="3475">
        <f>SUMIF(87:87,G26,88:88)-SUMIF(87:87,C26,88:88)+100</f>
        <v>100</v>
      </c>
      <c r="I25" s="3472" t="s">
        <v>3210</v>
      </c>
      <c r="J25" s="3475">
        <f>SUMIF(87:87,I26,88:88)-SUMIF(87:87,C26,88:88)+100</f>
        <v>101</v>
      </c>
      <c r="K25" s="3488">
        <v>1</v>
      </c>
      <c r="L25" s="3476"/>
      <c r="M25" s="3422"/>
      <c r="N25" s="3422"/>
      <c r="O25" s="3422"/>
      <c r="P25" s="4126"/>
      <c r="Q25" s="3489" t="str">
        <f>B25</f>
        <v>毗邻道路的类型与等级</v>
      </c>
      <c r="R25" s="3490" t="s">
        <v>8</v>
      </c>
      <c r="S25" s="3491">
        <f>F25</f>
        <v>99</v>
      </c>
      <c r="T25" s="3490" t="s">
        <v>8</v>
      </c>
      <c r="U25" s="3491">
        <f>H25</f>
        <v>100</v>
      </c>
      <c r="V25" s="3490" t="s">
        <v>8</v>
      </c>
      <c r="W25" s="3491">
        <f>J25</f>
        <v>101</v>
      </c>
      <c r="X25" s="3423"/>
      <c r="Y25" s="4126"/>
      <c r="Z25" s="3492" t="str">
        <f>Q25</f>
        <v>毗邻道路的类型与等级</v>
      </c>
      <c r="AA25" s="3492">
        <f t="shared" si="3"/>
        <v>1.0101010101010102</v>
      </c>
      <c r="AB25" s="3492">
        <f t="shared" si="4"/>
        <v>1</v>
      </c>
      <c r="AC25" s="3492">
        <f t="shared" si="5"/>
        <v>0.99009900990099009</v>
      </c>
    </row>
    <row r="26" spans="1:29" ht="15">
      <c r="A26" s="3425"/>
      <c r="B26" s="3526"/>
      <c r="C26" s="3733" t="s">
        <v>3083</v>
      </c>
      <c r="D26" s="3475"/>
      <c r="E26" s="3521" t="s">
        <v>3235</v>
      </c>
      <c r="F26" s="3475"/>
      <c r="G26" s="3733" t="s">
        <v>3083</v>
      </c>
      <c r="H26" s="3475"/>
      <c r="I26" s="3521" t="s">
        <v>3081</v>
      </c>
      <c r="J26" s="3475"/>
      <c r="K26" s="3499"/>
      <c r="L26" s="3476"/>
      <c r="M26" s="3422"/>
      <c r="N26" s="3422"/>
      <c r="O26" s="3422"/>
      <c r="P26" s="4126"/>
      <c r="Q26" s="3489"/>
      <c r="R26" s="3490"/>
      <c r="S26" s="3491"/>
      <c r="T26" s="3490"/>
      <c r="U26" s="3491"/>
      <c r="V26" s="3490"/>
      <c r="W26" s="3491"/>
      <c r="X26" s="3423"/>
      <c r="Y26" s="4126"/>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26"/>
      <c r="Q27" s="3489" t="str">
        <f t="shared" ref="Q27:Q47" si="11">B27</f>
        <v>楼层</v>
      </c>
      <c r="R27" s="3490" t="s">
        <v>8</v>
      </c>
      <c r="S27" s="3491">
        <f>F27</f>
        <v>100</v>
      </c>
      <c r="T27" s="3490" t="s">
        <v>8</v>
      </c>
      <c r="U27" s="3491">
        <f>H27</f>
        <v>100</v>
      </c>
      <c r="V27" s="3490" t="s">
        <v>8</v>
      </c>
      <c r="W27" s="3491">
        <f>J27</f>
        <v>102</v>
      </c>
      <c r="X27" s="3423"/>
      <c r="Y27" s="4126"/>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26"/>
      <c r="Q28" s="3453" t="str">
        <f t="shared" si="11"/>
        <v>朝向</v>
      </c>
      <c r="R28" s="3438" t="s">
        <v>8</v>
      </c>
      <c r="S28" s="3439">
        <f>F28</f>
        <v>100</v>
      </c>
      <c r="T28" s="3438" t="s">
        <v>8</v>
      </c>
      <c r="U28" s="3439">
        <f>H28</f>
        <v>100</v>
      </c>
      <c r="V28" s="3438" t="s">
        <v>8</v>
      </c>
      <c r="W28" s="3439">
        <f>J28</f>
        <v>100</v>
      </c>
      <c r="X28" s="3440"/>
      <c r="Y28" s="4126"/>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26"/>
      <c r="Q29" s="3489">
        <f t="shared" si="11"/>
        <v>111</v>
      </c>
      <c r="R29" s="3490" t="s">
        <v>8</v>
      </c>
      <c r="S29" s="3491">
        <f t="shared" ref="S29:S47" si="12">F29</f>
        <v>100</v>
      </c>
      <c r="T29" s="3490" t="s">
        <v>8</v>
      </c>
      <c r="U29" s="3491">
        <f t="shared" ref="U29:U47" si="13">H29</f>
        <v>100</v>
      </c>
      <c r="V29" s="3490" t="s">
        <v>8</v>
      </c>
      <c r="W29" s="3491">
        <f t="shared" ref="W29:W47" si="14">J29</f>
        <v>100</v>
      </c>
      <c r="X29" s="3423"/>
      <c r="Y29" s="4126"/>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26"/>
      <c r="Q32" s="3489">
        <f t="shared" si="11"/>
        <v>111</v>
      </c>
      <c r="R32" s="3490" t="s">
        <v>8</v>
      </c>
      <c r="S32" s="3491">
        <f t="shared" si="12"/>
        <v>100</v>
      </c>
      <c r="T32" s="3490" t="s">
        <v>8</v>
      </c>
      <c r="U32" s="3491">
        <f t="shared" si="13"/>
        <v>100</v>
      </c>
      <c r="V32" s="3490" t="s">
        <v>8</v>
      </c>
      <c r="W32" s="3491">
        <f t="shared" si="14"/>
        <v>100</v>
      </c>
      <c r="X32" s="3423"/>
      <c r="Y32" s="4126"/>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7" t="s">
        <v>542</v>
      </c>
      <c r="Q33" s="3489" t="str">
        <f t="shared" si="11"/>
        <v>建筑类型</v>
      </c>
      <c r="R33" s="3490" t="s">
        <v>8</v>
      </c>
      <c r="S33" s="3491">
        <f t="shared" si="12"/>
        <v>100</v>
      </c>
      <c r="T33" s="3490" t="s">
        <v>8</v>
      </c>
      <c r="U33" s="3491">
        <f t="shared" si="13"/>
        <v>100</v>
      </c>
      <c r="V33" s="3490" t="s">
        <v>8</v>
      </c>
      <c r="W33" s="3491">
        <f t="shared" si="14"/>
        <v>100</v>
      </c>
      <c r="X33" s="3423"/>
      <c r="Y33" s="4128" t="s">
        <v>542</v>
      </c>
      <c r="Z33" s="3492" t="str">
        <f t="shared" si="15"/>
        <v>建筑类型</v>
      </c>
      <c r="AA33" s="3492">
        <f t="shared" si="3"/>
        <v>1</v>
      </c>
      <c r="AB33" s="3492">
        <f t="shared" si="4"/>
        <v>1</v>
      </c>
      <c r="AC33" s="3492">
        <f t="shared" si="5"/>
        <v>1</v>
      </c>
    </row>
    <row r="34" spans="1:29" s="3544" customFormat="1" ht="15">
      <c r="A34" s="3535"/>
      <c r="B34" s="3520" t="s">
        <v>718</v>
      </c>
      <c r="C34" s="3536">
        <f>'数据-汇总表'!F19</f>
        <v>168000</v>
      </c>
      <c r="D34" s="3456">
        <v>100</v>
      </c>
      <c r="E34" s="3465">
        <v>5253</v>
      </c>
      <c r="F34" s="3520">
        <f>LOOKUP(E34,104:104,105:105)-LOOKUP(C34,104:104,105:105)+100</f>
        <v>103</v>
      </c>
      <c r="G34" s="3464">
        <v>10660</v>
      </c>
      <c r="H34" s="3456">
        <f>LOOKUP(G34,104:104,105:105)-LOOKUP(C34,104:104,105:105)+100</f>
        <v>102</v>
      </c>
      <c r="I34" s="3464">
        <v>1900</v>
      </c>
      <c r="J34" s="3456">
        <f>LOOKUP(I34,104:104,105:105)-LOOKUP(C34,104:104,105:105)+100</f>
        <v>104</v>
      </c>
      <c r="K34" s="3474"/>
      <c r="L34" s="3466"/>
      <c r="M34" s="3537"/>
      <c r="N34" s="3537"/>
      <c r="O34" s="3537"/>
      <c r="P34" s="4128"/>
      <c r="Q34" s="3539" t="str">
        <f t="shared" si="11"/>
        <v>项目建筑规模</v>
      </c>
      <c r="R34" s="3540" t="s">
        <v>8</v>
      </c>
      <c r="S34" s="3541">
        <f t="shared" si="12"/>
        <v>103</v>
      </c>
      <c r="T34" s="3540" t="s">
        <v>8</v>
      </c>
      <c r="U34" s="3541">
        <f t="shared" si="13"/>
        <v>102</v>
      </c>
      <c r="V34" s="3540" t="s">
        <v>8</v>
      </c>
      <c r="W34" s="3541">
        <f t="shared" si="14"/>
        <v>104</v>
      </c>
      <c r="X34" s="3542"/>
      <c r="Y34" s="4128"/>
      <c r="Z34" s="3543" t="str">
        <f t="shared" si="15"/>
        <v>项目建筑规模</v>
      </c>
      <c r="AA34" s="3492">
        <f t="shared" si="3"/>
        <v>0.970873786407767</v>
      </c>
      <c r="AB34" s="3492">
        <f t="shared" si="4"/>
        <v>0.98039215686274506</v>
      </c>
      <c r="AC34" s="3492">
        <f t="shared" si="5"/>
        <v>0.96153846153846156</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8"/>
      <c r="Q35" s="3489" t="str">
        <f t="shared" si="11"/>
        <v>建筑结构</v>
      </c>
      <c r="R35" s="3490" t="s">
        <v>8</v>
      </c>
      <c r="S35" s="3491">
        <f t="shared" si="12"/>
        <v>100</v>
      </c>
      <c r="T35" s="3490" t="s">
        <v>8</v>
      </c>
      <c r="U35" s="3491">
        <f t="shared" si="13"/>
        <v>100</v>
      </c>
      <c r="V35" s="3490" t="s">
        <v>8</v>
      </c>
      <c r="W35" s="3491">
        <f t="shared" si="14"/>
        <v>100</v>
      </c>
      <c r="X35" s="3423"/>
      <c r="Y35" s="4128"/>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8"/>
      <c r="Q36" s="3489" t="str">
        <f t="shared" si="11"/>
        <v>公共部分装修</v>
      </c>
      <c r="R36" s="3490" t="s">
        <v>8</v>
      </c>
      <c r="S36" s="3491">
        <f t="shared" si="12"/>
        <v>100</v>
      </c>
      <c r="T36" s="3490" t="s">
        <v>8</v>
      </c>
      <c r="U36" s="3491">
        <f t="shared" si="13"/>
        <v>100</v>
      </c>
      <c r="V36" s="3490" t="s">
        <v>8</v>
      </c>
      <c r="W36" s="3491">
        <f t="shared" si="14"/>
        <v>100</v>
      </c>
      <c r="X36" s="3423"/>
      <c r="Y36" s="4128"/>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8"/>
      <c r="Q37" s="3489" t="str">
        <f t="shared" si="11"/>
        <v>成新度</v>
      </c>
      <c r="R37" s="3490" t="s">
        <v>8</v>
      </c>
      <c r="S37" s="3491">
        <f t="shared" si="12"/>
        <v>100</v>
      </c>
      <c r="T37" s="3490" t="s">
        <v>8</v>
      </c>
      <c r="U37" s="3491">
        <f t="shared" si="13"/>
        <v>100</v>
      </c>
      <c r="V37" s="3490" t="s">
        <v>8</v>
      </c>
      <c r="W37" s="3491">
        <f t="shared" si="14"/>
        <v>98</v>
      </c>
      <c r="X37" s="3423"/>
      <c r="Y37" s="4128"/>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8"/>
      <c r="Q38" s="3453" t="str">
        <f t="shared" si="11"/>
        <v>写字楼等级</v>
      </c>
      <c r="R38" s="3438" t="s">
        <v>8</v>
      </c>
      <c r="S38" s="3439">
        <f t="shared" si="12"/>
        <v>100</v>
      </c>
      <c r="T38" s="3438" t="s">
        <v>8</v>
      </c>
      <c r="U38" s="3439">
        <f t="shared" si="13"/>
        <v>100</v>
      </c>
      <c r="V38" s="3438" t="s">
        <v>8</v>
      </c>
      <c r="W38" s="3439">
        <f t="shared" si="14"/>
        <v>100</v>
      </c>
      <c r="X38" s="3440"/>
      <c r="Y38" s="4128"/>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8" t="s">
        <v>542</v>
      </c>
      <c r="Q39" s="3489" t="str">
        <f t="shared" si="11"/>
        <v>物业管理</v>
      </c>
      <c r="R39" s="3490" t="s">
        <v>8</v>
      </c>
      <c r="S39" s="3491">
        <f t="shared" si="12"/>
        <v>100</v>
      </c>
      <c r="T39" s="3490" t="s">
        <v>8</v>
      </c>
      <c r="U39" s="3491">
        <f t="shared" si="13"/>
        <v>100</v>
      </c>
      <c r="V39" s="3490" t="s">
        <v>8</v>
      </c>
      <c r="W39" s="3491">
        <f t="shared" si="14"/>
        <v>100</v>
      </c>
      <c r="X39" s="3423"/>
      <c r="Y39" s="4128"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8"/>
      <c r="Q40" s="3489" t="str">
        <f t="shared" si="11"/>
        <v>市政基础设施</v>
      </c>
      <c r="R40" s="3490" t="s">
        <v>8</v>
      </c>
      <c r="S40" s="3491">
        <f t="shared" si="12"/>
        <v>100</v>
      </c>
      <c r="T40" s="3490" t="s">
        <v>8</v>
      </c>
      <c r="U40" s="3491">
        <f t="shared" si="13"/>
        <v>100</v>
      </c>
      <c r="V40" s="3490" t="s">
        <v>8</v>
      </c>
      <c r="W40" s="3491">
        <f t="shared" si="14"/>
        <v>100</v>
      </c>
      <c r="X40" s="3423"/>
      <c r="Y40" s="4128"/>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8"/>
      <c r="Q41" s="3489" t="str">
        <f t="shared" si="11"/>
        <v>层高</v>
      </c>
      <c r="R41" s="3490" t="s">
        <v>8</v>
      </c>
      <c r="S41" s="3491">
        <f t="shared" si="12"/>
        <v>100</v>
      </c>
      <c r="T41" s="3490" t="s">
        <v>8</v>
      </c>
      <c r="U41" s="3491">
        <f t="shared" si="13"/>
        <v>100</v>
      </c>
      <c r="V41" s="3490" t="s">
        <v>8</v>
      </c>
      <c r="W41" s="3491">
        <f t="shared" si="14"/>
        <v>100</v>
      </c>
      <c r="X41" s="3423"/>
      <c r="Y41" s="4128"/>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8"/>
      <c r="Q42" s="3539" t="str">
        <f t="shared" si="11"/>
        <v>单套建筑面积</v>
      </c>
      <c r="R42" s="3540" t="s">
        <v>8</v>
      </c>
      <c r="S42" s="3541">
        <f t="shared" si="12"/>
        <v>100</v>
      </c>
      <c r="T42" s="3540" t="s">
        <v>8</v>
      </c>
      <c r="U42" s="3541">
        <f t="shared" si="13"/>
        <v>100</v>
      </c>
      <c r="V42" s="3540" t="s">
        <v>8</v>
      </c>
      <c r="W42" s="3541">
        <f t="shared" si="14"/>
        <v>100</v>
      </c>
      <c r="X42" s="3542"/>
      <c r="Y42" s="4128"/>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8"/>
      <c r="Q43" s="3489" t="str">
        <f t="shared" si="11"/>
        <v>内部装修</v>
      </c>
      <c r="R43" s="3490" t="s">
        <v>8</v>
      </c>
      <c r="S43" s="3491">
        <f t="shared" si="12"/>
        <v>100</v>
      </c>
      <c r="T43" s="3490" t="s">
        <v>8</v>
      </c>
      <c r="U43" s="3491">
        <f t="shared" si="13"/>
        <v>100</v>
      </c>
      <c r="V43" s="3490" t="s">
        <v>8</v>
      </c>
      <c r="W43" s="3491">
        <f t="shared" si="14"/>
        <v>100</v>
      </c>
      <c r="X43" s="3423"/>
      <c r="Y43" s="4128"/>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8"/>
      <c r="Q44" s="3489" t="str">
        <f t="shared" si="11"/>
        <v>内部装修维护情况</v>
      </c>
      <c r="R44" s="3490" t="s">
        <v>8</v>
      </c>
      <c r="S44" s="3491">
        <f t="shared" si="12"/>
        <v>100</v>
      </c>
      <c r="T44" s="3490" t="s">
        <v>8</v>
      </c>
      <c r="U44" s="3491">
        <f t="shared" si="13"/>
        <v>100</v>
      </c>
      <c r="V44" s="3490" t="s">
        <v>8</v>
      </c>
      <c r="W44" s="3491">
        <f t="shared" si="14"/>
        <v>100</v>
      </c>
      <c r="X44" s="3423"/>
      <c r="Y44" s="4128"/>
      <c r="Z44" s="3492" t="str">
        <f t="shared" si="15"/>
        <v>内部装修维护情况</v>
      </c>
      <c r="AA44" s="3492">
        <f t="shared" si="3"/>
        <v>1</v>
      </c>
      <c r="AB44" s="3492">
        <f t="shared" si="4"/>
        <v>1</v>
      </c>
      <c r="AC44" s="3492">
        <f t="shared" si="5"/>
        <v>1</v>
      </c>
    </row>
    <row r="45" spans="1:29" s="3442" customFormat="1" ht="15">
      <c r="A45" s="3550"/>
      <c r="B45" s="3792" t="s">
        <v>3238</v>
      </c>
      <c r="C45" s="3788" t="s">
        <v>3239</v>
      </c>
      <c r="D45" s="3789">
        <v>100</v>
      </c>
      <c r="E45" s="3790" t="s">
        <v>3239</v>
      </c>
      <c r="F45" s="3791">
        <f>SUMIF(127:127,E45,128:128)-SUMIF(127:127,C45,128:128)+100</f>
        <v>100</v>
      </c>
      <c r="G45" s="3790" t="s">
        <v>3239</v>
      </c>
      <c r="H45" s="3789">
        <f>SUMIF(127:127,G45,128:128)-SUMIF(127:127,C45,128:128)+100</f>
        <v>100</v>
      </c>
      <c r="I45" s="3790" t="s">
        <v>3239</v>
      </c>
      <c r="J45" s="3456">
        <f>SUMIF(127:127,I45,128:128)-SUMIF(127:127,C45,128:128)+100</f>
        <v>100</v>
      </c>
      <c r="K45" s="3474"/>
      <c r="L45" s="3436"/>
      <c r="M45" s="3437"/>
      <c r="N45" s="3437"/>
      <c r="O45" s="3437"/>
      <c r="P45" s="4128"/>
      <c r="Q45" s="3453" t="str">
        <f t="shared" si="11"/>
        <v>距北运河距离</v>
      </c>
      <c r="R45" s="3438" t="s">
        <v>8</v>
      </c>
      <c r="S45" s="3439">
        <f t="shared" si="12"/>
        <v>100</v>
      </c>
      <c r="T45" s="3438" t="s">
        <v>8</v>
      </c>
      <c r="U45" s="3439">
        <f t="shared" si="13"/>
        <v>100</v>
      </c>
      <c r="V45" s="3438" t="s">
        <v>8</v>
      </c>
      <c r="W45" s="3439">
        <f t="shared" si="14"/>
        <v>100</v>
      </c>
      <c r="X45" s="3440"/>
      <c r="Y45" s="4128"/>
      <c r="Z45" s="3441" t="str">
        <f t="shared" si="15"/>
        <v>距北运河距离</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8"/>
      <c r="Q46" s="3489">
        <f t="shared" si="11"/>
        <v>111</v>
      </c>
      <c r="R46" s="3490" t="s">
        <v>8</v>
      </c>
      <c r="S46" s="3491">
        <f t="shared" si="12"/>
        <v>100</v>
      </c>
      <c r="T46" s="3490" t="s">
        <v>8</v>
      </c>
      <c r="U46" s="3491">
        <f t="shared" si="13"/>
        <v>100</v>
      </c>
      <c r="V46" s="3490" t="s">
        <v>8</v>
      </c>
      <c r="W46" s="3491">
        <f t="shared" si="14"/>
        <v>100</v>
      </c>
      <c r="X46" s="3423"/>
      <c r="Y46" s="4128"/>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9"/>
      <c r="Q47" s="3489">
        <f t="shared" si="11"/>
        <v>111</v>
      </c>
      <c r="R47" s="3490" t="s">
        <v>8</v>
      </c>
      <c r="S47" s="3491">
        <f t="shared" si="12"/>
        <v>100</v>
      </c>
      <c r="T47" s="3490" t="s">
        <v>8</v>
      </c>
      <c r="U47" s="3491">
        <f t="shared" si="13"/>
        <v>100</v>
      </c>
      <c r="V47" s="3490" t="s">
        <v>8</v>
      </c>
      <c r="W47" s="3491">
        <f t="shared" si="14"/>
        <v>100</v>
      </c>
      <c r="X47" s="3423"/>
      <c r="Y47" s="4129"/>
      <c r="Z47" s="3492">
        <f t="shared" si="15"/>
        <v>111</v>
      </c>
      <c r="AA47" s="3492">
        <f t="shared" si="3"/>
        <v>1</v>
      </c>
      <c r="AB47" s="3492">
        <f t="shared" si="4"/>
        <v>1</v>
      </c>
      <c r="AC47" s="3492">
        <f t="shared" si="5"/>
        <v>1</v>
      </c>
    </row>
    <row r="48" spans="1:29" ht="15">
      <c r="A48" s="3556" t="s">
        <v>728</v>
      </c>
      <c r="B48" s="3557"/>
      <c r="C48" s="3558" t="s">
        <v>1</v>
      </c>
      <c r="D48" s="3559"/>
      <c r="E48" s="3560">
        <f>'公寓案例截图及地图 '!$A$3</f>
        <v>52336</v>
      </c>
      <c r="F48" s="3561"/>
      <c r="G48" s="3562">
        <f>'公寓案例截图及地图 '!$A$39</f>
        <v>53094</v>
      </c>
      <c r="H48" s="3563"/>
      <c r="I48" s="3560">
        <f>'公寓案例截图及地图 '!$A$75</f>
        <v>45751</v>
      </c>
      <c r="J48" s="3563"/>
      <c r="K48" s="3564"/>
      <c r="L48" s="3565"/>
      <c r="M48" s="3422"/>
      <c r="N48" s="3422"/>
      <c r="O48" s="3422"/>
      <c r="P48" s="4130" t="str">
        <f>A48</f>
        <v>成交单价（元/平方米）</v>
      </c>
      <c r="Q48" s="4123"/>
      <c r="R48" s="4119">
        <f>E48</f>
        <v>52336</v>
      </c>
      <c r="S48" s="4119"/>
      <c r="T48" s="4119">
        <f>G48</f>
        <v>53094</v>
      </c>
      <c r="U48" s="4119"/>
      <c r="V48" s="4119">
        <f>I48</f>
        <v>45751</v>
      </c>
      <c r="W48" s="4119"/>
      <c r="X48" s="3494"/>
      <c r="Y48" s="3566"/>
      <c r="Z48" s="3494"/>
      <c r="AA48" s="3494"/>
      <c r="AB48" s="3494"/>
      <c r="AC48" s="3494"/>
    </row>
    <row r="49" spans="1:29" ht="15.75" thickBot="1">
      <c r="A49" s="3567" t="s">
        <v>2671</v>
      </c>
      <c r="B49" s="3568"/>
      <c r="C49" s="3569">
        <f>R50</f>
        <v>47594</v>
      </c>
      <c r="D49" s="3570" t="s">
        <v>2963</v>
      </c>
      <c r="E49" s="3571">
        <f>R49</f>
        <v>50444</v>
      </c>
      <c r="F49" s="3572"/>
      <c r="G49" s="3569">
        <f>T49</f>
        <v>49081</v>
      </c>
      <c r="H49" s="3572"/>
      <c r="I49" s="3571">
        <f>V49</f>
        <v>43258</v>
      </c>
      <c r="J49" s="3572"/>
      <c r="K49" s="3573">
        <f>F49+H49+J49</f>
        <v>0</v>
      </c>
      <c r="L49" s="3565"/>
      <c r="M49" s="3422"/>
      <c r="N49" s="3422"/>
      <c r="O49" s="3422"/>
      <c r="P49" s="4130" t="str">
        <f>A49</f>
        <v>比较价格（元/平方米）</v>
      </c>
      <c r="Q49" s="4123"/>
      <c r="R49" s="4119">
        <f>IF(F1="售价",ROUND(PRODUCT(R48,AA7:AA47),0),ROUND(PRODUCT(R48,AA7:AA47),0))</f>
        <v>50444</v>
      </c>
      <c r="S49" s="4119"/>
      <c r="T49" s="4119">
        <f>IF(F1="售价",ROUND(PRODUCT(T48,AB7:AB47),0),ROUND(PRODUCT(T48,AB7:AB47),0))</f>
        <v>49081</v>
      </c>
      <c r="U49" s="4119"/>
      <c r="V49" s="4119">
        <f>IF(F1="售价",ROUND(PRODUCT(V48,AC7:AC47),0),ROUND(PRODUCT(V48,AC7:AC47),0))</f>
        <v>43258</v>
      </c>
      <c r="W49" s="4119"/>
      <c r="X49" s="3494"/>
      <c r="Y49" s="3494"/>
      <c r="Z49" s="3494"/>
      <c r="AA49" s="3494"/>
      <c r="AB49" s="3494"/>
      <c r="AC49" s="3494"/>
    </row>
    <row r="50" spans="1:29" ht="15.75" thickBot="1">
      <c r="A50" s="3574" t="s">
        <v>2898</v>
      </c>
      <c r="B50" s="3575"/>
      <c r="C50" s="3428">
        <f>R50</f>
        <v>47594</v>
      </c>
      <c r="D50" s="3428"/>
      <c r="E50" s="3428"/>
      <c r="F50" s="3428"/>
      <c r="G50" s="3428"/>
      <c r="H50" s="3428"/>
      <c r="I50" s="3428"/>
      <c r="J50" s="3428"/>
      <c r="K50" s="3576"/>
      <c r="L50" s="3565"/>
      <c r="M50" s="3422"/>
      <c r="N50" s="3422"/>
      <c r="O50" s="3422"/>
      <c r="P50" s="4131" t="str">
        <f>A50</f>
        <v>估价对象XX用房的比较价格（楼面单价，元/平方米）</v>
      </c>
      <c r="Q50" s="4130"/>
      <c r="R50" s="4132">
        <f>IF(F1="售价",ROUND(IF(D49="简单平均",AVERAGE(R49:V49),R49*F49+T49*H49+V49*J49),0),ROUND(IF(D49="简单平均",AVERAGE(R49:V49),R49*F49+T49*H49+V49*J49),0))</f>
        <v>47594</v>
      </c>
      <c r="S50" s="4132"/>
      <c r="T50" s="4132"/>
      <c r="U50" s="4132"/>
      <c r="V50" s="4132"/>
      <c r="W50" s="4132"/>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3.7506938387122268E-2</v>
      </c>
      <c r="F53" s="3584" t="str">
        <f>IF(OR(E53&gt;=0.3,E53&lt;=-0.3),"超过30%","")</f>
        <v/>
      </c>
      <c r="G53" s="3583">
        <f>IF(G48&lt;G49,G49/G48-1,G48/G49-1)</f>
        <v>8.1762800268943225E-2</v>
      </c>
      <c r="H53" s="3584" t="str">
        <f>IF(OR(G53&gt;=0.3,G53&lt;=-0.3),"超过30%","")</f>
        <v/>
      </c>
      <c r="I53" s="3583">
        <f>IF(I48&lt;I49,I49/I48-1,I48/I49-1)</f>
        <v>5.7630958435433977E-2</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2.7770420325584189E-2</v>
      </c>
      <c r="F54" s="3584" t="str">
        <f>IF(OR(E54&gt;=0.2,E54&lt;=-0.2),"超过20%","")</f>
        <v/>
      </c>
      <c r="G54" s="3583">
        <f>IF(G49&lt;I49,I49/G49-1,G49/I49-1)</f>
        <v>0.13461093901706045</v>
      </c>
      <c r="H54" s="3584" t="str">
        <f>IF(OR(G54&gt;=0.2,G54&lt;=-0.2),"超过20%","")</f>
        <v/>
      </c>
      <c r="I54" s="3583">
        <f>IF(I49&lt;E49,E49/I49-1,I49/E49-1)</f>
        <v>0.1661195616995701</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1.4483338428615156E-2</v>
      </c>
      <c r="F55" s="3584" t="str">
        <f>IF(OR(E55&gt;=0.3,E55&lt;=-0.3),"超过30%","")</f>
        <v/>
      </c>
      <c r="G55" s="3583">
        <f>IF(G48&lt;I48,I48/G48-1,G48/I48-1)</f>
        <v>0.16049922406067618</v>
      </c>
      <c r="H55" s="3584" t="str">
        <f>IF(OR(G55&gt;=0.3,G55&lt;=-0.3),"超过30%","")</f>
        <v/>
      </c>
      <c r="I55" s="3583">
        <f>IF(I48&lt;E48,E48/I48-1,I48/E48-1)</f>
        <v>0.14393128019059698</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103</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3（含）-4</v>
      </c>
      <c r="G68" s="3650" t="str">
        <f t="shared" si="17"/>
        <v>4（含）-5</v>
      </c>
      <c r="H68" s="3650" t="str">
        <f t="shared" si="17"/>
        <v>5（含）-6</v>
      </c>
      <c r="I68" s="3650" t="str">
        <f t="shared" si="17"/>
        <v>6（含）-7</v>
      </c>
      <c r="J68" s="3650" t="str">
        <f t="shared" si="17"/>
        <v>7（含）-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v>4</v>
      </c>
      <c r="H69" s="3652">
        <v>5</v>
      </c>
      <c r="I69" s="3652">
        <v>6</v>
      </c>
      <c r="J69" s="3652">
        <v>7</v>
      </c>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99.9</v>
      </c>
      <c r="E70" s="3647">
        <f t="shared" si="18"/>
        <v>99.800000000000011</v>
      </c>
      <c r="F70" s="3647">
        <f t="shared" si="18"/>
        <v>99.700000000000017</v>
      </c>
      <c r="G70" s="3647">
        <f t="shared" si="18"/>
        <v>99.600000000000023</v>
      </c>
      <c r="H70" s="3647">
        <f t="shared" si="18"/>
        <v>99.500000000000028</v>
      </c>
      <c r="I70" s="3647">
        <f t="shared" si="18"/>
        <v>99.400000000000034</v>
      </c>
      <c r="J70" s="3647">
        <f t="shared" si="18"/>
        <v>99.30000000000004</v>
      </c>
      <c r="K70" s="3647">
        <f t="shared" si="18"/>
        <v>99.200000000000045</v>
      </c>
      <c r="L70" s="3647">
        <f t="shared" si="18"/>
        <v>99.100000000000051</v>
      </c>
      <c r="M70" s="3648">
        <f t="shared" si="18"/>
        <v>99.000000000000057</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87" t="s">
        <v>3237</v>
      </c>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t="str">
        <f>B45</f>
        <v>距北运河距离</v>
      </c>
      <c r="C127" s="3657" t="s">
        <v>3239</v>
      </c>
      <c r="D127" s="3657" t="s">
        <v>3240</v>
      </c>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v>100</v>
      </c>
      <c r="D128" s="3638">
        <v>95</v>
      </c>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93" priority="23" stopIfTrue="1" operator="containsText" text="超过">
      <formula>NOT(ISERROR(SEARCH("超过",F53)))</formula>
    </cfRule>
  </conditionalFormatting>
  <conditionalFormatting sqref="H55">
    <cfRule type="containsText" dxfId="192" priority="22" stopIfTrue="1" operator="containsText" text="超过">
      <formula>NOT(ISERROR(SEARCH("超过",H55)))</formula>
    </cfRule>
  </conditionalFormatting>
  <conditionalFormatting sqref="F55">
    <cfRule type="containsText" dxfId="191" priority="21" stopIfTrue="1" operator="containsText" text="超过">
      <formula>NOT(ISERROR(SEARCH("超过",F55)))</formula>
    </cfRule>
  </conditionalFormatting>
  <conditionalFormatting sqref="F54 H54">
    <cfRule type="containsText" dxfId="190" priority="20" stopIfTrue="1" operator="containsText" text="超过">
      <formula>NOT(ISERROR(SEARCH("超过",F54)))</formula>
    </cfRule>
  </conditionalFormatting>
  <conditionalFormatting sqref="E53">
    <cfRule type="expression" dxfId="189" priority="19" stopIfTrue="1">
      <formula>$F$53="超过30%"</formula>
    </cfRule>
  </conditionalFormatting>
  <conditionalFormatting sqref="E54">
    <cfRule type="expression" dxfId="188" priority="18" stopIfTrue="1">
      <formula>$F$54="超过20%"</formula>
    </cfRule>
  </conditionalFormatting>
  <conditionalFormatting sqref="E55">
    <cfRule type="expression" dxfId="187" priority="17" stopIfTrue="1">
      <formula>$F$55="超过30%"</formula>
    </cfRule>
  </conditionalFormatting>
  <conditionalFormatting sqref="G55">
    <cfRule type="expression" dxfId="186" priority="16" stopIfTrue="1">
      <formula>$H$55="超过30%"</formula>
    </cfRule>
  </conditionalFormatting>
  <conditionalFormatting sqref="G53">
    <cfRule type="expression" dxfId="185" priority="15" stopIfTrue="1">
      <formula>$H$53="超过30%"</formula>
    </cfRule>
  </conditionalFormatting>
  <conditionalFormatting sqref="G54">
    <cfRule type="expression" dxfId="184" priority="14" stopIfTrue="1">
      <formula>$H$54="超过20%"</formula>
    </cfRule>
  </conditionalFormatting>
  <conditionalFormatting sqref="J53">
    <cfRule type="containsText" dxfId="183" priority="13" stopIfTrue="1" operator="containsText" text="超过">
      <formula>NOT(ISERROR(SEARCH("超过",J53)))</formula>
    </cfRule>
  </conditionalFormatting>
  <conditionalFormatting sqref="J55">
    <cfRule type="containsText" dxfId="182" priority="12" stopIfTrue="1" operator="containsText" text="超过">
      <formula>NOT(ISERROR(SEARCH("超过",J55)))</formula>
    </cfRule>
  </conditionalFormatting>
  <conditionalFormatting sqref="J54">
    <cfRule type="containsText" dxfId="181" priority="11" stopIfTrue="1" operator="containsText" text="超过">
      <formula>NOT(ISERROR(SEARCH("超过",J54)))</formula>
    </cfRule>
  </conditionalFormatting>
  <conditionalFormatting sqref="I53">
    <cfRule type="expression" dxfId="180" priority="10" stopIfTrue="1">
      <formula>$J$53="超过30%"</formula>
    </cfRule>
  </conditionalFormatting>
  <conditionalFormatting sqref="I54">
    <cfRule type="expression" dxfId="179" priority="9" stopIfTrue="1">
      <formula>$J$53+$J$54="超过20%"</formula>
    </cfRule>
  </conditionalFormatting>
  <conditionalFormatting sqref="I55">
    <cfRule type="expression" dxfId="178" priority="8" stopIfTrue="1">
      <formula>$J$55="超过30%"</formula>
    </cfRule>
  </conditionalFormatting>
  <conditionalFormatting sqref="F49">
    <cfRule type="expression" dxfId="177" priority="7">
      <formula>$D$49="简单平均"</formula>
    </cfRule>
  </conditionalFormatting>
  <conditionalFormatting sqref="H49">
    <cfRule type="expression" dxfId="176" priority="6">
      <formula>$D$49="简单平均"</formula>
    </cfRule>
  </conditionalFormatting>
  <conditionalFormatting sqref="J49">
    <cfRule type="expression" dxfId="175" priority="5">
      <formula>$D$49="简单平均"</formula>
    </cfRule>
  </conditionalFormatting>
  <conditionalFormatting sqref="F7:F36 H7:H36 J7:J36 F38:F47 H38:H47 J38:J47">
    <cfRule type="cellIs" dxfId="174" priority="4" operator="notEqual">
      <formula>100</formula>
    </cfRule>
  </conditionalFormatting>
  <conditionalFormatting sqref="F37">
    <cfRule type="cellIs" dxfId="173" priority="3" operator="notEqual">
      <formula>100</formula>
    </cfRule>
  </conditionalFormatting>
  <conditionalFormatting sqref="H37">
    <cfRule type="cellIs" dxfId="172" priority="2" operator="notEqual">
      <formula>100</formula>
    </cfRule>
  </conditionalFormatting>
  <conditionalFormatting sqref="J37">
    <cfRule type="cellIs" dxfId="17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5" sqref="E5:F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t="s">
        <v>3228</v>
      </c>
      <c r="E1" s="2007"/>
      <c r="F1" s="2522" t="s">
        <v>3223</v>
      </c>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#N/A</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#N/A</v>
      </c>
      <c r="C3" s="839" t="s">
        <v>714</v>
      </c>
      <c r="D3" s="838">
        <f>SUMIF('数据-汇总表'!$C19:$C33,D1,'数据-汇总表'!$E19:$E33)</f>
        <v>168000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82" t="s">
        <v>514</v>
      </c>
      <c r="D4" s="3983"/>
      <c r="E4" s="4016" t="s">
        <v>515</v>
      </c>
      <c r="F4" s="4017"/>
      <c r="G4" s="3982" t="s">
        <v>516</v>
      </c>
      <c r="H4" s="3983"/>
      <c r="I4" s="3982" t="s">
        <v>517</v>
      </c>
      <c r="J4" s="3983"/>
      <c r="K4" s="840"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79" t="s">
        <v>516</v>
      </c>
      <c r="AC4" s="3979" t="s">
        <v>517</v>
      </c>
    </row>
    <row r="5" spans="1:29" ht="15">
      <c r="A5" s="507"/>
      <c r="B5" s="508"/>
      <c r="C5" s="3998" t="s">
        <v>2892</v>
      </c>
      <c r="D5" s="3999"/>
      <c r="E5" s="4137" t="str">
        <f>'公寓案例截图及地图 '!A2</f>
        <v>复地时代中心</v>
      </c>
      <c r="F5" s="4019"/>
      <c r="G5" s="4136" t="str">
        <f>'公寓案例截图及地图 '!A37</f>
        <v>通州富力中心</v>
      </c>
      <c r="H5" s="3999"/>
      <c r="I5" s="4136" t="str">
        <f>'公寓案例截图及地图 '!A73</f>
        <v>合景中心</v>
      </c>
      <c r="J5" s="3999"/>
      <c r="K5" s="841"/>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841"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v>44378</v>
      </c>
      <c r="F7" s="514">
        <f>SUMIF(58:58,YEAR(E7)&amp;"-"&amp;MONTH(E7),59:59)</f>
        <v>100</v>
      </c>
      <c r="G7" s="513">
        <v>44317</v>
      </c>
      <c r="H7" s="512">
        <f>SUMIF(58:58,YEAR(G7)&amp;"-"&amp;MONTH(G7),59:59)</f>
        <v>100</v>
      </c>
      <c r="I7" s="513">
        <v>44501</v>
      </c>
      <c r="J7" s="512">
        <f>SUMIF(58:58,YEAR(I7)&amp;"-"&amp;MONTH(I7),59:59)</f>
        <v>100</v>
      </c>
      <c r="K7" s="842"/>
      <c r="L7" s="2015"/>
      <c r="M7" s="2016"/>
      <c r="N7" s="2016"/>
      <c r="O7" s="2016"/>
      <c r="P7" s="4007" t="s">
        <v>522</v>
      </c>
      <c r="Q7" s="4009"/>
      <c r="R7" s="1501" t="s">
        <v>13</v>
      </c>
      <c r="S7" s="1502">
        <f t="shared" ref="S7:S15" si="0">F7</f>
        <v>100</v>
      </c>
      <c r="T7" s="1501" t="s">
        <v>13</v>
      </c>
      <c r="U7" s="1502">
        <f t="shared" ref="U7:U15" si="1">H7</f>
        <v>100</v>
      </c>
      <c r="V7" s="1501" t="s">
        <v>13</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843" t="s">
        <v>3066</v>
      </c>
      <c r="F8" s="514">
        <f>SUMIF(61:61,E8,62:62)-SUMIF(61:61,C8,62:62)+100</f>
        <v>100</v>
      </c>
      <c r="G8" s="517" t="s">
        <v>3066</v>
      </c>
      <c r="H8" s="512">
        <f>SUMIF(61:61,G8,62:62)-SUMIF(61:61,C8,62:62)+100</f>
        <v>100</v>
      </c>
      <c r="I8" s="843" t="s">
        <v>3066</v>
      </c>
      <c r="J8" s="512">
        <f>SUMIF(61:61,I8,62:62)-SUMIF(61:61,C8,62:62)+100</f>
        <v>100</v>
      </c>
      <c r="K8" s="842"/>
      <c r="L8" s="2015"/>
      <c r="M8" s="2016"/>
      <c r="N8" s="2016"/>
      <c r="O8" s="2016"/>
      <c r="P8" s="4007" t="s">
        <v>525</v>
      </c>
      <c r="Q8" s="4008"/>
      <c r="R8" s="1501" t="s">
        <v>13</v>
      </c>
      <c r="S8" s="1502">
        <f t="shared" si="0"/>
        <v>100</v>
      </c>
      <c r="T8" s="1501" t="s">
        <v>13</v>
      </c>
      <c r="U8" s="1502">
        <f t="shared" si="1"/>
        <v>100</v>
      </c>
      <c r="V8" s="1501" t="s">
        <v>13</v>
      </c>
      <c r="W8" s="1502">
        <f t="shared" si="2"/>
        <v>100</v>
      </c>
      <c r="X8" s="1503"/>
      <c r="Y8" s="4007" t="s">
        <v>525</v>
      </c>
      <c r="Z8" s="4008"/>
      <c r="AA8" s="1504">
        <f t="shared" ref="AA8:AA46" si="3">D8/F8</f>
        <v>1</v>
      </c>
      <c r="AB8" s="1504">
        <f t="shared" ref="AB8:AB46" si="4">D8/H8</f>
        <v>1</v>
      </c>
      <c r="AC8" s="1504">
        <f t="shared" ref="AC8:AC46" si="5">D8/J8</f>
        <v>1</v>
      </c>
    </row>
    <row r="9" spans="1:29" s="1201" customFormat="1" ht="15">
      <c r="A9" s="2629"/>
      <c r="B9" s="2636" t="s">
        <v>2734</v>
      </c>
      <c r="C9" s="3325" t="s">
        <v>3067</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3068</v>
      </c>
      <c r="D10" s="251">
        <v>100</v>
      </c>
      <c r="E10" s="849" t="s">
        <v>3068</v>
      </c>
      <c r="F10" s="850">
        <f>SUMIF(65:65,E10,66:66)-SUMIF(65:65,C10,66:66)+100</f>
        <v>100</v>
      </c>
      <c r="G10" s="848" t="s">
        <v>3068</v>
      </c>
      <c r="H10" s="251">
        <f>SUMIF(65:65,G10,66:66)-SUMIF(65:65,C10,66:66)+100</f>
        <v>100</v>
      </c>
      <c r="I10" s="848" t="s">
        <v>3068</v>
      </c>
      <c r="J10" s="251">
        <f>SUMIF(65:65,I10,66:66)-SUMIF(65:65,C10,66:66)+100</f>
        <v>100</v>
      </c>
      <c r="K10" s="851"/>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v>1.6</v>
      </c>
      <c r="D11" s="251">
        <v>100</v>
      </c>
      <c r="E11" s="526">
        <v>2</v>
      </c>
      <c r="F11" s="850">
        <f>LOOKUP(E11,68:68,69:69)-LOOKUP(C11,68:68,69:69)+100</f>
        <v>100</v>
      </c>
      <c r="G11" s="525">
        <v>2</v>
      </c>
      <c r="H11" s="251">
        <f>LOOKUP(G11,68:68,69:69)-LOOKUP(C11,68:68,69:69)+100</f>
        <v>100</v>
      </c>
      <c r="I11" s="525">
        <v>2</v>
      </c>
      <c r="J11" s="251">
        <f>LOOKUP(I11,68:68,69:69)-LOOKUP(C11,68:68,69:69)+100</f>
        <v>100</v>
      </c>
      <c r="K11" s="851">
        <v>0</v>
      </c>
      <c r="L11" s="2020"/>
      <c r="M11" s="2014"/>
      <c r="N11" s="2014"/>
      <c r="O11" s="2021"/>
      <c r="P11" s="3976"/>
      <c r="Q11" s="1132" t="str">
        <f t="shared" si="6"/>
        <v>容积率</v>
      </c>
      <c r="R11" s="1501" t="s">
        <v>11</v>
      </c>
      <c r="S11" s="1502">
        <f t="shared" si="0"/>
        <v>100</v>
      </c>
      <c r="T11" s="1501" t="s">
        <v>11</v>
      </c>
      <c r="U11" s="1502">
        <f t="shared" si="1"/>
        <v>100</v>
      </c>
      <c r="V11" s="1501" t="s">
        <v>11</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76"/>
      <c r="Q12" s="1132">
        <f t="shared" si="6"/>
        <v>111</v>
      </c>
      <c r="R12" s="1501" t="s">
        <v>11</v>
      </c>
      <c r="S12" s="1502">
        <f t="shared" si="0"/>
        <v>100</v>
      </c>
      <c r="T12" s="1501" t="s">
        <v>11</v>
      </c>
      <c r="U12" s="1502">
        <f t="shared" si="1"/>
        <v>100</v>
      </c>
      <c r="V12" s="1501" t="s">
        <v>11</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76"/>
      <c r="Q13" s="1132">
        <f t="shared" si="6"/>
        <v>111</v>
      </c>
      <c r="R13" s="1501" t="s">
        <v>11</v>
      </c>
      <c r="S13" s="1502">
        <f t="shared" si="0"/>
        <v>100</v>
      </c>
      <c r="T13" s="1501" t="s">
        <v>11</v>
      </c>
      <c r="U13" s="1502">
        <f t="shared" si="1"/>
        <v>100</v>
      </c>
      <c r="V13" s="1501" t="s">
        <v>11</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76"/>
      <c r="Q14" s="1132">
        <f t="shared" si="6"/>
        <v>111</v>
      </c>
      <c r="R14" s="1501" t="s">
        <v>11</v>
      </c>
      <c r="S14" s="1502">
        <f t="shared" si="0"/>
        <v>100</v>
      </c>
      <c r="T14" s="1501" t="s">
        <v>11</v>
      </c>
      <c r="U14" s="1502">
        <f t="shared" si="1"/>
        <v>100</v>
      </c>
      <c r="V14" s="1501" t="s">
        <v>11</v>
      </c>
      <c r="W14" s="1502">
        <f t="shared" si="2"/>
        <v>100</v>
      </c>
      <c r="X14" s="1503"/>
      <c r="Y14" s="3922"/>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10" t="s">
        <v>532</v>
      </c>
      <c r="Q15" s="1505" t="str">
        <f t="shared" si="6"/>
        <v>居住社区成熟度</v>
      </c>
      <c r="R15" s="1506" t="s">
        <v>11</v>
      </c>
      <c r="S15" s="1507">
        <f t="shared" si="0"/>
        <v>100</v>
      </c>
      <c r="T15" s="1506" t="s">
        <v>11</v>
      </c>
      <c r="U15" s="1507">
        <f t="shared" si="1"/>
        <v>100</v>
      </c>
      <c r="V15" s="1506" t="s">
        <v>11</v>
      </c>
      <c r="W15" s="1507">
        <f t="shared" si="2"/>
        <v>100</v>
      </c>
      <c r="X15" s="1500"/>
      <c r="Y15" s="4010"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11"/>
      <c r="Q16" s="1505"/>
      <c r="R16" s="1506"/>
      <c r="S16" s="1507"/>
      <c r="T16" s="1506"/>
      <c r="U16" s="1507"/>
      <c r="V16" s="1506"/>
      <c r="W16" s="1507"/>
      <c r="X16" s="1500"/>
      <c r="Y16" s="4011"/>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11"/>
      <c r="Q17" s="1505" t="str">
        <f>B17</f>
        <v>交通便捷度</v>
      </c>
      <c r="R17" s="1506" t="s">
        <v>11</v>
      </c>
      <c r="S17" s="1507">
        <f>F17</f>
        <v>100</v>
      </c>
      <c r="T17" s="1506" t="s">
        <v>11</v>
      </c>
      <c r="U17" s="1507">
        <f>H17</f>
        <v>100</v>
      </c>
      <c r="V17" s="1506" t="s">
        <v>11</v>
      </c>
      <c r="W17" s="1507">
        <f>J17</f>
        <v>100</v>
      </c>
      <c r="X17" s="1500"/>
      <c r="Y17" s="4011"/>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11"/>
      <c r="Q18" s="1505"/>
      <c r="R18" s="1506"/>
      <c r="S18" s="1507"/>
      <c r="T18" s="1506"/>
      <c r="U18" s="1507"/>
      <c r="V18" s="1506"/>
      <c r="W18" s="1507"/>
      <c r="X18" s="1500"/>
      <c r="Y18" s="4011"/>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11"/>
      <c r="Q19" s="1505" t="str">
        <f>B19</f>
        <v>公共配套设施</v>
      </c>
      <c r="R19" s="1506" t="s">
        <v>11</v>
      </c>
      <c r="S19" s="1507">
        <f>F19</f>
        <v>100</v>
      </c>
      <c r="T19" s="1506" t="s">
        <v>11</v>
      </c>
      <c r="U19" s="1507">
        <f>H19</f>
        <v>100</v>
      </c>
      <c r="V19" s="1506" t="s">
        <v>11</v>
      </c>
      <c r="W19" s="1507">
        <f>J19</f>
        <v>100</v>
      </c>
      <c r="X19" s="1500"/>
      <c r="Y19" s="4011"/>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11"/>
      <c r="Q20" s="1505"/>
      <c r="R20" s="1506"/>
      <c r="S20" s="1507"/>
      <c r="T20" s="1506"/>
      <c r="U20" s="1507"/>
      <c r="V20" s="1506"/>
      <c r="W20" s="1507"/>
      <c r="X20" s="1500"/>
      <c r="Y20" s="4011"/>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11"/>
      <c r="Q21" s="2427" t="str">
        <f>B21</f>
        <v>基础设施水平</v>
      </c>
      <c r="R21" s="1506" t="s">
        <v>11</v>
      </c>
      <c r="S21" s="1507">
        <f>F21</f>
        <v>100</v>
      </c>
      <c r="T21" s="1506" t="s">
        <v>11</v>
      </c>
      <c r="U21" s="1507">
        <f>H21</f>
        <v>100</v>
      </c>
      <c r="V21" s="1506" t="s">
        <v>11</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11"/>
      <c r="Q22" s="2427"/>
      <c r="R22" s="1506"/>
      <c r="S22" s="1507"/>
      <c r="T22" s="1506"/>
      <c r="U22" s="1507"/>
      <c r="V22" s="1506"/>
      <c r="W22" s="1507"/>
      <c r="X22" s="2429"/>
      <c r="Y22" s="4011"/>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11"/>
      <c r="Q23" s="1505" t="str">
        <f>B23</f>
        <v>自然及人文环境</v>
      </c>
      <c r="R23" s="1506" t="s">
        <v>11</v>
      </c>
      <c r="S23" s="1507">
        <f>F23</f>
        <v>100</v>
      </c>
      <c r="T23" s="1506" t="s">
        <v>11</v>
      </c>
      <c r="U23" s="1507">
        <f>H23</f>
        <v>100</v>
      </c>
      <c r="V23" s="1506" t="s">
        <v>11</v>
      </c>
      <c r="W23" s="1507">
        <f>J23</f>
        <v>100</v>
      </c>
      <c r="X23" s="1500"/>
      <c r="Y23" s="4011"/>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11"/>
      <c r="Q25" s="1505" t="str">
        <f t="shared" ref="Q25:Q46" si="11">B25</f>
        <v>楼层-1</v>
      </c>
      <c r="R25" s="1506" t="s">
        <v>11</v>
      </c>
      <c r="S25" s="1507">
        <f>F25</f>
        <v>100</v>
      </c>
      <c r="T25" s="1506" t="s">
        <v>11</v>
      </c>
      <c r="U25" s="1507">
        <f>H25</f>
        <v>100</v>
      </c>
      <c r="V25" s="1506" t="s">
        <v>11</v>
      </c>
      <c r="W25" s="1507">
        <f>J25</f>
        <v>100</v>
      </c>
      <c r="X25" s="1500"/>
      <c r="Y25" s="4011"/>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11"/>
      <c r="Q26" s="1505" t="str">
        <f t="shared" si="11"/>
        <v>朝向</v>
      </c>
      <c r="R26" s="1506" t="s">
        <v>11</v>
      </c>
      <c r="S26" s="1507">
        <f>F26</f>
        <v>100</v>
      </c>
      <c r="T26" s="1506" t="s">
        <v>11</v>
      </c>
      <c r="U26" s="1507">
        <f>H26</f>
        <v>100</v>
      </c>
      <c r="V26" s="1506" t="s">
        <v>11</v>
      </c>
      <c r="W26" s="1507">
        <f>J26</f>
        <v>100</v>
      </c>
      <c r="X26" s="1500"/>
      <c r="Y26" s="4011"/>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11"/>
      <c r="Q27" s="1132" t="str">
        <f t="shared" si="11"/>
        <v>道路级别</v>
      </c>
      <c r="R27" s="1501" t="s">
        <v>11</v>
      </c>
      <c r="S27" s="1502">
        <f>F27</f>
        <v>100</v>
      </c>
      <c r="T27" s="1501" t="s">
        <v>11</v>
      </c>
      <c r="U27" s="1502">
        <f>H27</f>
        <v>100</v>
      </c>
      <c r="V27" s="1501" t="s">
        <v>11</v>
      </c>
      <c r="W27" s="1502">
        <f>J27</f>
        <v>100</v>
      </c>
      <c r="X27" s="1503"/>
      <c r="Y27" s="4011"/>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11"/>
      <c r="Q28" s="1505">
        <f t="shared" si="11"/>
        <v>111</v>
      </c>
      <c r="R28" s="1506" t="s">
        <v>11</v>
      </c>
      <c r="S28" s="1507">
        <f t="shared" ref="S28:S46" si="12">F28</f>
        <v>100</v>
      </c>
      <c r="T28" s="1506" t="s">
        <v>11</v>
      </c>
      <c r="U28" s="1507">
        <f t="shared" ref="U28:U46" si="13">H28</f>
        <v>100</v>
      </c>
      <c r="V28" s="1506" t="s">
        <v>11</v>
      </c>
      <c r="W28" s="1507">
        <f t="shared" ref="W28:W46" si="14">J28</f>
        <v>100</v>
      </c>
      <c r="X28" s="1500"/>
      <c r="Y28" s="4011"/>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11"/>
      <c r="Q29" s="1505">
        <f t="shared" si="11"/>
        <v>111</v>
      </c>
      <c r="R29" s="1506" t="s">
        <v>11</v>
      </c>
      <c r="S29" s="1507">
        <f t="shared" si="12"/>
        <v>100</v>
      </c>
      <c r="T29" s="1506" t="s">
        <v>11</v>
      </c>
      <c r="U29" s="1507">
        <f t="shared" si="13"/>
        <v>100</v>
      </c>
      <c r="V29" s="1506" t="s">
        <v>11</v>
      </c>
      <c r="W29" s="1507">
        <f t="shared" si="14"/>
        <v>100</v>
      </c>
      <c r="X29" s="1500"/>
      <c r="Y29" s="4011"/>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11"/>
      <c r="Q30" s="1505">
        <f t="shared" si="11"/>
        <v>111</v>
      </c>
      <c r="R30" s="1506" t="s">
        <v>11</v>
      </c>
      <c r="S30" s="1507">
        <f t="shared" si="12"/>
        <v>100</v>
      </c>
      <c r="T30" s="1506" t="s">
        <v>11</v>
      </c>
      <c r="U30" s="1507">
        <f t="shared" si="13"/>
        <v>100</v>
      </c>
      <c r="V30" s="1506" t="s">
        <v>11</v>
      </c>
      <c r="W30" s="1507">
        <f t="shared" si="14"/>
        <v>100</v>
      </c>
      <c r="X30" s="1500"/>
      <c r="Y30" s="4011"/>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11"/>
      <c r="Q31" s="1505">
        <f t="shared" si="11"/>
        <v>111</v>
      </c>
      <c r="R31" s="1506" t="s">
        <v>11</v>
      </c>
      <c r="S31" s="1507">
        <f t="shared" si="12"/>
        <v>100</v>
      </c>
      <c r="T31" s="1506" t="s">
        <v>11</v>
      </c>
      <c r="U31" s="1507">
        <f t="shared" si="13"/>
        <v>100</v>
      </c>
      <c r="V31" s="1506" t="s">
        <v>11</v>
      </c>
      <c r="W31" s="1507">
        <f t="shared" si="14"/>
        <v>100</v>
      </c>
      <c r="X31" s="1500"/>
      <c r="Y31" s="4011"/>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12" t="s">
        <v>542</v>
      </c>
      <c r="Q32" s="1505" t="str">
        <f t="shared" si="11"/>
        <v>建筑类型</v>
      </c>
      <c r="R32" s="1506" t="s">
        <v>11</v>
      </c>
      <c r="S32" s="1507">
        <f t="shared" si="12"/>
        <v>100</v>
      </c>
      <c r="T32" s="1506" t="s">
        <v>11</v>
      </c>
      <c r="U32" s="1507">
        <f t="shared" si="13"/>
        <v>100</v>
      </c>
      <c r="V32" s="1506" t="s">
        <v>11</v>
      </c>
      <c r="W32" s="1507">
        <f t="shared" si="14"/>
        <v>100</v>
      </c>
      <c r="X32" s="1500"/>
      <c r="Y32" s="4013" t="s">
        <v>542</v>
      </c>
      <c r="Z32" s="1508" t="str">
        <f t="shared" si="15"/>
        <v>建筑类型</v>
      </c>
      <c r="AA32" s="1509">
        <f t="shared" si="3"/>
        <v>1</v>
      </c>
      <c r="AB32" s="1509">
        <f t="shared" si="4"/>
        <v>1</v>
      </c>
      <c r="AC32" s="1509">
        <f t="shared" si="5"/>
        <v>1</v>
      </c>
    </row>
    <row r="33" spans="1:29" s="1291" customFormat="1" ht="15">
      <c r="A33" s="595"/>
      <c r="B33" s="519" t="s">
        <v>718</v>
      </c>
      <c r="C33" s="867">
        <f>'数据-汇总表'!F19</f>
        <v>168000</v>
      </c>
      <c r="D33" s="251">
        <v>100</v>
      </c>
      <c r="E33" s="526">
        <v>160000</v>
      </c>
      <c r="F33" s="850" t="e">
        <f>LOOKUP(E33,103:103,104:104)-LOOKUP(C33,103:103,104:104)+100</f>
        <v>#N/A</v>
      </c>
      <c r="G33" s="525">
        <v>160000</v>
      </c>
      <c r="H33" s="251" t="e">
        <f>LOOKUP(G33,103:103,104:104)-LOOKUP(C33,103:103,104:104)+100</f>
        <v>#N/A</v>
      </c>
      <c r="I33" s="526">
        <v>160000</v>
      </c>
      <c r="J33" s="251" t="e">
        <f>LOOKUP(I33,103:103,104:104)-LOOKUP(C33,103:103,104:104)+100</f>
        <v>#N/A</v>
      </c>
      <c r="K33" s="852"/>
      <c r="L33" s="2020"/>
      <c r="M33" s="2050"/>
      <c r="N33" s="2050"/>
      <c r="O33" s="2023"/>
      <c r="P33" s="4013"/>
      <c r="Q33" s="1534" t="str">
        <f t="shared" si="11"/>
        <v>项目建筑规模</v>
      </c>
      <c r="R33" s="1510" t="s">
        <v>11</v>
      </c>
      <c r="S33" s="1511" t="e">
        <f t="shared" si="12"/>
        <v>#N/A</v>
      </c>
      <c r="T33" s="1510" t="s">
        <v>11</v>
      </c>
      <c r="U33" s="1511" t="e">
        <f t="shared" si="13"/>
        <v>#N/A</v>
      </c>
      <c r="V33" s="1510" t="s">
        <v>11</v>
      </c>
      <c r="W33" s="1511" t="e">
        <f t="shared" si="14"/>
        <v>#N/A</v>
      </c>
      <c r="X33" s="1512"/>
      <c r="Y33" s="4013"/>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13"/>
      <c r="Q34" s="1505" t="str">
        <f t="shared" si="11"/>
        <v>建筑结构</v>
      </c>
      <c r="R34" s="1506" t="s">
        <v>11</v>
      </c>
      <c r="S34" s="1507">
        <f t="shared" si="12"/>
        <v>100</v>
      </c>
      <c r="T34" s="1506" t="s">
        <v>11</v>
      </c>
      <c r="U34" s="1507">
        <f t="shared" si="13"/>
        <v>100</v>
      </c>
      <c r="V34" s="1506" t="s">
        <v>11</v>
      </c>
      <c r="W34" s="1507">
        <f t="shared" si="14"/>
        <v>100</v>
      </c>
      <c r="X34" s="1500"/>
      <c r="Y34" s="4013"/>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13"/>
      <c r="Q35" s="1505" t="str">
        <f t="shared" si="11"/>
        <v>建筑品质</v>
      </c>
      <c r="R35" s="1506" t="s">
        <v>11</v>
      </c>
      <c r="S35" s="1507">
        <f t="shared" si="12"/>
        <v>100</v>
      </c>
      <c r="T35" s="1506" t="s">
        <v>11</v>
      </c>
      <c r="U35" s="1507">
        <f t="shared" si="13"/>
        <v>100</v>
      </c>
      <c r="V35" s="1506" t="s">
        <v>11</v>
      </c>
      <c r="W35" s="1507">
        <f t="shared" si="14"/>
        <v>100</v>
      </c>
      <c r="X35" s="1500"/>
      <c r="Y35" s="4013"/>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13"/>
      <c r="Q36" s="1505" t="str">
        <f t="shared" si="11"/>
        <v>公共部分装修</v>
      </c>
      <c r="R36" s="1506" t="s">
        <v>11</v>
      </c>
      <c r="S36" s="1507">
        <f t="shared" si="12"/>
        <v>100</v>
      </c>
      <c r="T36" s="1506" t="s">
        <v>11</v>
      </c>
      <c r="U36" s="1507">
        <f t="shared" si="13"/>
        <v>100</v>
      </c>
      <c r="V36" s="1506" t="s">
        <v>11</v>
      </c>
      <c r="W36" s="1507">
        <f t="shared" si="14"/>
        <v>100</v>
      </c>
      <c r="X36" s="1500"/>
      <c r="Y36" s="4013"/>
      <c r="Z36" s="1508" t="str">
        <f t="shared" si="15"/>
        <v>公共部分装修</v>
      </c>
      <c r="AA36" s="1509">
        <f t="shared" si="3"/>
        <v>1</v>
      </c>
      <c r="AB36" s="1509">
        <f t="shared" si="4"/>
        <v>1</v>
      </c>
      <c r="AC36" s="1509">
        <f t="shared" si="5"/>
        <v>1</v>
      </c>
    </row>
    <row r="37" spans="1:29" s="1201" customFormat="1" ht="15">
      <c r="A37" s="592"/>
      <c r="B37" s="519" t="s">
        <v>722</v>
      </c>
      <c r="C37" s="870">
        <v>1</v>
      </c>
      <c r="D37" s="251">
        <v>100</v>
      </c>
      <c r="E37" s="871">
        <v>1</v>
      </c>
      <c r="F37" s="850">
        <f>LOOKUP(E37,112:112,113:113)-LOOKUP(C37,112:112,113:113)+100</f>
        <v>100</v>
      </c>
      <c r="G37" s="872">
        <v>1</v>
      </c>
      <c r="H37" s="251">
        <f>LOOKUP(G37,112:112,113:113)-LOOKUP(C37,112:112,113:113)+100</f>
        <v>100</v>
      </c>
      <c r="I37" s="871">
        <v>1</v>
      </c>
      <c r="J37" s="251">
        <f>LOOKUP(I37,112:112,113:113)-LOOKUP(C37,112:112,113:113)+100</f>
        <v>100</v>
      </c>
      <c r="K37" s="851"/>
      <c r="L37" s="2015"/>
      <c r="M37" s="2016"/>
      <c r="N37" s="2016"/>
      <c r="O37" s="2017"/>
      <c r="P37" s="4013"/>
      <c r="Q37" s="1132" t="str">
        <f t="shared" si="11"/>
        <v>成新度</v>
      </c>
      <c r="R37" s="1501" t="s">
        <v>11</v>
      </c>
      <c r="S37" s="1502">
        <f t="shared" si="12"/>
        <v>100</v>
      </c>
      <c r="T37" s="1501" t="s">
        <v>11</v>
      </c>
      <c r="U37" s="1502">
        <f t="shared" si="13"/>
        <v>100</v>
      </c>
      <c r="V37" s="1501" t="s">
        <v>11</v>
      </c>
      <c r="W37" s="1502">
        <f t="shared" si="14"/>
        <v>100</v>
      </c>
      <c r="X37" s="1503"/>
      <c r="Y37" s="4013"/>
      <c r="Z37" s="1131" t="str">
        <f t="shared" si="15"/>
        <v>成新度</v>
      </c>
      <c r="AA37" s="1504">
        <f t="shared" si="3"/>
        <v>1</v>
      </c>
      <c r="AB37" s="1504">
        <f t="shared" si="4"/>
        <v>1</v>
      </c>
      <c r="AC37" s="1504">
        <f t="shared" si="5"/>
        <v>1</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13" t="s">
        <v>542</v>
      </c>
      <c r="Q38" s="1505" t="str">
        <f t="shared" si="11"/>
        <v>物业管理</v>
      </c>
      <c r="R38" s="1506" t="s">
        <v>11</v>
      </c>
      <c r="S38" s="1507">
        <f t="shared" si="12"/>
        <v>100</v>
      </c>
      <c r="T38" s="1506" t="s">
        <v>11</v>
      </c>
      <c r="U38" s="1507">
        <f t="shared" si="13"/>
        <v>100</v>
      </c>
      <c r="V38" s="1506" t="s">
        <v>11</v>
      </c>
      <c r="W38" s="1507">
        <f t="shared" si="14"/>
        <v>100</v>
      </c>
      <c r="X38" s="1500"/>
      <c r="Y38" s="4013"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13"/>
      <c r="Q39" s="1505" t="str">
        <f t="shared" si="11"/>
        <v>市政基础设施</v>
      </c>
      <c r="R39" s="1506" t="s">
        <v>11</v>
      </c>
      <c r="S39" s="1507">
        <f t="shared" si="12"/>
        <v>100</v>
      </c>
      <c r="T39" s="1506" t="s">
        <v>11</v>
      </c>
      <c r="U39" s="1507">
        <f t="shared" si="13"/>
        <v>100</v>
      </c>
      <c r="V39" s="1506" t="s">
        <v>11</v>
      </c>
      <c r="W39" s="1507">
        <f t="shared" si="14"/>
        <v>100</v>
      </c>
      <c r="X39" s="1500"/>
      <c r="Y39" s="4013"/>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13"/>
      <c r="Q40" s="1505" t="str">
        <f t="shared" si="11"/>
        <v>房型</v>
      </c>
      <c r="R40" s="1506" t="s">
        <v>11</v>
      </c>
      <c r="S40" s="1507">
        <f t="shared" si="12"/>
        <v>100</v>
      </c>
      <c r="T40" s="1506" t="s">
        <v>11</v>
      </c>
      <c r="U40" s="1507">
        <f t="shared" si="13"/>
        <v>100</v>
      </c>
      <c r="V40" s="1506" t="s">
        <v>11</v>
      </c>
      <c r="W40" s="1507">
        <f t="shared" si="14"/>
        <v>100</v>
      </c>
      <c r="X40" s="1500"/>
      <c r="Y40" s="4013"/>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13"/>
      <c r="Q41" s="1534" t="str">
        <f t="shared" si="11"/>
        <v>单套/主力户型建筑面积</v>
      </c>
      <c r="R41" s="1510" t="s">
        <v>11</v>
      </c>
      <c r="S41" s="1511">
        <f t="shared" si="12"/>
        <v>100</v>
      </c>
      <c r="T41" s="1510" t="s">
        <v>11</v>
      </c>
      <c r="U41" s="1511">
        <f t="shared" si="13"/>
        <v>100</v>
      </c>
      <c r="V41" s="1510" t="s">
        <v>11</v>
      </c>
      <c r="W41" s="1511">
        <f t="shared" si="14"/>
        <v>100</v>
      </c>
      <c r="X41" s="1512"/>
      <c r="Y41" s="4013"/>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13"/>
      <c r="Q42" s="1505" t="str">
        <f t="shared" si="11"/>
        <v>内部装修</v>
      </c>
      <c r="R42" s="1506" t="s">
        <v>11</v>
      </c>
      <c r="S42" s="1507">
        <f t="shared" si="12"/>
        <v>100</v>
      </c>
      <c r="T42" s="1506" t="s">
        <v>11</v>
      </c>
      <c r="U42" s="1507">
        <f t="shared" si="13"/>
        <v>100</v>
      </c>
      <c r="V42" s="1506" t="s">
        <v>11</v>
      </c>
      <c r="W42" s="1507">
        <f t="shared" si="14"/>
        <v>100</v>
      </c>
      <c r="X42" s="1500"/>
      <c r="Y42" s="4013"/>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13"/>
      <c r="Q43" s="1505" t="str">
        <f t="shared" si="11"/>
        <v>内部装修维护情况</v>
      </c>
      <c r="R43" s="1506" t="s">
        <v>11</v>
      </c>
      <c r="S43" s="1507">
        <f t="shared" si="12"/>
        <v>100</v>
      </c>
      <c r="T43" s="1506" t="s">
        <v>11</v>
      </c>
      <c r="U43" s="1507">
        <f t="shared" si="13"/>
        <v>100</v>
      </c>
      <c r="V43" s="1506" t="s">
        <v>11</v>
      </c>
      <c r="W43" s="1507">
        <f t="shared" si="14"/>
        <v>100</v>
      </c>
      <c r="X43" s="1500"/>
      <c r="Y43" s="4013"/>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13"/>
      <c r="Q44" s="1132">
        <f t="shared" si="11"/>
        <v>111</v>
      </c>
      <c r="R44" s="1501" t="s">
        <v>11</v>
      </c>
      <c r="S44" s="1502">
        <f t="shared" si="12"/>
        <v>100</v>
      </c>
      <c r="T44" s="1501" t="s">
        <v>11</v>
      </c>
      <c r="U44" s="1502">
        <f t="shared" si="13"/>
        <v>100</v>
      </c>
      <c r="V44" s="1501" t="s">
        <v>11</v>
      </c>
      <c r="W44" s="1502">
        <f t="shared" si="14"/>
        <v>100</v>
      </c>
      <c r="X44" s="1503"/>
      <c r="Y44" s="4013"/>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13"/>
      <c r="Q45" s="1505">
        <f t="shared" si="11"/>
        <v>111</v>
      </c>
      <c r="R45" s="1506" t="s">
        <v>11</v>
      </c>
      <c r="S45" s="1507">
        <f t="shared" si="12"/>
        <v>100</v>
      </c>
      <c r="T45" s="1506" t="s">
        <v>11</v>
      </c>
      <c r="U45" s="1507">
        <f t="shared" si="13"/>
        <v>100</v>
      </c>
      <c r="V45" s="1506" t="s">
        <v>11</v>
      </c>
      <c r="W45" s="1507">
        <f t="shared" si="14"/>
        <v>100</v>
      </c>
      <c r="X45" s="1500"/>
      <c r="Y45" s="4013"/>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135"/>
      <c r="Q46" s="1505">
        <f t="shared" si="11"/>
        <v>111</v>
      </c>
      <c r="R46" s="1506" t="s">
        <v>10</v>
      </c>
      <c r="S46" s="1507">
        <f t="shared" si="12"/>
        <v>100</v>
      </c>
      <c r="T46" s="1506" t="s">
        <v>10</v>
      </c>
      <c r="U46" s="1507">
        <f t="shared" si="13"/>
        <v>100</v>
      </c>
      <c r="V46" s="1506" t="s">
        <v>10</v>
      </c>
      <c r="W46" s="1507">
        <f t="shared" si="14"/>
        <v>100</v>
      </c>
      <c r="X46" s="1500"/>
      <c r="Y46" s="4135"/>
      <c r="Z46" s="1508">
        <f t="shared" si="15"/>
        <v>111</v>
      </c>
      <c r="AA46" s="1509">
        <f t="shared" si="3"/>
        <v>1</v>
      </c>
      <c r="AB46" s="1509">
        <f t="shared" si="4"/>
        <v>1</v>
      </c>
      <c r="AC46" s="1509">
        <f t="shared" si="5"/>
        <v>1</v>
      </c>
    </row>
    <row r="47" spans="1:29" ht="15">
      <c r="A47" s="599" t="s">
        <v>728</v>
      </c>
      <c r="B47" s="874"/>
      <c r="C47" s="2468" t="s">
        <v>9</v>
      </c>
      <c r="D47" s="2469"/>
      <c r="E47" s="2470">
        <f>'公寓案例截图及地图 '!A3</f>
        <v>52336</v>
      </c>
      <c r="F47" s="2471"/>
      <c r="G47" s="2472">
        <f>'公寓案例截图及地图 '!A39</f>
        <v>53094</v>
      </c>
      <c r="H47" s="2473"/>
      <c r="I47" s="2470">
        <f>'公寓案例截图及地图 '!A75</f>
        <v>45751</v>
      </c>
      <c r="J47" s="2473"/>
      <c r="K47" s="1535"/>
      <c r="L47" s="2024"/>
      <c r="M47" s="2025"/>
      <c r="N47" s="2014"/>
      <c r="O47" s="2025"/>
      <c r="P47" s="3976" t="str">
        <f>A47</f>
        <v>成交单价（元/平方米）</v>
      </c>
      <c r="Q47" s="3976"/>
      <c r="R47" s="4134">
        <f>E47</f>
        <v>52336</v>
      </c>
      <c r="S47" s="4134"/>
      <c r="T47" s="4134">
        <f>G47</f>
        <v>53094</v>
      </c>
      <c r="U47" s="4134"/>
      <c r="V47" s="4134">
        <f>I47</f>
        <v>45751</v>
      </c>
      <c r="W47" s="4134"/>
      <c r="X47" s="1495"/>
      <c r="Y47" s="1514"/>
      <c r="Z47" s="1495"/>
      <c r="AA47" s="1495"/>
      <c r="AB47" s="1495"/>
      <c r="AC47" s="1495"/>
    </row>
    <row r="48" spans="1:29" ht="15.75" thickBot="1">
      <c r="A48" s="607" t="s">
        <v>2738</v>
      </c>
      <c r="B48" s="875"/>
      <c r="C48" s="2474" t="e">
        <f>R49</f>
        <v>#N/A</v>
      </c>
      <c r="D48" s="3003" t="s">
        <v>2963</v>
      </c>
      <c r="E48" s="2475" t="e">
        <f>R48</f>
        <v>#N/A</v>
      </c>
      <c r="F48" s="3004"/>
      <c r="G48" s="2474" t="e">
        <f>T48</f>
        <v>#N/A</v>
      </c>
      <c r="H48" s="3004"/>
      <c r="I48" s="2475" t="e">
        <f>V48</f>
        <v>#N/A</v>
      </c>
      <c r="J48" s="3004"/>
      <c r="K48" s="3012">
        <f>F48+H48+J48</f>
        <v>0</v>
      </c>
      <c r="L48" s="2024"/>
      <c r="M48" s="2025"/>
      <c r="N48" s="2025"/>
      <c r="O48" s="2025"/>
      <c r="P48" s="3976" t="str">
        <f>A48</f>
        <v>比较价格（元/平方米）</v>
      </c>
      <c r="Q48" s="3976"/>
      <c r="R48" s="4134" t="e">
        <f>IF(F1="售价",ROUND(PRODUCT(R47,AA7:AA46),0),ROUND(PRODUCT(R47,AA7:AA46),1))</f>
        <v>#N/A</v>
      </c>
      <c r="S48" s="4134"/>
      <c r="T48" s="4134" t="e">
        <f>IF(F1="售价",ROUND(PRODUCT(T47,AB7:AB46),0),ROUND(PRODUCT(T47,AB7:AB46),1))</f>
        <v>#N/A</v>
      </c>
      <c r="U48" s="4134"/>
      <c r="V48" s="4134" t="e">
        <f>IF(F1="售价",ROUND(PRODUCT(V47,AC7:AC46),0),ROUND(PRODUCT(V47,AC7:AC46),1))</f>
        <v>#N/A</v>
      </c>
      <c r="W48" s="4134"/>
      <c r="X48" s="1495"/>
      <c r="Y48" s="1495"/>
      <c r="Z48" s="1495"/>
      <c r="AA48" s="1495"/>
      <c r="AB48" s="1495"/>
      <c r="AC48" s="1495"/>
    </row>
    <row r="49" spans="1:29" ht="15.75" thickBot="1">
      <c r="A49" s="611" t="s">
        <v>2898</v>
      </c>
      <c r="B49" s="612"/>
      <c r="C49" s="2476" t="e">
        <f>R49</f>
        <v>#N/A</v>
      </c>
      <c r="D49" s="2476"/>
      <c r="E49" s="2476"/>
      <c r="F49" s="2476"/>
      <c r="G49" s="2476"/>
      <c r="H49" s="2476"/>
      <c r="I49" s="2476"/>
      <c r="J49" s="2476"/>
      <c r="K49" s="1536"/>
      <c r="L49" s="2024"/>
      <c r="M49" s="2025"/>
      <c r="N49" s="2025"/>
      <c r="O49" s="2025"/>
      <c r="P49" s="3973" t="str">
        <f>A49</f>
        <v>估价对象XX用房的比较价格（楼面单价，元/平方米）</v>
      </c>
      <c r="Q49" s="3974"/>
      <c r="R49" s="4133" t="e">
        <f>IF(F1="售价",ROUND(IF(D48="简单平均",AVERAGE(R48:V48),R48*F48+T48*H48+V48*J48),0),ROUND(IF(D48="简单平均",AVERAGE(R48:V48),R48*F48+T48*H48+V48*J48),1))</f>
        <v>#N/A</v>
      </c>
      <c r="S49" s="4133"/>
      <c r="T49" s="4133"/>
      <c r="U49" s="4133"/>
      <c r="V49" s="4133"/>
      <c r="W49" s="4133"/>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#N/A</v>
      </c>
      <c r="F52" s="617" t="e">
        <f>IF(OR(E52&gt;=0.3,E52&lt;=-0.3),"超过30%","")</f>
        <v>#N/A</v>
      </c>
      <c r="G52" s="616" t="e">
        <f>IF(G47&lt;G48,G48/G47-1,G47/G48-1)</f>
        <v>#N/A</v>
      </c>
      <c r="H52" s="617" t="e">
        <f>IF(OR(G52&gt;=0.3,G52&lt;=-0.3),"超过30%","")</f>
        <v>#N/A</v>
      </c>
      <c r="I52" s="616" t="e">
        <f>IF(I47&lt;I48,I48/I47-1,I47/I48-1)</f>
        <v>#N/A</v>
      </c>
      <c r="J52" s="617" t="e">
        <f>IF(OR(I52&gt;=0.3,I52&lt;=-0.3),"超过30%","")</f>
        <v>#N/A</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#N/A</v>
      </c>
      <c r="F53" s="617" t="e">
        <f>IF(OR(E53&gt;=0.2,E53&lt;=-0.2),"超过20%","")</f>
        <v>#N/A</v>
      </c>
      <c r="G53" s="616" t="e">
        <f>IF(G48&lt;I48,I48/G48-1,G48/I48-1)</f>
        <v>#N/A</v>
      </c>
      <c r="H53" s="617" t="e">
        <f>IF(OR(G53&gt;=0.2,G53&lt;=-0.2),"超过20%","")</f>
        <v>#N/A</v>
      </c>
      <c r="I53" s="616" t="e">
        <f>IF(I48&lt;E48,E48/I48-1,I48/E48-1)</f>
        <v>#N/A</v>
      </c>
      <c r="J53" s="617" t="e">
        <f>IF(OR(I53&gt;=0.2,I53&lt;=-0.2),"超过20%","")</f>
        <v>#N/A</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1.4483338428615156E-2</v>
      </c>
      <c r="F54" s="617" t="str">
        <f>IF(OR(E54&gt;=0.3,E54&lt;=-0.3),"超过30%","")</f>
        <v/>
      </c>
      <c r="G54" s="616">
        <f>IF(G47&lt;I47,I47/G47-1,G47/I47-1)</f>
        <v>0.16049922406067618</v>
      </c>
      <c r="H54" s="617" t="str">
        <f>IF(OR(G54&gt;=0.3,G54&lt;=-0.3),"超过30%","")</f>
        <v/>
      </c>
      <c r="I54" s="616">
        <f>IF(I47&lt;E47,E47/I47-1,I47/E47-1)</f>
        <v>0.14393128019059698</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topLeftCell="A61" workbookViewId="0">
      <selection activeCell="M32" sqref="M32"/>
    </sheetView>
  </sheetViews>
  <sheetFormatPr defaultColWidth="9" defaultRowHeight="13.5"/>
  <cols>
    <col min="1" max="16384" width="9" style="3361"/>
  </cols>
  <sheetData>
    <row r="2" spans="1:1">
      <c r="A2" s="3361" t="s">
        <v>3232</v>
      </c>
    </row>
    <row r="3" spans="1:1">
      <c r="A3" s="3361">
        <v>52336</v>
      </c>
    </row>
    <row r="37" spans="1:1">
      <c r="A37" s="3361" t="s">
        <v>3233</v>
      </c>
    </row>
    <row r="39" spans="1:1">
      <c r="A39" s="3361">
        <v>53094</v>
      </c>
    </row>
    <row r="73" spans="1:1">
      <c r="A73" s="3361" t="s">
        <v>3234</v>
      </c>
    </row>
    <row r="75" spans="1:1">
      <c r="A75" s="3361">
        <v>45751</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3" zoomScale="90" zoomScaleNormal="60" zoomScaleSheetLayoutView="90" workbookViewId="0">
      <selection activeCell="K24" sqref="K24"/>
    </sheetView>
  </sheetViews>
  <sheetFormatPr defaultColWidth="9" defaultRowHeight="14.25"/>
  <cols>
    <col min="1" max="1" width="10.5" style="3424" customWidth="1"/>
    <col min="2" max="2" width="15.75" style="3424" customWidth="1"/>
    <col min="3" max="3" width="18.12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424"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749</v>
      </c>
      <c r="C1" s="3396" t="s">
        <v>3173</v>
      </c>
      <c r="D1" s="3397" t="s">
        <v>3028</v>
      </c>
      <c r="E1" s="3398"/>
      <c r="F1" s="3399" t="s">
        <v>3223</v>
      </c>
      <c r="G1" s="3400" t="s">
        <v>3174</v>
      </c>
      <c r="H1" s="3398"/>
      <c r="I1" s="3398"/>
      <c r="J1" s="3398"/>
      <c r="K1" s="3401"/>
      <c r="L1" s="3402"/>
      <c r="M1" s="3403"/>
      <c r="N1" s="3403"/>
      <c r="O1" s="3403"/>
      <c r="P1" s="3404"/>
      <c r="Q1" s="3404"/>
      <c r="R1" s="3404"/>
      <c r="S1" s="3404"/>
      <c r="T1" s="3404"/>
      <c r="U1" s="3404"/>
      <c r="V1" s="3404"/>
      <c r="W1" s="3404"/>
      <c r="X1" s="3404"/>
      <c r="Y1" s="3404"/>
      <c r="Z1" s="3404"/>
      <c r="AA1" s="3404"/>
      <c r="AB1" s="3404"/>
      <c r="AC1" s="3405"/>
    </row>
    <row r="2" spans="1:29" s="3406" customFormat="1" ht="28.5" customHeight="1">
      <c r="A2" s="3407" t="s">
        <v>3175</v>
      </c>
      <c r="B2" s="3408">
        <f>ROUND(B3*D3/10000,0)</f>
        <v>997886</v>
      </c>
      <c r="C2" s="3409"/>
      <c r="D2" s="3409"/>
      <c r="E2" s="3405"/>
      <c r="F2" s="3410"/>
      <c r="G2" s="3411"/>
      <c r="H2" s="3411"/>
      <c r="I2" s="3411"/>
      <c r="J2" s="3411"/>
      <c r="K2" s="3411"/>
      <c r="L2" s="3412"/>
      <c r="M2" s="3404"/>
      <c r="N2" s="3404"/>
      <c r="O2" s="3404"/>
      <c r="P2" s="3404"/>
      <c r="Q2" s="3404"/>
      <c r="R2" s="3404"/>
      <c r="S2" s="3404"/>
      <c r="T2" s="3404"/>
      <c r="U2" s="3404"/>
      <c r="V2" s="3404"/>
      <c r="W2" s="3404"/>
      <c r="X2" s="3404"/>
      <c r="Y2" s="3404"/>
      <c r="Z2" s="3404"/>
      <c r="AA2" s="3404"/>
      <c r="AB2" s="3404"/>
      <c r="AC2" s="3405"/>
    </row>
    <row r="3" spans="1:29" s="3406" customFormat="1" ht="28.5" customHeight="1" thickBot="1">
      <c r="A3" s="3413" t="s">
        <v>3176</v>
      </c>
      <c r="B3" s="3414">
        <f>C49</f>
        <v>32600</v>
      </c>
      <c r="C3" s="3415" t="s">
        <v>3177</v>
      </c>
      <c r="D3" s="3416">
        <f>SUMIF('数据-汇总表'!$C19:$C33,D1,'数据-汇总表'!$E19:$E33)</f>
        <v>306100</v>
      </c>
      <c r="E3" s="3405"/>
      <c r="F3" s="3410"/>
      <c r="G3" s="3411"/>
      <c r="H3" s="3411"/>
      <c r="I3" s="3411"/>
      <c r="J3" s="3411"/>
      <c r="K3" s="3417"/>
      <c r="L3" s="3412"/>
      <c r="M3" s="3404"/>
      <c r="N3" s="3404"/>
      <c r="O3" s="3404"/>
      <c r="P3" s="3404"/>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138" t="s">
        <v>519</v>
      </c>
      <c r="Q4" s="4099"/>
      <c r="R4" s="4104" t="s">
        <v>515</v>
      </c>
      <c r="S4" s="4105"/>
      <c r="T4" s="4104" t="s">
        <v>516</v>
      </c>
      <c r="U4" s="4105"/>
      <c r="V4" s="4119" t="s">
        <v>517</v>
      </c>
      <c r="W4" s="4119"/>
      <c r="X4" s="3423"/>
      <c r="Y4" s="4104" t="s">
        <v>519</v>
      </c>
      <c r="Z4" s="4105"/>
      <c r="AA4" s="4091" t="s">
        <v>515</v>
      </c>
      <c r="AB4" s="4119" t="s">
        <v>516</v>
      </c>
      <c r="AC4" s="4091" t="s">
        <v>517</v>
      </c>
    </row>
    <row r="5" spans="1:29" ht="15">
      <c r="A5" s="3425"/>
      <c r="B5" s="3426"/>
      <c r="C5" s="4108" t="s">
        <v>2892</v>
      </c>
      <c r="D5" s="4109"/>
      <c r="E5" s="4110" t="str">
        <f>商业案例截图及地图!$A$2</f>
        <v>通瑞新天地</v>
      </c>
      <c r="F5" s="4111"/>
      <c r="G5" s="4108" t="str">
        <f>商业案例截图及地图!$A$37</f>
        <v>潞河名苑</v>
      </c>
      <c r="H5" s="4109"/>
      <c r="I5" s="4108" t="str">
        <f>商业案例截图及地图!$A$73</f>
        <v>珠江东都国际</v>
      </c>
      <c r="J5" s="4109"/>
      <c r="K5" s="3420"/>
      <c r="L5" s="3421"/>
      <c r="M5" s="3422"/>
      <c r="N5" s="3422"/>
      <c r="O5" s="3422"/>
      <c r="P5" s="4139"/>
      <c r="Q5" s="4101"/>
      <c r="R5" s="4106"/>
      <c r="S5" s="4107"/>
      <c r="T5" s="4106"/>
      <c r="U5" s="4107"/>
      <c r="V5" s="4119"/>
      <c r="W5" s="4119"/>
      <c r="X5" s="3423"/>
      <c r="Y5" s="4106"/>
      <c r="Z5" s="4107"/>
      <c r="AA5" s="4092"/>
      <c r="AB5" s="4119"/>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40"/>
      <c r="Q6" s="4103"/>
      <c r="R6" s="4106"/>
      <c r="S6" s="4107"/>
      <c r="T6" s="4117"/>
      <c r="U6" s="4118"/>
      <c r="V6" s="4119"/>
      <c r="W6" s="4119"/>
      <c r="X6" s="3423"/>
      <c r="Y6" s="4117"/>
      <c r="Z6" s="4118"/>
      <c r="AA6" s="4093"/>
      <c r="AB6" s="4119"/>
      <c r="AC6" s="4093"/>
    </row>
    <row r="7" spans="1:29" s="3442" customFormat="1" ht="15.75" thickBot="1">
      <c r="A7" s="3429"/>
      <c r="B7" s="3430" t="s">
        <v>521</v>
      </c>
      <c r="C7" s="3431">
        <f>'[3]数据-取费表'!B2</f>
        <v>44498</v>
      </c>
      <c r="D7" s="3432">
        <v>100</v>
      </c>
      <c r="E7" s="3433">
        <v>44440</v>
      </c>
      <c r="F7" s="3434">
        <f>SUMIF(58:58,YEAR(E7)&amp;"-"&amp;MONTH(E7),59:59)</f>
        <v>100</v>
      </c>
      <c r="G7" s="3433">
        <v>44440</v>
      </c>
      <c r="H7" s="3432">
        <f>SUMIF(58:58,YEAR(G7)&amp;"-"&amp;MONTH(G7),59:59)</f>
        <v>100</v>
      </c>
      <c r="I7" s="3433">
        <v>44440</v>
      </c>
      <c r="J7" s="3432">
        <f>SUMIF(58:58,YEAR(I7)&amp;"-"&amp;MONTH(I7),59:59)</f>
        <v>100</v>
      </c>
      <c r="K7" s="3435"/>
      <c r="L7" s="3436"/>
      <c r="M7" s="3437"/>
      <c r="N7" s="3437"/>
      <c r="O7" s="3437"/>
      <c r="P7" s="4122"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3066</v>
      </c>
      <c r="F8" s="3434">
        <f>SUMIF(61:61,E8,62:62)-SUMIF(61:61,C8,62:62)+100</f>
        <v>100</v>
      </c>
      <c r="G8" s="3445" t="s">
        <v>3066</v>
      </c>
      <c r="H8" s="3432">
        <f>SUMIF(61:61,G8,62:62)-SUMIF(61:61,C8,62:62)+100</f>
        <v>100</v>
      </c>
      <c r="I8" s="3445" t="s">
        <v>3066</v>
      </c>
      <c r="J8" s="3432">
        <f>SUMIF(61:61,I8,62:62)-SUMIF(61:61,C8,62:62)+100</f>
        <v>100</v>
      </c>
      <c r="K8" s="3435"/>
      <c r="L8" s="3436"/>
      <c r="M8" s="3437"/>
      <c r="N8" s="3437"/>
      <c r="O8" s="3437"/>
      <c r="P8" s="4122" t="s">
        <v>525</v>
      </c>
      <c r="Q8" s="4121"/>
      <c r="R8" s="3438" t="s">
        <v>8</v>
      </c>
      <c r="S8" s="3439">
        <f t="shared" si="0"/>
        <v>100</v>
      </c>
      <c r="T8" s="3438" t="s">
        <v>8</v>
      </c>
      <c r="U8" s="3439">
        <f t="shared" si="1"/>
        <v>100</v>
      </c>
      <c r="V8" s="3438" t="s">
        <v>8</v>
      </c>
      <c r="W8" s="3439">
        <f t="shared" si="2"/>
        <v>100</v>
      </c>
      <c r="X8" s="3440"/>
      <c r="Y8" s="4122" t="s">
        <v>525</v>
      </c>
      <c r="Z8" s="4121"/>
      <c r="AA8" s="3441">
        <f t="shared" ref="AA8:AA46" si="3">D8/F8</f>
        <v>1</v>
      </c>
      <c r="AB8" s="3441">
        <f t="shared" ref="AB8:AB46" si="4">D8/H8</f>
        <v>1</v>
      </c>
      <c r="AC8" s="3441">
        <f t="shared" ref="AC8:AC46" si="5">D8/J8</f>
        <v>1</v>
      </c>
    </row>
    <row r="9" spans="1:29" s="3442" customFormat="1" ht="15">
      <c r="A9" s="3446"/>
      <c r="B9" s="3447" t="s">
        <v>2734</v>
      </c>
      <c r="C9" s="3448"/>
      <c r="D9" s="3449">
        <v>100</v>
      </c>
      <c r="E9" s="3450"/>
      <c r="F9" s="3449">
        <f>SUMIF(63:63,E9,64:64)-SUMIF(63:63,C9,64:64)+100</f>
        <v>100</v>
      </c>
      <c r="G9" s="3451"/>
      <c r="H9" s="3449">
        <f>SUMIF(63:63,G9,64:64)-SUMIF(63:63,C9,64:64)+100</f>
        <v>100</v>
      </c>
      <c r="I9" s="3451"/>
      <c r="J9" s="3449">
        <f>SUMIF(63:63,I9,64:64)-SUMIF(63:63,C9,64:64)+100</f>
        <v>100</v>
      </c>
      <c r="K9" s="3435"/>
      <c r="L9" s="3436"/>
      <c r="M9" s="3437"/>
      <c r="N9" s="3437"/>
      <c r="O9" s="3452"/>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3124</v>
      </c>
      <c r="D10" s="3456">
        <v>100</v>
      </c>
      <c r="E10" s="3455" t="s">
        <v>3125</v>
      </c>
      <c r="F10" s="3456">
        <f>SUMIF(65:65,E10,66:66)-SUMIF(65:65,C10,66:66)+100</f>
        <v>98</v>
      </c>
      <c r="G10" s="3457" t="s">
        <v>3125</v>
      </c>
      <c r="H10" s="3456">
        <f>SUMIF(65:65,G10,66:66)-SUMIF(65:65,C10,66:66)+100</f>
        <v>98</v>
      </c>
      <c r="I10" s="3455" t="s">
        <v>3125</v>
      </c>
      <c r="J10" s="3456">
        <f>SUMIF(65:65,I10,66:66)-SUMIF(65:65,C10,66:66)+100</f>
        <v>98</v>
      </c>
      <c r="K10" s="3458">
        <v>2</v>
      </c>
      <c r="L10" s="3459"/>
      <c r="M10" s="3460"/>
      <c r="N10" s="3460"/>
      <c r="O10" s="3461"/>
      <c r="P10" s="4123"/>
      <c r="Q10" s="3453" t="str">
        <f t="shared" si="6"/>
        <v>土地使用年限（年）</v>
      </c>
      <c r="R10" s="3438" t="s">
        <v>8</v>
      </c>
      <c r="S10" s="3439">
        <f t="shared" si="0"/>
        <v>98</v>
      </c>
      <c r="T10" s="3438" t="s">
        <v>8</v>
      </c>
      <c r="U10" s="3439">
        <f t="shared" si="1"/>
        <v>98</v>
      </c>
      <c r="V10" s="3438" t="s">
        <v>8</v>
      </c>
      <c r="W10" s="3439">
        <f t="shared" si="2"/>
        <v>98</v>
      </c>
      <c r="X10" s="3440"/>
      <c r="Y10" s="4124"/>
      <c r="Z10" s="3441" t="str">
        <f t="shared" si="7"/>
        <v>土地使用年限（年）</v>
      </c>
      <c r="AA10" s="3441">
        <f t="shared" si="3"/>
        <v>1.0204081632653061</v>
      </c>
      <c r="AB10" s="3441">
        <f t="shared" si="4"/>
        <v>1.0204081632653061</v>
      </c>
      <c r="AC10" s="3441">
        <f t="shared" si="5"/>
        <v>1.0204081632653061</v>
      </c>
    </row>
    <row r="11" spans="1:29" ht="15">
      <c r="A11" s="3463"/>
      <c r="B11" s="3444" t="s">
        <v>2736</v>
      </c>
      <c r="C11" s="3464">
        <f>'[2]4个单元汇总表'!$L$5</f>
        <v>6.35</v>
      </c>
      <c r="D11" s="3456">
        <v>100</v>
      </c>
      <c r="E11" s="3464">
        <v>1.8</v>
      </c>
      <c r="F11" s="3456">
        <f>LOOKUP(E11,68:68,69:69)-LOOKUP(C11,68:68,69:69)+100</f>
        <v>100</v>
      </c>
      <c r="G11" s="3465">
        <v>1.8</v>
      </c>
      <c r="H11" s="3456">
        <f>LOOKUP(G11,68:68,69:69)-LOOKUP(C11,68:68,69:69)+100</f>
        <v>100</v>
      </c>
      <c r="I11" s="3464">
        <v>1.8</v>
      </c>
      <c r="J11" s="3456">
        <f>LOOKUP(I11,68:68,69:69)-LOOKUP(C11,68:68,69:69)+100</f>
        <v>100</v>
      </c>
      <c r="K11" s="3458"/>
      <c r="L11" s="3466"/>
      <c r="M11" s="3422"/>
      <c r="N11" s="3422"/>
      <c r="O11" s="3467"/>
      <c r="P11" s="4123"/>
      <c r="Q11" s="3453" t="str">
        <f t="shared" si="6"/>
        <v>容积率</v>
      </c>
      <c r="R11" s="3438" t="s">
        <v>8</v>
      </c>
      <c r="S11" s="3439">
        <f t="shared" si="0"/>
        <v>100</v>
      </c>
      <c r="T11" s="3438" t="s">
        <v>8</v>
      </c>
      <c r="U11" s="3439">
        <f t="shared" si="1"/>
        <v>100</v>
      </c>
      <c r="V11" s="3438" t="s">
        <v>8</v>
      </c>
      <c r="W11" s="3439">
        <f t="shared" si="2"/>
        <v>100</v>
      </c>
      <c r="X11" s="3440"/>
      <c r="Y11" s="4124"/>
      <c r="Z11" s="3441" t="str">
        <f t="shared" si="7"/>
        <v>容积率</v>
      </c>
      <c r="AA11" s="3441">
        <f t="shared" si="3"/>
        <v>1</v>
      </c>
      <c r="AB11" s="3441">
        <f t="shared" si="4"/>
        <v>1</v>
      </c>
      <c r="AC11" s="3441">
        <f t="shared" si="5"/>
        <v>1</v>
      </c>
    </row>
    <row r="12" spans="1:29" s="3442" customFormat="1" ht="15">
      <c r="A12" s="3468"/>
      <c r="B12" s="3469">
        <v>111</v>
      </c>
      <c r="C12" s="3470"/>
      <c r="D12" s="3471">
        <v>100</v>
      </c>
      <c r="E12" s="3472"/>
      <c r="F12" s="3456">
        <f>SUMIF(70:70,E12,71:71)-SUMIF(70:70,C12,71:71)+100</f>
        <v>100</v>
      </c>
      <c r="G12" s="3473"/>
      <c r="H12" s="3456">
        <f>SUMIF(70:70,G12,71:71)-SUMIF(70:70,C12,71:71)+100</f>
        <v>100</v>
      </c>
      <c r="I12" s="3472"/>
      <c r="J12" s="3456">
        <f>SUMIF(70:70,I12,71:71)-SUMIF(70:70,C12,71:71)+100</f>
        <v>100</v>
      </c>
      <c r="K12" s="3474"/>
      <c r="L12" s="3436"/>
      <c r="M12" s="3437"/>
      <c r="N12" s="3437"/>
      <c r="O12" s="3452"/>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2"/>
      <c r="F13" s="3456">
        <f>SUMIF(72:72,E13,73:73)-SUMIF(72:72,C13,73:73)+100</f>
        <v>100</v>
      </c>
      <c r="G13" s="3473"/>
      <c r="H13" s="3475">
        <f>SUMIF(72:72,G13,73:73)-SUMIF(72:72,C13,73:73)+100</f>
        <v>100</v>
      </c>
      <c r="I13" s="3472"/>
      <c r="J13" s="3475">
        <f>SUMIF(72:72,I13,73:73)-SUMIF(72:72,C13,73:73)+100</f>
        <v>100</v>
      </c>
      <c r="K13" s="3474"/>
      <c r="L13" s="3476"/>
      <c r="M13" s="3422"/>
      <c r="N13" s="3422"/>
      <c r="O13" s="3467"/>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479"/>
      <c r="F14" s="3480">
        <f>SUMIF(74:74,E14,75:75)-SUMIF(74:74,C14,75:75)+100</f>
        <v>100</v>
      </c>
      <c r="G14" s="3473"/>
      <c r="H14" s="3480">
        <f>SUMIF(74:74,G14,75:75)-SUMIF(74:74,C14,75:75)+100</f>
        <v>100</v>
      </c>
      <c r="I14" s="3472"/>
      <c r="J14" s="3480">
        <f>SUMIF(74:74,I14,75:75)-SUMIF(74:74,C14,75:75)+100</f>
        <v>100</v>
      </c>
      <c r="K14" s="3474"/>
      <c r="L14" s="3476"/>
      <c r="M14" s="3422"/>
      <c r="N14" s="3422"/>
      <c r="O14" s="3467"/>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57">
      <c r="A15" s="3481" t="s">
        <v>3179</v>
      </c>
      <c r="B15" s="3482" t="s">
        <v>576</v>
      </c>
      <c r="C15" s="3483" t="str">
        <f>[3]估价对象房地状况!C4</f>
        <v>估价对象位于XX商圈，周边商业氛围成熟，人流量大，商业繁华度好</v>
      </c>
      <c r="D15" s="3484">
        <v>100</v>
      </c>
      <c r="E15" s="3485"/>
      <c r="F15" s="3486">
        <f>SUMIF(76:76,E16,77:77)-SUMIF(76:76,C16,77:77)+100</f>
        <v>98</v>
      </c>
      <c r="G15" s="3487"/>
      <c r="H15" s="3484">
        <f>SUMIF(76:76,G16,77:77)-SUMIF(76:76,C16,77:77)+100</f>
        <v>98</v>
      </c>
      <c r="I15" s="3485"/>
      <c r="J15" s="3484">
        <f>SUMIF(76:76,I16,77:77)-SUMIF(76:76,C16,77:77)+100</f>
        <v>98</v>
      </c>
      <c r="K15" s="3488">
        <v>2</v>
      </c>
      <c r="L15" s="3476"/>
      <c r="M15" s="3422"/>
      <c r="N15" s="3422"/>
      <c r="O15" s="3467"/>
      <c r="P15" s="4125" t="s">
        <v>532</v>
      </c>
      <c r="Q15" s="3489" t="str">
        <f t="shared" si="6"/>
        <v>商业繁华度</v>
      </c>
      <c r="R15" s="3490" t="s">
        <v>8</v>
      </c>
      <c r="S15" s="3491">
        <f t="shared" si="0"/>
        <v>98</v>
      </c>
      <c r="T15" s="3490" t="s">
        <v>8</v>
      </c>
      <c r="U15" s="3491">
        <f t="shared" si="1"/>
        <v>98</v>
      </c>
      <c r="V15" s="3490" t="s">
        <v>8</v>
      </c>
      <c r="W15" s="3491">
        <f t="shared" si="2"/>
        <v>98</v>
      </c>
      <c r="X15" s="3423"/>
      <c r="Y15" s="4125" t="s">
        <v>532</v>
      </c>
      <c r="Z15" s="3492" t="str">
        <f t="shared" si="7"/>
        <v>商业繁华度</v>
      </c>
      <c r="AA15" s="3492">
        <f t="shared" si="3"/>
        <v>1.0204081632653061</v>
      </c>
      <c r="AB15" s="3492">
        <f t="shared" si="4"/>
        <v>1.0204081632653061</v>
      </c>
      <c r="AC15" s="3492">
        <f t="shared" si="5"/>
        <v>1.0204081632653061</v>
      </c>
    </row>
    <row r="16" spans="1:29" ht="15">
      <c r="A16" s="3493"/>
      <c r="B16" s="3494"/>
      <c r="C16" s="3495" t="s">
        <v>3071</v>
      </c>
      <c r="D16" s="3496"/>
      <c r="E16" s="3495" t="s">
        <v>3070</v>
      </c>
      <c r="F16" s="3497"/>
      <c r="G16" s="3495" t="s">
        <v>3070</v>
      </c>
      <c r="H16" s="3498"/>
      <c r="I16" s="3495" t="s">
        <v>3070</v>
      </c>
      <c r="J16" s="3496"/>
      <c r="K16" s="3499"/>
      <c r="L16" s="3476"/>
      <c r="M16" s="3422"/>
      <c r="N16" s="3422"/>
      <c r="O16" s="3467"/>
      <c r="P16" s="4126"/>
      <c r="Q16" s="3489"/>
      <c r="R16" s="3490"/>
      <c r="S16" s="3491"/>
      <c r="T16" s="3490"/>
      <c r="U16" s="3491"/>
      <c r="V16" s="3490"/>
      <c r="W16" s="3491"/>
      <c r="X16" s="3423"/>
      <c r="Y16" s="4126"/>
      <c r="Z16" s="3492"/>
      <c r="AA16" s="3492">
        <v>1</v>
      </c>
      <c r="AB16" s="3492">
        <v>1</v>
      </c>
      <c r="AC16" s="3492">
        <v>1</v>
      </c>
    </row>
    <row r="17" spans="1:29" ht="71.25">
      <c r="A17" s="3493"/>
      <c r="B17" s="3500" t="s">
        <v>294</v>
      </c>
      <c r="C17" s="3501" t="str">
        <f>[3]估价对象房地状况!C6</f>
        <v>估价对象周边道路状况、公共交通通达情况、停车便捷程度，综合评价交通便捷度较好</v>
      </c>
      <c r="D17" s="3498">
        <v>100</v>
      </c>
      <c r="E17" s="3502"/>
      <c r="F17" s="3503">
        <f>SUMIF(78:78,E18,79:79)-SUMIF(78:78,C18,79:79)+100</f>
        <v>102</v>
      </c>
      <c r="G17" s="3504"/>
      <c r="H17" s="3505">
        <f>SUMIF(78:78,G18,79:79)-SUMIF(78:78,C18,79:79)+100</f>
        <v>102</v>
      </c>
      <c r="I17" s="3502"/>
      <c r="J17" s="3505">
        <f>SUMIF(78:78,I18,79:79)-SUMIF(78:78,C18,79:79)+100</f>
        <v>102</v>
      </c>
      <c r="K17" s="3488">
        <v>2</v>
      </c>
      <c r="L17" s="3476"/>
      <c r="M17" s="3422"/>
      <c r="N17" s="3422"/>
      <c r="O17" s="3467"/>
      <c r="P17" s="4126"/>
      <c r="Q17" s="3489" t="str">
        <f>B17</f>
        <v>交通便捷度</v>
      </c>
      <c r="R17" s="3490" t="s">
        <v>8</v>
      </c>
      <c r="S17" s="3491">
        <f>F17</f>
        <v>102</v>
      </c>
      <c r="T17" s="3490" t="s">
        <v>8</v>
      </c>
      <c r="U17" s="3491">
        <f>H17</f>
        <v>102</v>
      </c>
      <c r="V17" s="3490" t="s">
        <v>8</v>
      </c>
      <c r="W17" s="3491">
        <f>J17</f>
        <v>102</v>
      </c>
      <c r="X17" s="3423"/>
      <c r="Y17" s="4126"/>
      <c r="Z17" s="3492" t="str">
        <f>Q17</f>
        <v>交通便捷度</v>
      </c>
      <c r="AA17" s="3492">
        <f t="shared" si="3"/>
        <v>0.98039215686274506</v>
      </c>
      <c r="AB17" s="3492">
        <f t="shared" si="4"/>
        <v>0.98039215686274506</v>
      </c>
      <c r="AC17" s="3492">
        <f t="shared" si="5"/>
        <v>0.98039215686274506</v>
      </c>
    </row>
    <row r="18" spans="1:29" ht="15">
      <c r="A18" s="3493"/>
      <c r="B18" s="3506"/>
      <c r="C18" s="3507" t="s">
        <v>3070</v>
      </c>
      <c r="D18" s="3498"/>
      <c r="E18" s="3508" t="s">
        <v>3071</v>
      </c>
      <c r="F18" s="3503"/>
      <c r="G18" s="3509" t="s">
        <v>3071</v>
      </c>
      <c r="H18" s="3496"/>
      <c r="I18" s="3508" t="s">
        <v>3071</v>
      </c>
      <c r="J18" s="3496"/>
      <c r="K18" s="3499"/>
      <c r="L18" s="3476"/>
      <c r="M18" s="3422"/>
      <c r="N18" s="3422"/>
      <c r="O18" s="3467"/>
      <c r="P18" s="4126"/>
      <c r="Q18" s="3489"/>
      <c r="R18" s="3490"/>
      <c r="S18" s="3491"/>
      <c r="T18" s="3490"/>
      <c r="U18" s="3491"/>
      <c r="V18" s="3490"/>
      <c r="W18" s="3491"/>
      <c r="X18" s="3423"/>
      <c r="Y18" s="4126"/>
      <c r="Z18" s="3492"/>
      <c r="AA18" s="3492">
        <v>1</v>
      </c>
      <c r="AB18" s="3492">
        <v>1</v>
      </c>
      <c r="AC18" s="3492">
        <v>1</v>
      </c>
    </row>
    <row r="19" spans="1:29" ht="28.5">
      <c r="A19" s="3493"/>
      <c r="B19" s="3510" t="s">
        <v>2302</v>
      </c>
      <c r="C19" s="3501" t="str">
        <f>[3]估价对象房地状况!C7</f>
        <v>估价对象所在区域公共配套设施齐备情况</v>
      </c>
      <c r="D19" s="3505">
        <v>100</v>
      </c>
      <c r="E19" s="3511"/>
      <c r="F19" s="3512">
        <f>SUMIF(80:80,E20,81:81)-SUMIF(80:80,C20,81:81)+100</f>
        <v>100</v>
      </c>
      <c r="G19" s="3513"/>
      <c r="H19" s="3498">
        <f>SUMIF(80:80,G20,81:81)-SUMIF(80:80,C20,81:81)+100</f>
        <v>100</v>
      </c>
      <c r="I19" s="3511"/>
      <c r="J19" s="3498">
        <f>SUMIF(80:80,I20,81:81)-SUMIF(80:80,C20,81:81)+100</f>
        <v>100</v>
      </c>
      <c r="K19" s="3488">
        <v>2</v>
      </c>
      <c r="L19" s="3476"/>
      <c r="M19" s="3422"/>
      <c r="N19" s="3422"/>
      <c r="O19" s="3467"/>
      <c r="P19" s="4126"/>
      <c r="Q19" s="3489" t="str">
        <f>B19</f>
        <v>公共配套设施</v>
      </c>
      <c r="R19" s="3490" t="s">
        <v>8</v>
      </c>
      <c r="S19" s="3491">
        <f>F19</f>
        <v>100</v>
      </c>
      <c r="T19" s="3490" t="s">
        <v>8</v>
      </c>
      <c r="U19" s="3491">
        <f>H19</f>
        <v>100</v>
      </c>
      <c r="V19" s="3490" t="s">
        <v>8</v>
      </c>
      <c r="W19" s="3491">
        <f>J19</f>
        <v>100</v>
      </c>
      <c r="X19" s="3423"/>
      <c r="Y19" s="4126"/>
      <c r="Z19" s="3492" t="str">
        <f>Q19</f>
        <v>公共配套设施</v>
      </c>
      <c r="AA19" s="3492">
        <f t="shared" si="3"/>
        <v>1</v>
      </c>
      <c r="AB19" s="3492">
        <f t="shared" si="4"/>
        <v>1</v>
      </c>
      <c r="AC19" s="3492">
        <f t="shared" si="5"/>
        <v>1</v>
      </c>
    </row>
    <row r="20" spans="1:29" ht="15">
      <c r="A20" s="3493"/>
      <c r="B20" s="3506"/>
      <c r="C20" s="3495" t="s">
        <v>3071</v>
      </c>
      <c r="D20" s="3496"/>
      <c r="E20" s="3514" t="s">
        <v>3071</v>
      </c>
      <c r="F20" s="3497"/>
      <c r="G20" s="3515" t="s">
        <v>3071</v>
      </c>
      <c r="H20" s="3496"/>
      <c r="I20" s="3514" t="s">
        <v>3071</v>
      </c>
      <c r="J20" s="3496"/>
      <c r="K20" s="3499"/>
      <c r="L20" s="3476"/>
      <c r="M20" s="3422"/>
      <c r="N20" s="3422"/>
      <c r="O20" s="3467"/>
      <c r="P20" s="4126"/>
      <c r="Q20" s="3489"/>
      <c r="R20" s="3490"/>
      <c r="S20" s="3491"/>
      <c r="T20" s="3490"/>
      <c r="U20" s="3491"/>
      <c r="V20" s="3490"/>
      <c r="W20" s="3491"/>
      <c r="X20" s="3423"/>
      <c r="Y20" s="4126"/>
      <c r="Z20" s="3492"/>
      <c r="AA20" s="3492">
        <v>1</v>
      </c>
      <c r="AB20" s="3492">
        <v>1</v>
      </c>
      <c r="AC20" s="3492">
        <v>1</v>
      </c>
    </row>
    <row r="21" spans="1:29" ht="28.5">
      <c r="A21" s="3493"/>
      <c r="B21" s="3516" t="s">
        <v>3180</v>
      </c>
      <c r="C21" s="3501" t="str">
        <f>[3]估价对象房地状况!C8</f>
        <v>估价对象所在区域基础设施水平</v>
      </c>
      <c r="D21" s="3505">
        <v>100</v>
      </c>
      <c r="E21" s="3513"/>
      <c r="F21" s="3512">
        <f>SUMIF(82:82,E22,83:83)-SUMIF(82:82,C22,83:83)+100</f>
        <v>100</v>
      </c>
      <c r="G21" s="3513"/>
      <c r="H21" s="3505">
        <f>SUMIF(82:82,G22,83:83)-SUMIF(82:82,C22,83:83)+100</f>
        <v>100</v>
      </c>
      <c r="I21" s="3511"/>
      <c r="J21" s="3505">
        <f>SUMIF(82:82,I22,83:83)-SUMIF(82:82,C22,83:83)+100</f>
        <v>100</v>
      </c>
      <c r="K21" s="3488"/>
      <c r="L21" s="3476"/>
      <c r="M21" s="3422"/>
      <c r="N21" s="3422"/>
      <c r="O21" s="3467"/>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517"/>
      <c r="C22" s="3507" t="s">
        <v>3078</v>
      </c>
      <c r="D22" s="3496"/>
      <c r="E22" s="3495" t="s">
        <v>3078</v>
      </c>
      <c r="F22" s="3497"/>
      <c r="G22" s="3495" t="s">
        <v>3078</v>
      </c>
      <c r="H22" s="3496"/>
      <c r="I22" s="3495" t="s">
        <v>3078</v>
      </c>
      <c r="J22" s="3496"/>
      <c r="K22" s="3518"/>
      <c r="L22" s="3476"/>
      <c r="M22" s="3422"/>
      <c r="N22" s="3422"/>
      <c r="O22" s="3467"/>
      <c r="P22" s="4126"/>
      <c r="Q22" s="3489"/>
      <c r="R22" s="3490"/>
      <c r="S22" s="3491"/>
      <c r="T22" s="3490"/>
      <c r="U22" s="3491"/>
      <c r="V22" s="3490"/>
      <c r="W22" s="3491"/>
      <c r="X22" s="3423"/>
      <c r="Y22" s="4126"/>
      <c r="Z22" s="3492"/>
      <c r="AA22" s="3492">
        <v>1</v>
      </c>
      <c r="AB22" s="3492">
        <v>1</v>
      </c>
      <c r="AC22" s="3492">
        <v>1</v>
      </c>
    </row>
    <row r="23" spans="1:29" ht="42.75">
      <c r="A23" s="3493"/>
      <c r="B23" s="3500" t="s">
        <v>295</v>
      </c>
      <c r="C23" s="3519" t="str">
        <f>[3]估价对象房地状况!C9</f>
        <v>区域自然环境：；人文环境；综合评价环境状况一般</v>
      </c>
      <c r="D23" s="3498">
        <v>100</v>
      </c>
      <c r="E23" s="3502"/>
      <c r="F23" s="3503">
        <f>SUMIF(84:84,E24,85:85)-SUMIF(84:84,C24,85:85)+100</f>
        <v>98</v>
      </c>
      <c r="G23" s="3504"/>
      <c r="H23" s="3498">
        <f>SUMIF(84:84,G24,85:85)-SUMIF(84:84,C24,85:85)+100</f>
        <v>98</v>
      </c>
      <c r="I23" s="3502"/>
      <c r="J23" s="3498">
        <f>SUMIF(84:84,I24,85:85)-SUMIF(84:84,C24,85:85)+100</f>
        <v>98</v>
      </c>
      <c r="K23" s="3488">
        <v>1</v>
      </c>
      <c r="L23" s="3476"/>
      <c r="M23" s="3422"/>
      <c r="N23" s="3422"/>
      <c r="O23" s="3467"/>
      <c r="P23" s="4126"/>
      <c r="Q23" s="3489" t="str">
        <f>B23</f>
        <v>自然及人文环境</v>
      </c>
      <c r="R23" s="3490" t="s">
        <v>8</v>
      </c>
      <c r="S23" s="3491">
        <f>F23</f>
        <v>98</v>
      </c>
      <c r="T23" s="3490" t="s">
        <v>8</v>
      </c>
      <c r="U23" s="3491">
        <f>H23</f>
        <v>98</v>
      </c>
      <c r="V23" s="3490" t="s">
        <v>8</v>
      </c>
      <c r="W23" s="3491">
        <f>J23</f>
        <v>98</v>
      </c>
      <c r="X23" s="3423"/>
      <c r="Y23" s="4126"/>
      <c r="Z23" s="3492" t="str">
        <f>Q23</f>
        <v>自然及人文环境</v>
      </c>
      <c r="AA23" s="3492">
        <f t="shared" si="3"/>
        <v>1.0204081632653061</v>
      </c>
      <c r="AB23" s="3492">
        <f t="shared" si="4"/>
        <v>1.0204081632653061</v>
      </c>
      <c r="AC23" s="3492">
        <f t="shared" si="5"/>
        <v>1.0204081632653061</v>
      </c>
    </row>
    <row r="24" spans="1:29" ht="15">
      <c r="A24" s="3493"/>
      <c r="B24" s="3506"/>
      <c r="C24" s="3495" t="s">
        <v>3077</v>
      </c>
      <c r="D24" s="3496"/>
      <c r="E24" s="3514" t="s">
        <v>3070</v>
      </c>
      <c r="F24" s="3497"/>
      <c r="G24" s="3515" t="s">
        <v>3070</v>
      </c>
      <c r="H24" s="3496"/>
      <c r="I24" s="3514" t="s">
        <v>3070</v>
      </c>
      <c r="J24" s="3496"/>
      <c r="K24" s="3499"/>
      <c r="L24" s="3476"/>
      <c r="M24" s="3422"/>
      <c r="N24" s="3422"/>
      <c r="O24" s="3467"/>
      <c r="P24" s="4126"/>
      <c r="Q24" s="3489"/>
      <c r="R24" s="3490"/>
      <c r="S24" s="3491"/>
      <c r="T24" s="3490"/>
      <c r="U24" s="3491"/>
      <c r="V24" s="3490"/>
      <c r="W24" s="3491"/>
      <c r="X24" s="3423"/>
      <c r="Y24" s="4126"/>
      <c r="Z24" s="3492"/>
      <c r="AA24" s="3492">
        <v>1</v>
      </c>
      <c r="AB24" s="3492">
        <v>1</v>
      </c>
      <c r="AC24" s="3492">
        <v>1</v>
      </c>
    </row>
    <row r="25" spans="1:29" ht="15">
      <c r="A25" s="3493"/>
      <c r="B25" s="3520" t="s">
        <v>763</v>
      </c>
      <c r="C25" s="3521" t="s">
        <v>3083</v>
      </c>
      <c r="D25" s="3475">
        <v>100</v>
      </c>
      <c r="E25" s="3521" t="s">
        <v>3083</v>
      </c>
      <c r="F25" s="3522">
        <f>SUMIF(86:86,E25,87:87)-SUMIF(86:86,C25,87:87)+100</f>
        <v>100</v>
      </c>
      <c r="G25" s="3521" t="s">
        <v>3081</v>
      </c>
      <c r="H25" s="3475">
        <f>SUMIF(86:86,G25,87:87)-SUMIF(86:86,C25,87:87)+100</f>
        <v>101</v>
      </c>
      <c r="I25" s="3521" t="s">
        <v>3081</v>
      </c>
      <c r="J25" s="3475">
        <f>SUMIF(86:86,I25,87:87)-SUMIF(86:86,C25,87:87)+100</f>
        <v>101</v>
      </c>
      <c r="K25" s="3458">
        <v>1</v>
      </c>
      <c r="L25" s="3476"/>
      <c r="M25" s="3422"/>
      <c r="N25" s="3422"/>
      <c r="O25" s="3467"/>
      <c r="P25" s="4126"/>
      <c r="Q25" s="3489" t="str">
        <f t="shared" ref="Q25:Q46" si="11">B25</f>
        <v>临街状况</v>
      </c>
      <c r="R25" s="3490" t="s">
        <v>8</v>
      </c>
      <c r="S25" s="3491">
        <f>F25</f>
        <v>100</v>
      </c>
      <c r="T25" s="3490" t="s">
        <v>8</v>
      </c>
      <c r="U25" s="3491">
        <f>H25</f>
        <v>101</v>
      </c>
      <c r="V25" s="3490" t="s">
        <v>8</v>
      </c>
      <c r="W25" s="3491">
        <f>J25</f>
        <v>101</v>
      </c>
      <c r="X25" s="3423"/>
      <c r="Y25" s="4126"/>
      <c r="Z25" s="3492" t="str">
        <f>Q25</f>
        <v>临街状况</v>
      </c>
      <c r="AA25" s="3492">
        <f t="shared" si="3"/>
        <v>1</v>
      </c>
      <c r="AB25" s="3492">
        <f t="shared" si="4"/>
        <v>0.99009900990099009</v>
      </c>
      <c r="AC25" s="3492">
        <f t="shared" si="5"/>
        <v>0.99009900990099009</v>
      </c>
    </row>
    <row r="26" spans="1:29" ht="15">
      <c r="A26" s="3493"/>
      <c r="B26" s="3523" t="s">
        <v>3181</v>
      </c>
      <c r="C26" s="3472"/>
      <c r="D26" s="3475">
        <v>100</v>
      </c>
      <c r="E26" s="3472"/>
      <c r="F26" s="3522">
        <f>SUMIF(88:88,E26,89:89)-SUMIF(88:88,C26,89:89)+100</f>
        <v>100</v>
      </c>
      <c r="G26" s="3472"/>
      <c r="H26" s="3475">
        <f>SUMIF(88:88,G26,89:89)-SUMIF(88:88,C26,89:89)+100</f>
        <v>100</v>
      </c>
      <c r="I26" s="3472"/>
      <c r="J26" s="3475">
        <f>SUMIF(88:88,I26,89:89)-SUMIF(88:88,C26,89:89)+100</f>
        <v>100</v>
      </c>
      <c r="K26" s="3474"/>
      <c r="L26" s="3476"/>
      <c r="M26" s="3422"/>
      <c r="N26" s="3422"/>
      <c r="O26" s="3467"/>
      <c r="P26" s="4126"/>
      <c r="Q26" s="3489" t="str">
        <f t="shared" si="11"/>
        <v>平面位置/可视性</v>
      </c>
      <c r="R26" s="3490" t="s">
        <v>8</v>
      </c>
      <c r="S26" s="3491">
        <f>F26</f>
        <v>100</v>
      </c>
      <c r="T26" s="3490" t="s">
        <v>8</v>
      </c>
      <c r="U26" s="3491">
        <f>H26</f>
        <v>100</v>
      </c>
      <c r="V26" s="3490" t="s">
        <v>8</v>
      </c>
      <c r="W26" s="3491">
        <f>J26</f>
        <v>100</v>
      </c>
      <c r="X26" s="3423"/>
      <c r="Y26" s="4126"/>
      <c r="Z26" s="3492" t="str">
        <f>Q26</f>
        <v>平面位置/可视性</v>
      </c>
      <c r="AA26" s="3492">
        <f t="shared" si="3"/>
        <v>1</v>
      </c>
      <c r="AB26" s="3492">
        <f t="shared" si="4"/>
        <v>1</v>
      </c>
      <c r="AC26" s="3492">
        <f t="shared" si="5"/>
        <v>1</v>
      </c>
    </row>
    <row r="27" spans="1:29" s="3442" customFormat="1" ht="15">
      <c r="A27" s="3524"/>
      <c r="B27" s="3500" t="s">
        <v>3182</v>
      </c>
      <c r="C27" s="3525" t="s">
        <v>3088</v>
      </c>
      <c r="D27" s="3526">
        <v>100</v>
      </c>
      <c r="E27" s="3525" t="s">
        <v>3070</v>
      </c>
      <c r="F27" s="3506">
        <f>SUMIF(90:90,E27,91:91)-SUMIF(90:90,C27,91:91)+100</f>
        <v>98</v>
      </c>
      <c r="G27" s="3525" t="s">
        <v>3070</v>
      </c>
      <c r="H27" s="3526">
        <f>SUMIF(90:90,G27,91:91)-SUMIF(90:90,C27,91:91)+100</f>
        <v>98</v>
      </c>
      <c r="I27" s="3525" t="s">
        <v>3095</v>
      </c>
      <c r="J27" s="3526">
        <f>SUMIF(90:90,I27,91:91)-SUMIF(90:90,C27,91:91)+100</f>
        <v>99</v>
      </c>
      <c r="K27" s="3458">
        <v>1</v>
      </c>
      <c r="L27" s="3436"/>
      <c r="M27" s="3437"/>
      <c r="N27" s="3437"/>
      <c r="O27" s="3452"/>
      <c r="P27" s="4126"/>
      <c r="Q27" s="3453" t="str">
        <f t="shared" si="11"/>
        <v>人流量</v>
      </c>
      <c r="R27" s="3438" t="s">
        <v>8</v>
      </c>
      <c r="S27" s="3439">
        <f>F27</f>
        <v>98</v>
      </c>
      <c r="T27" s="3438" t="s">
        <v>8</v>
      </c>
      <c r="U27" s="3439">
        <f>H27</f>
        <v>98</v>
      </c>
      <c r="V27" s="3438" t="s">
        <v>8</v>
      </c>
      <c r="W27" s="3439">
        <f>J27</f>
        <v>99</v>
      </c>
      <c r="X27" s="3440"/>
      <c r="Y27" s="4126"/>
      <c r="Z27" s="3441" t="str">
        <f>Q27</f>
        <v>人流量</v>
      </c>
      <c r="AA27" s="3492">
        <f>D27/F27</f>
        <v>1.0204081632653061</v>
      </c>
      <c r="AB27" s="3492">
        <f>D27/H27</f>
        <v>1.0204081632653061</v>
      </c>
      <c r="AC27" s="3492">
        <f>D27/J27</f>
        <v>1.0101010101010102</v>
      </c>
    </row>
    <row r="28" spans="1:29" ht="15">
      <c r="A28" s="3493"/>
      <c r="B28" s="3520" t="s">
        <v>737</v>
      </c>
      <c r="C28" s="3521" t="s">
        <v>3100</v>
      </c>
      <c r="D28" s="3475">
        <v>100</v>
      </c>
      <c r="E28" s="3521" t="s">
        <v>3100</v>
      </c>
      <c r="F28" s="3522">
        <f>SUMIF(92:92,E28,93:93)-SUMIF(92:92,C28,93:93)+100</f>
        <v>100</v>
      </c>
      <c r="G28" s="3521" t="s">
        <v>3100</v>
      </c>
      <c r="H28" s="3475">
        <f>SUMIF(92:92,G28,93:93)-SUMIF(92:92,C28,93:93)+100</f>
        <v>100</v>
      </c>
      <c r="I28" s="3521" t="s">
        <v>3100</v>
      </c>
      <c r="J28" s="3475">
        <f>SUMIF(92:92,I28,93:93)-SUMIF(92:92,C28,93:93)+100</f>
        <v>100</v>
      </c>
      <c r="K28" s="3474"/>
      <c r="L28" s="3476"/>
      <c r="M28" s="3422"/>
      <c r="N28" s="3422"/>
      <c r="O28" s="3467"/>
      <c r="P28" s="4126"/>
      <c r="Q28" s="3489" t="str">
        <f t="shared" si="11"/>
        <v>楼层</v>
      </c>
      <c r="R28" s="3490" t="s">
        <v>8</v>
      </c>
      <c r="S28" s="3491">
        <f t="shared" ref="S28:S46" si="12">F28</f>
        <v>100</v>
      </c>
      <c r="T28" s="3490" t="s">
        <v>8</v>
      </c>
      <c r="U28" s="3491">
        <f t="shared" ref="U28:U46" si="13">H28</f>
        <v>100</v>
      </c>
      <c r="V28" s="3490" t="s">
        <v>8</v>
      </c>
      <c r="W28" s="3491">
        <f t="shared" ref="W28:W46" si="14">J28</f>
        <v>100</v>
      </c>
      <c r="X28" s="3423"/>
      <c r="Y28" s="4126"/>
      <c r="Z28" s="3492" t="str">
        <f t="shared" ref="Z28:Z46" si="15">Q28</f>
        <v>楼层</v>
      </c>
      <c r="AA28" s="3492">
        <f t="shared" si="3"/>
        <v>1</v>
      </c>
      <c r="AB28" s="3492">
        <f t="shared" si="4"/>
        <v>1</v>
      </c>
      <c r="AC28" s="3492">
        <f t="shared" si="5"/>
        <v>1</v>
      </c>
    </row>
    <row r="29" spans="1:29" ht="15">
      <c r="A29" s="3493"/>
      <c r="B29" s="3527" t="s">
        <v>3183</v>
      </c>
      <c r="C29" s="3528" t="s">
        <v>3184</v>
      </c>
      <c r="D29" s="3475">
        <v>100</v>
      </c>
      <c r="E29" s="3528" t="s">
        <v>3184</v>
      </c>
      <c r="F29" s="3522">
        <f>SUMIF(94:94,E29,95:95)-SUMIF(94:94,C29,95:95)+100</f>
        <v>100</v>
      </c>
      <c r="G29" s="3528" t="s">
        <v>3184</v>
      </c>
      <c r="H29" s="3475">
        <f>SUMIF(94:94,G29,95:95)-SUMIF(94:94,C29,95:95)+100</f>
        <v>100</v>
      </c>
      <c r="I29" s="3528" t="s">
        <v>3184</v>
      </c>
      <c r="J29" s="3475">
        <f>SUMIF(94:94,I29,95:95)-SUMIF(94:94,C29,95:95)+100</f>
        <v>100</v>
      </c>
      <c r="K29" s="3474"/>
      <c r="L29" s="3476"/>
      <c r="M29" s="3422"/>
      <c r="N29" s="3422"/>
      <c r="O29" s="3467"/>
      <c r="P29" s="4126"/>
      <c r="Q29" s="3489" t="str">
        <f t="shared" si="11"/>
        <v xml:space="preserve">临街 </v>
      </c>
      <c r="R29" s="3490" t="s">
        <v>8</v>
      </c>
      <c r="S29" s="3491">
        <f t="shared" si="12"/>
        <v>100</v>
      </c>
      <c r="T29" s="3490" t="s">
        <v>8</v>
      </c>
      <c r="U29" s="3491">
        <f t="shared" si="13"/>
        <v>100</v>
      </c>
      <c r="V29" s="3490" t="s">
        <v>8</v>
      </c>
      <c r="W29" s="3491">
        <f t="shared" si="14"/>
        <v>100</v>
      </c>
      <c r="X29" s="3423"/>
      <c r="Y29" s="4126"/>
      <c r="Z29" s="3492" t="str">
        <f t="shared" si="15"/>
        <v xml:space="preserve">临街 </v>
      </c>
      <c r="AA29" s="3492">
        <f t="shared" si="3"/>
        <v>1</v>
      </c>
      <c r="AB29" s="3492">
        <f t="shared" si="4"/>
        <v>1</v>
      </c>
      <c r="AC29" s="3492">
        <f t="shared" si="5"/>
        <v>1</v>
      </c>
    </row>
    <row r="30" spans="1:29" ht="15">
      <c r="A30" s="3493"/>
      <c r="B30" s="3523">
        <v>111</v>
      </c>
      <c r="C30" s="3472"/>
      <c r="D30" s="3475">
        <v>100</v>
      </c>
      <c r="E30" s="3472"/>
      <c r="F30" s="3522">
        <f>SUMIF(96:96,E30,97:97)-SUMIF(96:96,C30,97:97)+100</f>
        <v>100</v>
      </c>
      <c r="G30" s="3472"/>
      <c r="H30" s="3475">
        <f>SUMIF(96:96,G30,97:97)-SUMIF(96:96,C30,97:97)+100</f>
        <v>100</v>
      </c>
      <c r="I30" s="3472"/>
      <c r="J30" s="3475">
        <f>SUMIF(96:96,I30,97:97)-SUMIF(96:96,C30,97:97)+100</f>
        <v>100</v>
      </c>
      <c r="K30" s="3474"/>
      <c r="L30" s="3476"/>
      <c r="M30" s="3422"/>
      <c r="N30" s="3422"/>
      <c r="O30" s="3467"/>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75" thickBot="1">
      <c r="A31" s="3529"/>
      <c r="B31" s="3523">
        <v>111</v>
      </c>
      <c r="C31" s="3479"/>
      <c r="D31" s="3480">
        <v>100</v>
      </c>
      <c r="E31" s="3472"/>
      <c r="F31" s="3530">
        <f>SUMIF(98:98,E31,99:99)-SUMIF(98:98,C31,99:99)+100</f>
        <v>100</v>
      </c>
      <c r="G31" s="3472"/>
      <c r="H31" s="3480">
        <f>SUMIF(98:98,G31,99:99)-SUMIF(98:98,C31,99:99)+100</f>
        <v>100</v>
      </c>
      <c r="I31" s="3472"/>
      <c r="J31" s="3480">
        <f>SUMIF(98:98,I31,99:99)-SUMIF(98:98,C31,99:99)+100</f>
        <v>100</v>
      </c>
      <c r="K31" s="3474"/>
      <c r="L31" s="3476"/>
      <c r="M31" s="3422"/>
      <c r="N31" s="3422"/>
      <c r="O31" s="3467"/>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
      <c r="A32" s="3531" t="s">
        <v>3185</v>
      </c>
      <c r="B32" s="3532" t="s">
        <v>764</v>
      </c>
      <c r="C32" s="3758" t="s">
        <v>3222</v>
      </c>
      <c r="D32" s="3534">
        <v>100</v>
      </c>
      <c r="E32" s="3533" t="s">
        <v>3105</v>
      </c>
      <c r="F32" s="3522">
        <f>SUMIF(100:100,E32,101:101)-SUMIF(100:100,C32,101:101)+100</f>
        <v>99</v>
      </c>
      <c r="G32" s="3533" t="s">
        <v>3105</v>
      </c>
      <c r="H32" s="3475">
        <f>SUMIF(100:100,G32,101:101)-SUMIF(100:100,C32,101:101)+100</f>
        <v>99</v>
      </c>
      <c r="I32" s="3533" t="s">
        <v>3105</v>
      </c>
      <c r="J32" s="3534">
        <f>SUMIF(100:100,I32,101:101)-SUMIF(100:100,C32,101:101)+100</f>
        <v>99</v>
      </c>
      <c r="K32" s="3458">
        <v>1</v>
      </c>
      <c r="L32" s="3476"/>
      <c r="M32" s="3422"/>
      <c r="N32" s="3422"/>
      <c r="O32" s="3467"/>
      <c r="P32" s="4127" t="s">
        <v>542</v>
      </c>
      <c r="Q32" s="3489" t="str">
        <f t="shared" si="11"/>
        <v>商业类型</v>
      </c>
      <c r="R32" s="3490" t="s">
        <v>8</v>
      </c>
      <c r="S32" s="3491">
        <f t="shared" si="12"/>
        <v>99</v>
      </c>
      <c r="T32" s="3490" t="s">
        <v>8</v>
      </c>
      <c r="U32" s="3491">
        <f t="shared" si="13"/>
        <v>99</v>
      </c>
      <c r="V32" s="3490" t="s">
        <v>8</v>
      </c>
      <c r="W32" s="3491">
        <f t="shared" si="14"/>
        <v>99</v>
      </c>
      <c r="X32" s="3423"/>
      <c r="Y32" s="4128" t="s">
        <v>542</v>
      </c>
      <c r="Z32" s="3492" t="str">
        <f t="shared" si="15"/>
        <v>商业类型</v>
      </c>
      <c r="AA32" s="3492">
        <f t="shared" si="3"/>
        <v>1.0101010101010102</v>
      </c>
      <c r="AB32" s="3492">
        <f t="shared" si="4"/>
        <v>1.0101010101010102</v>
      </c>
      <c r="AC32" s="3492">
        <f t="shared" si="5"/>
        <v>1.0101010101010102</v>
      </c>
    </row>
    <row r="33" spans="1:29" s="3544" customFormat="1" ht="15">
      <c r="A33" s="3535"/>
      <c r="B33" s="3520" t="s">
        <v>718</v>
      </c>
      <c r="C33" s="3536">
        <f>'数据-汇总表'!F20</f>
        <v>306100</v>
      </c>
      <c r="D33" s="3456">
        <v>100</v>
      </c>
      <c r="E33" s="3465">
        <v>165</v>
      </c>
      <c r="F33" s="3520">
        <f>LOOKUP(E33,103:103,104:104)-LOOKUP(C33,103:103,104:104)+100</f>
        <v>102</v>
      </c>
      <c r="G33" s="3464">
        <v>167</v>
      </c>
      <c r="H33" s="3456">
        <f>LOOKUP(G33,103:103,104:104)-LOOKUP(C33,103:103,104:104)+100</f>
        <v>102</v>
      </c>
      <c r="I33" s="3464">
        <v>223.3</v>
      </c>
      <c r="J33" s="3456">
        <f>LOOKUP(I33,103:103,104:104)-LOOKUP(C33,103:103,104:104)+100</f>
        <v>102</v>
      </c>
      <c r="K33" s="3474"/>
      <c r="L33" s="3466"/>
      <c r="M33" s="3537"/>
      <c r="N33" s="3537"/>
      <c r="O33" s="3538"/>
      <c r="P33" s="4128"/>
      <c r="Q33" s="3539" t="str">
        <f t="shared" si="11"/>
        <v>项目建筑规模</v>
      </c>
      <c r="R33" s="3540" t="s">
        <v>8</v>
      </c>
      <c r="S33" s="3541">
        <f t="shared" si="12"/>
        <v>102</v>
      </c>
      <c r="T33" s="3540" t="s">
        <v>8</v>
      </c>
      <c r="U33" s="3541">
        <f t="shared" si="13"/>
        <v>102</v>
      </c>
      <c r="V33" s="3540" t="s">
        <v>8</v>
      </c>
      <c r="W33" s="3541">
        <f t="shared" si="14"/>
        <v>102</v>
      </c>
      <c r="X33" s="3542"/>
      <c r="Y33" s="4128"/>
      <c r="Z33" s="3543" t="str">
        <f t="shared" si="15"/>
        <v>项目建筑规模</v>
      </c>
      <c r="AA33" s="3492">
        <f t="shared" si="3"/>
        <v>0.98039215686274506</v>
      </c>
      <c r="AB33" s="3492">
        <f t="shared" si="4"/>
        <v>0.98039215686274506</v>
      </c>
      <c r="AC33" s="3492">
        <f t="shared" si="5"/>
        <v>0.98039215686274506</v>
      </c>
    </row>
    <row r="34" spans="1:29" ht="15">
      <c r="A34" s="3545"/>
      <c r="B34" s="3520" t="s">
        <v>719</v>
      </c>
      <c r="C34" s="3546"/>
      <c r="D34" s="3475">
        <v>100</v>
      </c>
      <c r="E34" s="3547"/>
      <c r="F34" s="3522">
        <f>SUMIF(105:105,E34,106:106)-SUMIF(105:105,C34,106:106)+100</f>
        <v>100</v>
      </c>
      <c r="G34" s="3546"/>
      <c r="H34" s="3475">
        <f>SUMIF(105:105,G34,106:106)-SUMIF(105:105,C34,106:106)+100</f>
        <v>100</v>
      </c>
      <c r="I34" s="3546"/>
      <c r="J34" s="3475">
        <f>SUMIF(105:105,I34,106:106)-SUMIF(105:105,C34,106:106)+100</f>
        <v>100</v>
      </c>
      <c r="K34" s="3458"/>
      <c r="L34" s="3476"/>
      <c r="M34" s="3422"/>
      <c r="N34" s="3422"/>
      <c r="O34" s="3467"/>
      <c r="P34" s="4128"/>
      <c r="Q34" s="3489" t="str">
        <f t="shared" si="11"/>
        <v>建筑结构</v>
      </c>
      <c r="R34" s="3490" t="s">
        <v>8</v>
      </c>
      <c r="S34" s="3491">
        <f t="shared" si="12"/>
        <v>100</v>
      </c>
      <c r="T34" s="3490" t="s">
        <v>8</v>
      </c>
      <c r="U34" s="3491">
        <f t="shared" si="13"/>
        <v>100</v>
      </c>
      <c r="V34" s="3490" t="s">
        <v>8</v>
      </c>
      <c r="W34" s="3491">
        <f t="shared" si="14"/>
        <v>100</v>
      </c>
      <c r="X34" s="3423"/>
      <c r="Y34" s="4128"/>
      <c r="Z34" s="3492" t="str">
        <f t="shared" si="15"/>
        <v>建筑结构</v>
      </c>
      <c r="AA34" s="3492">
        <f t="shared" si="3"/>
        <v>1</v>
      </c>
      <c r="AB34" s="3492">
        <f t="shared" si="4"/>
        <v>1</v>
      </c>
      <c r="AC34" s="3492">
        <f t="shared" si="5"/>
        <v>1</v>
      </c>
    </row>
    <row r="35" spans="1:29" ht="15">
      <c r="A35" s="3545"/>
      <c r="B35" s="3520" t="s">
        <v>743</v>
      </c>
      <c r="C35" s="3548"/>
      <c r="D35" s="3475">
        <v>100</v>
      </c>
      <c r="E35" s="3548"/>
      <c r="F35" s="3522">
        <f>SUMIF(107:107,E35,108:108)-SUMIF(107:107,C35,108:108)+100</f>
        <v>100</v>
      </c>
      <c r="G35" s="3548"/>
      <c r="H35" s="3475">
        <f>SUMIF(107:107,G35,108:108)-SUMIF(107:107,C35,108:108)+100</f>
        <v>100</v>
      </c>
      <c r="I35" s="3548"/>
      <c r="J35" s="3475">
        <f>SUMIF(107:107,I35,108:108)-SUMIF(107:107,C35,108:108)+100</f>
        <v>100</v>
      </c>
      <c r="K35" s="3458"/>
      <c r="L35" s="3476"/>
      <c r="M35" s="3422"/>
      <c r="N35" s="3422"/>
      <c r="O35" s="3467"/>
      <c r="P35" s="4128"/>
      <c r="Q35" s="3489" t="str">
        <f t="shared" si="11"/>
        <v>公共部分装修</v>
      </c>
      <c r="R35" s="3490" t="s">
        <v>8</v>
      </c>
      <c r="S35" s="3491">
        <f t="shared" si="12"/>
        <v>100</v>
      </c>
      <c r="T35" s="3490" t="s">
        <v>8</v>
      </c>
      <c r="U35" s="3491">
        <f t="shared" si="13"/>
        <v>100</v>
      </c>
      <c r="V35" s="3490" t="s">
        <v>8</v>
      </c>
      <c r="W35" s="3491">
        <f t="shared" si="14"/>
        <v>100</v>
      </c>
      <c r="X35" s="3423"/>
      <c r="Y35" s="4128"/>
      <c r="Z35" s="3492" t="str">
        <f t="shared" si="15"/>
        <v>公共部分装修</v>
      </c>
      <c r="AA35" s="3492">
        <f t="shared" si="3"/>
        <v>1</v>
      </c>
      <c r="AB35" s="3492">
        <f t="shared" si="4"/>
        <v>1</v>
      </c>
      <c r="AC35" s="3492">
        <f t="shared" si="5"/>
        <v>1</v>
      </c>
    </row>
    <row r="36" spans="1:29" ht="15">
      <c r="A36" s="3545"/>
      <c r="B36" s="3520" t="s">
        <v>744</v>
      </c>
      <c r="C36" s="3549">
        <v>1</v>
      </c>
      <c r="D36" s="3475">
        <v>100</v>
      </c>
      <c r="E36" s="3549">
        <v>0.85</v>
      </c>
      <c r="F36" s="3522">
        <f>LOOKUP(E36,110:110,111:111)-LOOKUP(C36,110:110,111:111)+100</f>
        <v>98</v>
      </c>
      <c r="G36" s="3549">
        <v>0.85</v>
      </c>
      <c r="H36" s="3522">
        <f>LOOKUP(G36,110:110,111:111)-LOOKUP(C36,110:110,111:111)+100</f>
        <v>98</v>
      </c>
      <c r="I36" s="3549">
        <v>0.85</v>
      </c>
      <c r="J36" s="3475">
        <f>LOOKUP(I36,110:110,111:111)-LOOKUP(C36,110:110,111:111)+100</f>
        <v>98</v>
      </c>
      <c r="K36" s="3458">
        <v>2</v>
      </c>
      <c r="L36" s="3476"/>
      <c r="M36" s="3422"/>
      <c r="N36" s="3422"/>
      <c r="O36" s="3467"/>
      <c r="P36" s="4128"/>
      <c r="Q36" s="3489" t="str">
        <f t="shared" si="11"/>
        <v>成新度</v>
      </c>
      <c r="R36" s="3490" t="s">
        <v>8</v>
      </c>
      <c r="S36" s="3491">
        <f t="shared" si="12"/>
        <v>98</v>
      </c>
      <c r="T36" s="3490" t="s">
        <v>8</v>
      </c>
      <c r="U36" s="3491">
        <f t="shared" si="13"/>
        <v>98</v>
      </c>
      <c r="V36" s="3490" t="s">
        <v>8</v>
      </c>
      <c r="W36" s="3491">
        <f t="shared" si="14"/>
        <v>98</v>
      </c>
      <c r="X36" s="3423"/>
      <c r="Y36" s="4128"/>
      <c r="Z36" s="3492" t="str">
        <f t="shared" si="15"/>
        <v>成新度</v>
      </c>
      <c r="AA36" s="3492">
        <f t="shared" si="3"/>
        <v>1.0204081632653061</v>
      </c>
      <c r="AB36" s="3492">
        <f t="shared" si="4"/>
        <v>1.0204081632653061</v>
      </c>
      <c r="AC36" s="3492">
        <f t="shared" si="5"/>
        <v>1.0204081632653061</v>
      </c>
    </row>
    <row r="37" spans="1:29" s="3442" customFormat="1" ht="15">
      <c r="A37" s="3550"/>
      <c r="B37" s="3551" t="s">
        <v>2535</v>
      </c>
      <c r="C37" s="3548"/>
      <c r="D37" s="3456">
        <v>100</v>
      </c>
      <c r="E37" s="3548"/>
      <c r="F37" s="3522">
        <f>SUMIF(112:112,E37,113:113)-SUMIF(112:112,C37,113:113)+100</f>
        <v>100</v>
      </c>
      <c r="G37" s="3548"/>
      <c r="H37" s="3475">
        <f>SUMIF(112:112,G37,113:113)-SUMIF(112:112,C37,113:113)+100</f>
        <v>100</v>
      </c>
      <c r="I37" s="3548"/>
      <c r="J37" s="3475">
        <f>SUMIF(112:112,I37,113:113)-SUMIF(112:112,C37,113:113)+100</f>
        <v>100</v>
      </c>
      <c r="K37" s="3458"/>
      <c r="L37" s="3436"/>
      <c r="M37" s="3437"/>
      <c r="N37" s="3437"/>
      <c r="O37" s="3452"/>
      <c r="P37" s="4128"/>
      <c r="Q37" s="3453" t="str">
        <f t="shared" si="11"/>
        <v>市政基础设施</v>
      </c>
      <c r="R37" s="3438" t="s">
        <v>8</v>
      </c>
      <c r="S37" s="3439">
        <f t="shared" si="12"/>
        <v>100</v>
      </c>
      <c r="T37" s="3438" t="s">
        <v>8</v>
      </c>
      <c r="U37" s="3439">
        <f t="shared" si="13"/>
        <v>100</v>
      </c>
      <c r="V37" s="3438" t="s">
        <v>8</v>
      </c>
      <c r="W37" s="3439">
        <f t="shared" si="14"/>
        <v>100</v>
      </c>
      <c r="X37" s="3440"/>
      <c r="Y37" s="4128"/>
      <c r="Z37" s="3441" t="str">
        <f t="shared" si="15"/>
        <v>市政基础设施</v>
      </c>
      <c r="AA37" s="3441">
        <f t="shared" si="3"/>
        <v>1</v>
      </c>
      <c r="AB37" s="3441">
        <f t="shared" si="4"/>
        <v>1</v>
      </c>
      <c r="AC37" s="3441">
        <f t="shared" si="5"/>
        <v>1</v>
      </c>
    </row>
    <row r="38" spans="1:29" ht="15">
      <c r="A38" s="3545"/>
      <c r="B38" s="3520" t="s">
        <v>765</v>
      </c>
      <c r="C38" s="3548"/>
      <c r="D38" s="3475">
        <v>100</v>
      </c>
      <c r="E38" s="3548"/>
      <c r="F38" s="3522">
        <f>SUMIF(114:114,E38,115:115)-SUMIF(114:114,C38,115:115)+100</f>
        <v>100</v>
      </c>
      <c r="G38" s="3548"/>
      <c r="H38" s="3475">
        <f>SUMIF(114:114,G38,115:115)-SUMIF(114:114,C38,115:115)+100</f>
        <v>100</v>
      </c>
      <c r="I38" s="3548"/>
      <c r="J38" s="3475">
        <f>SUMIF(114:114,I38,115:115)-SUMIF(114:114,C38,115:115)+100</f>
        <v>100</v>
      </c>
      <c r="K38" s="3458"/>
      <c r="L38" s="3476"/>
      <c r="M38" s="3422"/>
      <c r="N38" s="3422"/>
      <c r="O38" s="3467"/>
      <c r="P38" s="4128" t="s">
        <v>542</v>
      </c>
      <c r="Q38" s="3489" t="str">
        <f t="shared" si="11"/>
        <v>业态</v>
      </c>
      <c r="R38" s="3490" t="s">
        <v>8</v>
      </c>
      <c r="S38" s="3491">
        <f t="shared" si="12"/>
        <v>100</v>
      </c>
      <c r="T38" s="3490" t="s">
        <v>8</v>
      </c>
      <c r="U38" s="3491">
        <f t="shared" si="13"/>
        <v>100</v>
      </c>
      <c r="V38" s="3490" t="s">
        <v>8</v>
      </c>
      <c r="W38" s="3491">
        <f t="shared" si="14"/>
        <v>100</v>
      </c>
      <c r="X38" s="3423"/>
      <c r="Y38" s="4128" t="s">
        <v>542</v>
      </c>
      <c r="Z38" s="3492" t="str">
        <f t="shared" si="15"/>
        <v>业态</v>
      </c>
      <c r="AA38" s="3492">
        <f t="shared" si="3"/>
        <v>1</v>
      </c>
      <c r="AB38" s="3492">
        <f t="shared" si="4"/>
        <v>1</v>
      </c>
      <c r="AC38" s="3492">
        <f t="shared" si="5"/>
        <v>1</v>
      </c>
    </row>
    <row r="39" spans="1:29" ht="15">
      <c r="A39" s="3545"/>
      <c r="B39" s="3520" t="s">
        <v>766</v>
      </c>
      <c r="C39" s="3548"/>
      <c r="D39" s="3475">
        <v>100</v>
      </c>
      <c r="E39" s="3548"/>
      <c r="F39" s="3522">
        <f>SUMIF(116:116,E39,117:117)-SUMIF(116:116,C39,117:117)+100</f>
        <v>100</v>
      </c>
      <c r="G39" s="3548"/>
      <c r="H39" s="3475">
        <f>SUMIF(116:116,G39,117:117)-SUMIF(116:116,C39,117:117)+100</f>
        <v>100</v>
      </c>
      <c r="I39" s="3548"/>
      <c r="J39" s="3475">
        <f>SUMIF(116:116,I39,117:117)-SUMIF(116:116,C39,117:117)+100</f>
        <v>100</v>
      </c>
      <c r="K39" s="3458"/>
      <c r="L39" s="3476"/>
      <c r="M39" s="3422"/>
      <c r="N39" s="3422"/>
      <c r="O39" s="3467"/>
      <c r="P39" s="4128"/>
      <c r="Q39" s="3489" t="str">
        <f t="shared" si="11"/>
        <v>层高</v>
      </c>
      <c r="R39" s="3490" t="s">
        <v>8</v>
      </c>
      <c r="S39" s="3491">
        <f t="shared" si="12"/>
        <v>100</v>
      </c>
      <c r="T39" s="3490" t="s">
        <v>8</v>
      </c>
      <c r="U39" s="3491">
        <f t="shared" si="13"/>
        <v>100</v>
      </c>
      <c r="V39" s="3490" t="s">
        <v>8</v>
      </c>
      <c r="W39" s="3491">
        <f t="shared" si="14"/>
        <v>100</v>
      </c>
      <c r="X39" s="3423"/>
      <c r="Y39" s="4128"/>
      <c r="Z39" s="3492" t="str">
        <f t="shared" si="15"/>
        <v>层高</v>
      </c>
      <c r="AA39" s="3492">
        <f t="shared" si="3"/>
        <v>1</v>
      </c>
      <c r="AB39" s="3492">
        <f t="shared" si="4"/>
        <v>1</v>
      </c>
      <c r="AC39" s="3492">
        <f t="shared" si="5"/>
        <v>1</v>
      </c>
    </row>
    <row r="40" spans="1:29" ht="15">
      <c r="A40" s="3545"/>
      <c r="B40" s="3520" t="s">
        <v>767</v>
      </c>
      <c r="C40" s="3552"/>
      <c r="D40" s="3475">
        <v>100</v>
      </c>
      <c r="E40" s="3553"/>
      <c r="F40" s="3522">
        <f>SUMIF(118:118,E40,119:119)-SUMIF(118:118,C40,119:119)+100</f>
        <v>100</v>
      </c>
      <c r="G40" s="3553"/>
      <c r="H40" s="3475">
        <f>SUMIF(118:118,G40,119:119)-SUMIF(118:118,C40,119:119)+100</f>
        <v>100</v>
      </c>
      <c r="I40" s="3553"/>
      <c r="J40" s="3475">
        <f>SUMIF(118:118,I40,119:119)-SUMIF(118:118,C40,119:119)+100</f>
        <v>100</v>
      </c>
      <c r="K40" s="3474"/>
      <c r="L40" s="3476"/>
      <c r="M40" s="3422"/>
      <c r="N40" s="3422"/>
      <c r="O40" s="3467"/>
      <c r="P40" s="4128"/>
      <c r="Q40" s="3489" t="str">
        <f t="shared" si="11"/>
        <v>单套建筑面积</v>
      </c>
      <c r="R40" s="3490" t="s">
        <v>8</v>
      </c>
      <c r="S40" s="3491">
        <f t="shared" si="12"/>
        <v>100</v>
      </c>
      <c r="T40" s="3490" t="s">
        <v>8</v>
      </c>
      <c r="U40" s="3491">
        <f t="shared" si="13"/>
        <v>100</v>
      </c>
      <c r="V40" s="3490" t="s">
        <v>8</v>
      </c>
      <c r="W40" s="3491">
        <f t="shared" si="14"/>
        <v>100</v>
      </c>
      <c r="X40" s="3423"/>
      <c r="Y40" s="4128"/>
      <c r="Z40" s="3492" t="str">
        <f t="shared" si="15"/>
        <v>单套建筑面积</v>
      </c>
      <c r="AA40" s="3492">
        <f t="shared" si="3"/>
        <v>1</v>
      </c>
      <c r="AB40" s="3492">
        <f t="shared" si="4"/>
        <v>1</v>
      </c>
      <c r="AC40" s="3492">
        <f t="shared" si="5"/>
        <v>1</v>
      </c>
    </row>
    <row r="41" spans="1:29" s="3544" customFormat="1" ht="15">
      <c r="A41" s="3535"/>
      <c r="B41" s="3522" t="s">
        <v>761</v>
      </c>
      <c r="C41" s="3521"/>
      <c r="D41" s="3475">
        <v>100</v>
      </c>
      <c r="E41" s="3521"/>
      <c r="F41" s="3522">
        <f>SUMIF(120:120,E41,121:121)-SUMIF(120:120,C41,121:121)+100</f>
        <v>100</v>
      </c>
      <c r="G41" s="3521"/>
      <c r="H41" s="3475">
        <f>SUMIF(120:120,G41,121:121)-SUMIF(120:120,C41,121:121)+100</f>
        <v>100</v>
      </c>
      <c r="I41" s="3521"/>
      <c r="J41" s="3475">
        <f>SUMIF(120:120,I41,121:121)-SUMIF(120:120,C41,121:121)+100</f>
        <v>100</v>
      </c>
      <c r="K41" s="3458"/>
      <c r="L41" s="3466"/>
      <c r="M41" s="3537"/>
      <c r="N41" s="3537"/>
      <c r="O41" s="3538"/>
      <c r="P41" s="4128"/>
      <c r="Q41" s="3539" t="str">
        <f t="shared" si="11"/>
        <v>进深比</v>
      </c>
      <c r="R41" s="3540" t="s">
        <v>8</v>
      </c>
      <c r="S41" s="3541">
        <f t="shared" si="12"/>
        <v>100</v>
      </c>
      <c r="T41" s="3540" t="s">
        <v>8</v>
      </c>
      <c r="U41" s="3541">
        <f t="shared" si="13"/>
        <v>100</v>
      </c>
      <c r="V41" s="3540" t="s">
        <v>8</v>
      </c>
      <c r="W41" s="3541">
        <f t="shared" si="14"/>
        <v>100</v>
      </c>
      <c r="X41" s="3542"/>
      <c r="Y41" s="4128"/>
      <c r="Z41" s="3543" t="str">
        <f t="shared" si="15"/>
        <v>进深比</v>
      </c>
      <c r="AA41" s="3492">
        <f t="shared" si="3"/>
        <v>1</v>
      </c>
      <c r="AB41" s="3492">
        <f t="shared" si="4"/>
        <v>1</v>
      </c>
      <c r="AC41" s="3492">
        <f t="shared" si="5"/>
        <v>1</v>
      </c>
    </row>
    <row r="42" spans="1:29" ht="15">
      <c r="A42" s="3545"/>
      <c r="B42" s="3520" t="s">
        <v>747</v>
      </c>
      <c r="C42" s="3548"/>
      <c r="D42" s="3475">
        <v>100</v>
      </c>
      <c r="E42" s="3548"/>
      <c r="F42" s="3522">
        <f>SUMIF(122:122,E42,123:123)-SUMIF(122:122,C42,123:123)+100</f>
        <v>100</v>
      </c>
      <c r="G42" s="3548"/>
      <c r="H42" s="3475">
        <f>SUMIF(122:122,G42,123:123)-SUMIF(122:122,C42,123:123)+100</f>
        <v>100</v>
      </c>
      <c r="I42" s="3548"/>
      <c r="J42" s="3475">
        <f>SUMIF(122:122,I42,123:123)-SUMIF(122:122,C42,123:123)+100</f>
        <v>100</v>
      </c>
      <c r="K42" s="3458"/>
      <c r="L42" s="3476"/>
      <c r="M42" s="3422"/>
      <c r="N42" s="3422"/>
      <c r="O42" s="3467"/>
      <c r="P42" s="4128"/>
      <c r="Q42" s="3489" t="str">
        <f t="shared" si="11"/>
        <v>内部装修</v>
      </c>
      <c r="R42" s="3490" t="s">
        <v>8</v>
      </c>
      <c r="S42" s="3491">
        <f t="shared" si="12"/>
        <v>100</v>
      </c>
      <c r="T42" s="3490" t="s">
        <v>8</v>
      </c>
      <c r="U42" s="3491">
        <f t="shared" si="13"/>
        <v>100</v>
      </c>
      <c r="V42" s="3490" t="s">
        <v>8</v>
      </c>
      <c r="W42" s="3491">
        <f t="shared" si="14"/>
        <v>100</v>
      </c>
      <c r="X42" s="3423"/>
      <c r="Y42" s="4128"/>
      <c r="Z42" s="3492" t="str">
        <f t="shared" si="15"/>
        <v>内部装修</v>
      </c>
      <c r="AA42" s="3492">
        <f t="shared" si="3"/>
        <v>1</v>
      </c>
      <c r="AB42" s="3492">
        <f t="shared" si="4"/>
        <v>1</v>
      </c>
      <c r="AC42" s="3492">
        <f t="shared" si="5"/>
        <v>1</v>
      </c>
    </row>
    <row r="43" spans="1:29" ht="27">
      <c r="A43" s="3545"/>
      <c r="B43" s="3520" t="s">
        <v>727</v>
      </c>
      <c r="C43" s="3548"/>
      <c r="D43" s="3475">
        <v>100</v>
      </c>
      <c r="E43" s="3548"/>
      <c r="F43" s="3522">
        <f>SUMIF(124:124,E43,125:125)-SUMIF(124:124,C43,125:125)+100</f>
        <v>100</v>
      </c>
      <c r="G43" s="3548"/>
      <c r="H43" s="3475">
        <f>SUMIF(124:124,G43,125:125)-SUMIF(124:124,C43,125:125)+100</f>
        <v>100</v>
      </c>
      <c r="I43" s="3548"/>
      <c r="J43" s="3475">
        <f>SUMIF(124:124,I43,125:125)-SUMIF(124:124,C43,125:125)+100</f>
        <v>100</v>
      </c>
      <c r="K43" s="3458"/>
      <c r="L43" s="3476"/>
      <c r="M43" s="3422"/>
      <c r="N43" s="3422"/>
      <c r="O43" s="3467"/>
      <c r="P43" s="4128"/>
      <c r="Q43" s="3489" t="str">
        <f t="shared" si="11"/>
        <v>内部装修维护情况</v>
      </c>
      <c r="R43" s="3490" t="s">
        <v>8</v>
      </c>
      <c r="S43" s="3491">
        <f t="shared" si="12"/>
        <v>100</v>
      </c>
      <c r="T43" s="3490" t="s">
        <v>8</v>
      </c>
      <c r="U43" s="3491">
        <f t="shared" si="13"/>
        <v>100</v>
      </c>
      <c r="V43" s="3490" t="s">
        <v>8</v>
      </c>
      <c r="W43" s="3491">
        <f t="shared" si="14"/>
        <v>100</v>
      </c>
      <c r="X43" s="3423"/>
      <c r="Y43" s="4128"/>
      <c r="Z43" s="3492" t="str">
        <f t="shared" si="15"/>
        <v>内部装修维护情况</v>
      </c>
      <c r="AA43" s="3492">
        <f t="shared" si="3"/>
        <v>1</v>
      </c>
      <c r="AB43" s="3492">
        <f t="shared" si="4"/>
        <v>1</v>
      </c>
      <c r="AC43" s="3492">
        <f t="shared" si="5"/>
        <v>1</v>
      </c>
    </row>
    <row r="44" spans="1:29" s="3442" customFormat="1" ht="15">
      <c r="A44" s="3550"/>
      <c r="B44" s="3523">
        <v>111</v>
      </c>
      <c r="C44" s="3536"/>
      <c r="D44" s="3456">
        <v>100</v>
      </c>
      <c r="E44" s="3472"/>
      <c r="F44" s="3520">
        <f>SUMIF(126:126,E44,127:127)-SUMIF(126:126,C44,127:127)+100</f>
        <v>100</v>
      </c>
      <c r="G44" s="3472"/>
      <c r="H44" s="3456">
        <f>SUMIF(126:126,G44,127:127)-SUMIF(126:126,C44,127:127)+100</f>
        <v>100</v>
      </c>
      <c r="I44" s="3472"/>
      <c r="J44" s="3456">
        <f>SUMIF(126:126,I44,127:127)-SUMIF(126:126,C44,127:127)+100</f>
        <v>100</v>
      </c>
      <c r="K44" s="3474"/>
      <c r="L44" s="3436"/>
      <c r="M44" s="3437"/>
      <c r="N44" s="3437"/>
      <c r="O44" s="3452"/>
      <c r="P44" s="4128"/>
      <c r="Q44" s="3453">
        <f t="shared" si="11"/>
        <v>111</v>
      </c>
      <c r="R44" s="3438" t="s">
        <v>8</v>
      </c>
      <c r="S44" s="3439">
        <f t="shared" si="12"/>
        <v>100</v>
      </c>
      <c r="T44" s="3438" t="s">
        <v>8</v>
      </c>
      <c r="U44" s="3439">
        <f t="shared" si="13"/>
        <v>100</v>
      </c>
      <c r="V44" s="3438" t="s">
        <v>8</v>
      </c>
      <c r="W44" s="3439">
        <f t="shared" si="14"/>
        <v>100</v>
      </c>
      <c r="X44" s="3440"/>
      <c r="Y44" s="4128"/>
      <c r="Z44" s="3441">
        <f t="shared" si="15"/>
        <v>111</v>
      </c>
      <c r="AA44" s="3441">
        <f t="shared" si="3"/>
        <v>1</v>
      </c>
      <c r="AB44" s="3441">
        <f t="shared" si="4"/>
        <v>1</v>
      </c>
      <c r="AC44" s="3441">
        <f t="shared" si="5"/>
        <v>1</v>
      </c>
    </row>
    <row r="45" spans="1:29" ht="15">
      <c r="A45" s="3545"/>
      <c r="B45" s="3523">
        <v>111</v>
      </c>
      <c r="C45" s="3472"/>
      <c r="D45" s="3475">
        <v>100</v>
      </c>
      <c r="E45" s="3472"/>
      <c r="F45" s="3522">
        <f>SUMIF(128:128,E45,129:129)-SUMIF(128:128,C45,129:129)+100</f>
        <v>100</v>
      </c>
      <c r="G45" s="3472"/>
      <c r="H45" s="3475">
        <f>SUMIF(128:128,G45,129:129)-SUMIF(128:128,C45,129:129)+100</f>
        <v>100</v>
      </c>
      <c r="I45" s="3472"/>
      <c r="J45" s="3475">
        <f>SUMIF(128:128,I45,129:129)-SUMIF(128:128,C45,129:129)+100</f>
        <v>100</v>
      </c>
      <c r="K45" s="3474"/>
      <c r="L45" s="3476"/>
      <c r="M45" s="3422"/>
      <c r="N45" s="3422"/>
      <c r="O45" s="3467"/>
      <c r="P45" s="4128"/>
      <c r="Q45" s="3489">
        <f t="shared" si="11"/>
        <v>111</v>
      </c>
      <c r="R45" s="3490" t="s">
        <v>8</v>
      </c>
      <c r="S45" s="3491">
        <f t="shared" si="12"/>
        <v>100</v>
      </c>
      <c r="T45" s="3490" t="s">
        <v>8</v>
      </c>
      <c r="U45" s="3491">
        <f t="shared" si="13"/>
        <v>100</v>
      </c>
      <c r="V45" s="3490" t="s">
        <v>8</v>
      </c>
      <c r="W45" s="3491">
        <f t="shared" si="14"/>
        <v>100</v>
      </c>
      <c r="X45" s="3423"/>
      <c r="Y45" s="4128"/>
      <c r="Z45" s="3492">
        <f t="shared" si="15"/>
        <v>111</v>
      </c>
      <c r="AA45" s="3492">
        <f t="shared" si="3"/>
        <v>1</v>
      </c>
      <c r="AB45" s="3492">
        <f t="shared" si="4"/>
        <v>1</v>
      </c>
      <c r="AC45" s="3492">
        <f t="shared" si="5"/>
        <v>1</v>
      </c>
    </row>
    <row r="46" spans="1:29" ht="15.75" thickBot="1">
      <c r="A46" s="3554"/>
      <c r="B46" s="3555">
        <v>111</v>
      </c>
      <c r="C46" s="3479"/>
      <c r="D46" s="3480">
        <v>100</v>
      </c>
      <c r="E46" s="3472"/>
      <c r="F46" s="3530">
        <f>SUMIF(130:130,E46,131:131)-SUMIF(130:130,C46,131:131)+100</f>
        <v>100</v>
      </c>
      <c r="G46" s="3472"/>
      <c r="H46" s="3480">
        <f>SUMIF(130:130,G46,131:131)-SUMIF(130:130,C46,131:131)+100</f>
        <v>100</v>
      </c>
      <c r="I46" s="3472"/>
      <c r="J46" s="3480">
        <f>SUMIF(130:130,I46,131:131)-SUMIF(130:130,C46,131:131)+100</f>
        <v>100</v>
      </c>
      <c r="K46" s="3474"/>
      <c r="L46" s="3476"/>
      <c r="M46" s="3422"/>
      <c r="N46" s="3422"/>
      <c r="O46" s="3467"/>
      <c r="P46" s="4129"/>
      <c r="Q46" s="3489">
        <f t="shared" si="11"/>
        <v>111</v>
      </c>
      <c r="R46" s="3490" t="s">
        <v>8</v>
      </c>
      <c r="S46" s="3491">
        <f t="shared" si="12"/>
        <v>100</v>
      </c>
      <c r="T46" s="3490" t="s">
        <v>8</v>
      </c>
      <c r="U46" s="3491">
        <f t="shared" si="13"/>
        <v>100</v>
      </c>
      <c r="V46" s="3490" t="s">
        <v>8</v>
      </c>
      <c r="W46" s="3491">
        <f t="shared" si="14"/>
        <v>100</v>
      </c>
      <c r="X46" s="3423"/>
      <c r="Y46" s="4129"/>
      <c r="Z46" s="3492">
        <f t="shared" si="15"/>
        <v>111</v>
      </c>
      <c r="AA46" s="3492">
        <f t="shared" si="3"/>
        <v>1</v>
      </c>
      <c r="AB46" s="3492">
        <f t="shared" si="4"/>
        <v>1</v>
      </c>
      <c r="AC46" s="3492">
        <f t="shared" si="5"/>
        <v>1</v>
      </c>
    </row>
    <row r="47" spans="1:29" ht="15">
      <c r="A47" s="3556" t="s">
        <v>728</v>
      </c>
      <c r="B47" s="3557"/>
      <c r="C47" s="3558" t="s">
        <v>1</v>
      </c>
      <c r="D47" s="3559"/>
      <c r="E47" s="3560">
        <v>31000</v>
      </c>
      <c r="F47" s="3561"/>
      <c r="G47" s="3562">
        <f>商业案例截图及地图!$A$39</f>
        <v>30958</v>
      </c>
      <c r="H47" s="3563"/>
      <c r="I47" s="3560">
        <f>商业案例截图及地图!$A$75</f>
        <v>30000</v>
      </c>
      <c r="J47" s="3563"/>
      <c r="K47" s="3564"/>
      <c r="L47" s="3565"/>
      <c r="M47" s="3422"/>
      <c r="N47" s="3422"/>
      <c r="O47" s="3422"/>
      <c r="P47" s="4123" t="str">
        <f>A47</f>
        <v>成交单价（元/平方米）</v>
      </c>
      <c r="Q47" s="4123"/>
      <c r="R47" s="4119">
        <f>E47</f>
        <v>31000</v>
      </c>
      <c r="S47" s="4119"/>
      <c r="T47" s="4119">
        <f>G47</f>
        <v>30958</v>
      </c>
      <c r="U47" s="4119"/>
      <c r="V47" s="4119">
        <f>I47</f>
        <v>30000</v>
      </c>
      <c r="W47" s="4119"/>
      <c r="X47" s="3494"/>
      <c r="Y47" s="3566"/>
      <c r="Z47" s="3494"/>
      <c r="AA47" s="3494"/>
      <c r="AB47" s="3494"/>
      <c r="AC47" s="3494"/>
    </row>
    <row r="48" spans="1:29" ht="15.75" thickBot="1">
      <c r="A48" s="3567" t="s">
        <v>2671</v>
      </c>
      <c r="B48" s="3568"/>
      <c r="C48" s="3569">
        <f>R49</f>
        <v>32600</v>
      </c>
      <c r="D48" s="3570" t="s">
        <v>2963</v>
      </c>
      <c r="E48" s="3571">
        <f>R48</f>
        <v>33296</v>
      </c>
      <c r="F48" s="3572"/>
      <c r="G48" s="3569">
        <f>T48</f>
        <v>32922</v>
      </c>
      <c r="H48" s="3572"/>
      <c r="I48" s="3571">
        <f>V48</f>
        <v>31581</v>
      </c>
      <c r="J48" s="3572"/>
      <c r="K48" s="3573">
        <f>F48+H48+J48</f>
        <v>0</v>
      </c>
      <c r="L48" s="3565"/>
      <c r="M48" s="3422"/>
      <c r="N48" s="3422"/>
      <c r="O48" s="3422"/>
      <c r="P48" s="4123" t="str">
        <f>A48</f>
        <v>比较价格（元/平方米）</v>
      </c>
      <c r="Q48" s="4123"/>
      <c r="R48" s="4119">
        <f>IF(F1="售价",ROUND(PRODUCT(R47,AA7:AA46),0),ROUND(PRODUCT(R47,AA7:AA46),0))</f>
        <v>33296</v>
      </c>
      <c r="S48" s="4119"/>
      <c r="T48" s="4119">
        <f>IF(F1="售价",ROUND(PRODUCT(T47,AB7:AB46),0),ROUND(PRODUCT(T47,AB7:AB46),0))</f>
        <v>32922</v>
      </c>
      <c r="U48" s="4119"/>
      <c r="V48" s="4119">
        <f>IF(F1="售价",ROUND(PRODUCT(V47,AC7:AC46),0),ROUND(PRODUCT(V47,AC7:AC46),0))</f>
        <v>31581</v>
      </c>
      <c r="W48" s="4119"/>
      <c r="X48" s="3494"/>
      <c r="Y48" s="3494"/>
      <c r="Z48" s="3494"/>
      <c r="AA48" s="3494"/>
      <c r="AB48" s="3494"/>
      <c r="AC48" s="3494"/>
    </row>
    <row r="49" spans="1:29" ht="15.75" thickBot="1">
      <c r="A49" s="3574" t="s">
        <v>2898</v>
      </c>
      <c r="B49" s="3575"/>
      <c r="C49" s="3428">
        <f>R49</f>
        <v>32600</v>
      </c>
      <c r="D49" s="3428"/>
      <c r="E49" s="3428"/>
      <c r="F49" s="3428"/>
      <c r="G49" s="3428"/>
      <c r="H49" s="3428"/>
      <c r="I49" s="3428"/>
      <c r="J49" s="3428"/>
      <c r="K49" s="3576"/>
      <c r="L49" s="3565"/>
      <c r="M49" s="3422"/>
      <c r="N49" s="3422"/>
      <c r="O49" s="3422"/>
      <c r="P49" s="4141" t="str">
        <f>A49</f>
        <v>估价对象XX用房的比较价格（楼面单价，元/平方米）</v>
      </c>
      <c r="Q49" s="4130"/>
      <c r="R49" s="4132">
        <f>IF(F1="售价",ROUND(IF(D48="简单平均",AVERAGE(R48:V48),R48*F48+T48*H48+V48*J48),0),ROUND(IF(D48="简单平均",AVERAGE(R48:V48),R48*F48+T48*H48+V48*J48),0))</f>
        <v>32600</v>
      </c>
      <c r="S49" s="4132"/>
      <c r="T49" s="4132"/>
      <c r="U49" s="4132"/>
      <c r="V49" s="4132"/>
      <c r="W49" s="4132"/>
      <c r="X49" s="3494"/>
      <c r="Y49" s="3494"/>
      <c r="Z49" s="3494"/>
      <c r="AA49" s="3494"/>
      <c r="AB49" s="3494"/>
      <c r="AC49" s="3494"/>
    </row>
    <row r="50" spans="1:29">
      <c r="A50" s="3577"/>
      <c r="B50" s="3577"/>
      <c r="C50" s="3577"/>
      <c r="D50" s="3577"/>
      <c r="E50" s="3577"/>
      <c r="F50" s="3577"/>
      <c r="G50" s="3578"/>
      <c r="H50" s="3577"/>
      <c r="I50" s="3577"/>
      <c r="J50" s="3577"/>
      <c r="K50" s="3579"/>
      <c r="L50" s="3580"/>
      <c r="M50" s="3422"/>
      <c r="N50" s="3422"/>
      <c r="O50" s="3422"/>
      <c r="P50" s="3422"/>
      <c r="Q50" s="3422"/>
      <c r="R50" s="3422"/>
      <c r="S50" s="3422"/>
      <c r="T50" s="3422"/>
      <c r="U50" s="3422"/>
      <c r="V50" s="3422"/>
      <c r="W50" s="3422"/>
      <c r="X50" s="3422"/>
      <c r="Y50" s="3422"/>
      <c r="Z50" s="3422"/>
      <c r="AA50" s="3422"/>
      <c r="AB50" s="3422"/>
      <c r="AC50" s="3422"/>
    </row>
    <row r="51" spans="1:29">
      <c r="A51" s="3577"/>
      <c r="B51" s="3577"/>
      <c r="C51" s="3577"/>
      <c r="D51" s="3577"/>
      <c r="E51" s="3577"/>
      <c r="F51" s="3577"/>
      <c r="G51" s="3577"/>
      <c r="H51" s="3577"/>
      <c r="I51" s="3577"/>
      <c r="J51" s="3577"/>
      <c r="K51" s="3579"/>
      <c r="L51" s="3580"/>
      <c r="M51" s="3422"/>
      <c r="N51" s="3422"/>
      <c r="O51" s="3422"/>
      <c r="P51" s="3422"/>
      <c r="Q51" s="3422"/>
      <c r="R51" s="3422"/>
      <c r="S51" s="3422"/>
      <c r="T51" s="3422"/>
      <c r="U51" s="3422"/>
      <c r="V51" s="3422"/>
      <c r="W51" s="3422"/>
      <c r="X51" s="3422"/>
      <c r="Y51" s="3422"/>
      <c r="Z51" s="3422"/>
      <c r="AA51" s="3422"/>
      <c r="AB51" s="3422"/>
      <c r="AC51" s="3422"/>
    </row>
    <row r="52" spans="1:29" ht="13.5" customHeight="1">
      <c r="A52" s="3577"/>
      <c r="B52" s="3577"/>
      <c r="C52" s="3581" t="s">
        <v>549</v>
      </c>
      <c r="D52" s="3582"/>
      <c r="E52" s="3583">
        <f>IF(E47&lt;E48,E48/E47-1,E47/E48-1)</f>
        <v>7.406451612903231E-2</v>
      </c>
      <c r="F52" s="3584" t="str">
        <f>IF(OR(E52&gt;=0.3,E52&lt;=-0.3),"超过30%","")</f>
        <v/>
      </c>
      <c r="G52" s="3583">
        <f>IF(G47&lt;G48,G48/G47-1,G47/G48-1)</f>
        <v>6.3440790748756415E-2</v>
      </c>
      <c r="H52" s="3584" t="str">
        <f>IF(OR(G52&gt;=0.3,G52&lt;=-0.3),"超过30%","")</f>
        <v/>
      </c>
      <c r="I52" s="3583">
        <f>IF(I47&lt;I48,I48/I47-1,I47/I48-1)</f>
        <v>5.2699999999999969E-2</v>
      </c>
      <c r="J52" s="3584" t="str">
        <f>IF(OR(I52&gt;=0.3,I52&lt;=-0.3),"超过30%","")</f>
        <v/>
      </c>
      <c r="K52" s="3579"/>
      <c r="L52" s="3580"/>
      <c r="M52" s="3422"/>
      <c r="N52" s="3422"/>
      <c r="O52" s="3422"/>
      <c r="P52" s="3422"/>
      <c r="Q52" s="3422"/>
      <c r="R52" s="3422"/>
      <c r="S52" s="3422"/>
      <c r="T52" s="3422"/>
      <c r="U52" s="3422"/>
      <c r="V52" s="3422"/>
      <c r="W52" s="3422"/>
      <c r="X52" s="3422"/>
      <c r="Y52" s="3422"/>
      <c r="Z52" s="3422"/>
      <c r="AA52" s="3422"/>
      <c r="AB52" s="3422"/>
      <c r="AC52" s="3422"/>
    </row>
    <row r="53" spans="1:29" ht="13.5" customHeight="1">
      <c r="A53" s="3577"/>
      <c r="B53" s="3577"/>
      <c r="C53" s="3581" t="s">
        <v>550</v>
      </c>
      <c r="D53" s="3585"/>
      <c r="E53" s="3583">
        <f>IF(E48&lt;G48,G48/E48-1,E48/G48-1)</f>
        <v>1.1360184678938179E-2</v>
      </c>
      <c r="F53" s="3584" t="str">
        <f>IF(OR(E53&gt;=0.2,E53&lt;=-0.2),"超过20%","")</f>
        <v/>
      </c>
      <c r="G53" s="3583">
        <f>IF(G48&lt;I48,I48/G48-1,G48/I48-1)</f>
        <v>4.2462239954403014E-2</v>
      </c>
      <c r="H53" s="3584" t="str">
        <f>IF(OR(G53&gt;=0.2,G53&lt;=-0.2),"超过20%","")</f>
        <v/>
      </c>
      <c r="I53" s="3583">
        <f>IF(I48&lt;E48,E48/I48-1,I48/E48-1)</f>
        <v>5.430480352110445E-2</v>
      </c>
      <c r="J53" s="3584" t="str">
        <f>IF(OR(I53&gt;=0.2,I53&lt;=-0.2),"超过20%","")</f>
        <v/>
      </c>
      <c r="K53" s="3579"/>
      <c r="L53" s="3580"/>
      <c r="M53" s="3422"/>
      <c r="N53" s="3422"/>
      <c r="O53" s="3422"/>
      <c r="P53" s="3422"/>
      <c r="Q53" s="3422"/>
      <c r="R53" s="3422"/>
      <c r="S53" s="3422"/>
      <c r="T53" s="3422"/>
      <c r="U53" s="3422"/>
      <c r="V53" s="3422"/>
      <c r="W53" s="3422"/>
      <c r="X53" s="3422"/>
      <c r="Y53" s="3422"/>
      <c r="Z53" s="3422"/>
      <c r="AA53" s="3422"/>
      <c r="AB53" s="3422"/>
      <c r="AC53" s="3422"/>
    </row>
    <row r="54" spans="1:29" s="3590" customFormat="1" ht="13.5" customHeight="1">
      <c r="A54" s="3586"/>
      <c r="B54" s="3586"/>
      <c r="C54" s="3581" t="s">
        <v>551</v>
      </c>
      <c r="D54" s="3585"/>
      <c r="E54" s="3583">
        <f>IF(E47&lt;G47,G47/E47-1,E47/G47-1)</f>
        <v>1.3566767879062969E-3</v>
      </c>
      <c r="F54" s="3584" t="str">
        <f>IF(OR(E54&gt;=0.3,E54&lt;=-0.3),"超过30%","")</f>
        <v/>
      </c>
      <c r="G54" s="3583">
        <f>IF(G47&lt;I47,I47/G47-1,G47/I47-1)</f>
        <v>3.1933333333333369E-2</v>
      </c>
      <c r="H54" s="3584" t="str">
        <f>IF(OR(G54&gt;=0.3,G54&lt;=-0.3),"超过30%","")</f>
        <v/>
      </c>
      <c r="I54" s="3583">
        <f>IF(I47&lt;E47,E47/I47-1,I47/E47-1)</f>
        <v>3.3333333333333437E-2</v>
      </c>
      <c r="J54" s="3584" t="str">
        <f>IF(OR(I54&gt;=0.3,I54&lt;=-0.3),"超过30%","")</f>
        <v/>
      </c>
      <c r="K54" s="3587"/>
      <c r="L54" s="3588"/>
      <c r="M54" s="3589"/>
      <c r="N54" s="3589"/>
      <c r="O54" s="3589"/>
      <c r="P54" s="3589"/>
      <c r="Q54" s="3589"/>
      <c r="R54" s="3589"/>
      <c r="S54" s="3589"/>
      <c r="T54" s="3589"/>
      <c r="U54" s="3589"/>
      <c r="V54" s="3589"/>
      <c r="W54" s="3589"/>
      <c r="X54" s="3589"/>
      <c r="Y54" s="3589"/>
      <c r="Z54" s="3589"/>
      <c r="AA54" s="3589"/>
      <c r="AB54" s="3589"/>
      <c r="AC54" s="3589"/>
    </row>
    <row r="55" spans="1:29" s="3590" customFormat="1">
      <c r="A55" s="3589"/>
      <c r="B55" s="3591"/>
      <c r="C55" s="3592"/>
      <c r="D55" s="3589"/>
      <c r="E55" s="3589"/>
      <c r="F55" s="3589"/>
      <c r="G55" s="3589"/>
      <c r="H55" s="3589"/>
      <c r="I55" s="3589"/>
      <c r="J55" s="3589"/>
      <c r="K55" s="3593"/>
      <c r="L55" s="3588"/>
      <c r="M55" s="3589"/>
      <c r="N55" s="3589"/>
      <c r="O55" s="3589"/>
      <c r="P55" s="3589"/>
      <c r="Q55" s="3589"/>
      <c r="R55" s="3589"/>
      <c r="S55" s="3589"/>
      <c r="T55" s="3589"/>
      <c r="U55" s="3589"/>
      <c r="V55" s="3589"/>
      <c r="W55" s="3589"/>
      <c r="X55" s="3589"/>
      <c r="Y55" s="3589"/>
      <c r="Z55" s="3589"/>
      <c r="AA55" s="3589"/>
      <c r="AB55" s="3589"/>
      <c r="AC55" s="3589"/>
    </row>
    <row r="56" spans="1:29">
      <c r="A56" s="3422"/>
      <c r="B56" s="3591"/>
      <c r="C56" s="3592"/>
      <c r="D56" s="3422"/>
      <c r="E56" s="3422"/>
      <c r="F56" s="3422"/>
      <c r="G56" s="3422"/>
      <c r="H56" s="3422"/>
      <c r="I56" s="3422"/>
      <c r="J56" s="3422"/>
      <c r="K56" s="3594"/>
      <c r="L56" s="3580"/>
      <c r="M56" s="3422"/>
      <c r="N56" s="3422"/>
      <c r="O56" s="3422"/>
      <c r="P56" s="3422"/>
      <c r="Q56" s="3422"/>
      <c r="R56" s="3422"/>
      <c r="S56" s="3422"/>
      <c r="T56" s="3422"/>
      <c r="U56" s="3422"/>
      <c r="V56" s="3422"/>
      <c r="W56" s="3422"/>
      <c r="X56" s="3422"/>
      <c r="Y56" s="3422"/>
      <c r="Z56" s="3422"/>
      <c r="AA56" s="3422"/>
      <c r="AB56" s="3422"/>
      <c r="AC56" s="3422"/>
    </row>
    <row r="57" spans="1:29" ht="21.75" thickBot="1">
      <c r="A57" s="3595" t="s">
        <v>566</v>
      </c>
      <c r="B57" s="3494"/>
      <c r="C57" s="3596"/>
      <c r="D57" s="3596"/>
      <c r="E57" s="3596"/>
      <c r="F57" s="3597"/>
      <c r="G57" s="3597"/>
      <c r="H57" s="3596"/>
      <c r="I57" s="3596"/>
      <c r="J57" s="3596"/>
      <c r="K57" s="3598"/>
      <c r="L57" s="3599"/>
      <c r="M57" s="3596"/>
      <c r="N57" s="3600"/>
      <c r="O57" s="3600"/>
      <c r="P57" s="3600"/>
      <c r="Q57" s="3601"/>
      <c r="R57" s="3422"/>
      <c r="S57" s="3422"/>
      <c r="T57" s="3422"/>
      <c r="U57" s="3422"/>
      <c r="V57" s="3422"/>
      <c r="W57" s="3422"/>
      <c r="X57" s="3422"/>
      <c r="Y57" s="3422"/>
      <c r="Z57" s="3422"/>
      <c r="AA57" s="3422"/>
      <c r="AB57" s="3422"/>
      <c r="AC57" s="3422"/>
    </row>
    <row r="58" spans="1:29" s="3607" customFormat="1" ht="15">
      <c r="A58" s="3602" t="s">
        <v>521</v>
      </c>
      <c r="B58" s="3603"/>
      <c r="C58" s="3604" t="str">
        <f>YEAR(C7)&amp;"-"&amp;MONTH(C7)</f>
        <v>2021-10</v>
      </c>
      <c r="D58" s="3605">
        <f>EDATE(C58,-1)</f>
        <v>44440</v>
      </c>
      <c r="E58" s="3605">
        <f t="shared" ref="E58:O58" si="16">EDATE(D58,-1)</f>
        <v>44409</v>
      </c>
      <c r="F58" s="3605">
        <f t="shared" si="16"/>
        <v>44378</v>
      </c>
      <c r="G58" s="3605">
        <f t="shared" si="16"/>
        <v>44348</v>
      </c>
      <c r="H58" s="3605">
        <f t="shared" si="16"/>
        <v>44317</v>
      </c>
      <c r="I58" s="3605">
        <f t="shared" si="16"/>
        <v>44287</v>
      </c>
      <c r="J58" s="3605">
        <f t="shared" si="16"/>
        <v>44256</v>
      </c>
      <c r="K58" s="3605">
        <f t="shared" si="16"/>
        <v>44228</v>
      </c>
      <c r="L58" s="3605">
        <f t="shared" si="16"/>
        <v>44197</v>
      </c>
      <c r="M58" s="3605">
        <f t="shared" si="16"/>
        <v>44166</v>
      </c>
      <c r="N58" s="3605">
        <f t="shared" si="16"/>
        <v>44136</v>
      </c>
      <c r="O58" s="3605">
        <f t="shared" si="16"/>
        <v>44105</v>
      </c>
      <c r="P58" s="3606"/>
      <c r="Q58" s="3606"/>
      <c r="R58" s="3606"/>
      <c r="S58" s="3606"/>
      <c r="T58" s="3606"/>
      <c r="U58" s="3606"/>
      <c r="V58" s="3606"/>
      <c r="W58" s="3606"/>
      <c r="X58" s="3606"/>
      <c r="Y58" s="3606"/>
      <c r="Z58" s="3606"/>
      <c r="AA58" s="3606"/>
      <c r="AB58" s="3606"/>
      <c r="AC58" s="3606"/>
    </row>
    <row r="59" spans="1:29" s="3442" customFormat="1" ht="15">
      <c r="A59" s="3608"/>
      <c r="B59" s="3609"/>
      <c r="C59" s="3610">
        <v>100</v>
      </c>
      <c r="D59" s="3611">
        <v>100</v>
      </c>
      <c r="E59" s="3611"/>
      <c r="F59" s="3611"/>
      <c r="G59" s="3611"/>
      <c r="H59" s="3611"/>
      <c r="I59" s="3611"/>
      <c r="J59" s="3611"/>
      <c r="K59" s="3611"/>
      <c r="L59" s="3611"/>
      <c r="M59" s="3612"/>
      <c r="N59" s="3611"/>
      <c r="O59" s="3613"/>
      <c r="P59" s="3601"/>
      <c r="Q59" s="3437"/>
      <c r="R59" s="3437"/>
      <c r="S59" s="3437"/>
      <c r="T59" s="3437"/>
      <c r="U59" s="3437"/>
      <c r="V59" s="3437"/>
      <c r="W59" s="3437"/>
      <c r="X59" s="3437"/>
      <c r="Y59" s="3437"/>
      <c r="Z59" s="3437"/>
      <c r="AA59" s="3437"/>
      <c r="AB59" s="3437"/>
      <c r="AC59" s="3437"/>
    </row>
    <row r="60" spans="1:29" s="3442" customFormat="1" ht="15.75" thickBot="1">
      <c r="A60" s="3614" t="s">
        <v>3186</v>
      </c>
      <c r="B60" s="3615"/>
      <c r="C60" s="3616"/>
      <c r="D60" s="3617"/>
      <c r="E60" s="3617"/>
      <c r="F60" s="3617"/>
      <c r="G60" s="3617"/>
      <c r="H60" s="3617"/>
      <c r="I60" s="3617"/>
      <c r="J60" s="3617"/>
      <c r="K60" s="3617"/>
      <c r="L60" s="3617"/>
      <c r="M60" s="3618"/>
      <c r="N60" s="3617"/>
      <c r="O60" s="3619"/>
      <c r="P60" s="3601"/>
      <c r="Q60" s="3601"/>
      <c r="R60" s="3437"/>
      <c r="S60" s="3437"/>
      <c r="T60" s="3437"/>
      <c r="U60" s="3437"/>
      <c r="V60" s="3437"/>
      <c r="W60" s="3437"/>
      <c r="X60" s="3437"/>
      <c r="Y60" s="3437"/>
      <c r="Z60" s="3437"/>
      <c r="AA60" s="3437"/>
      <c r="AB60" s="3437"/>
      <c r="AC60" s="3437"/>
    </row>
    <row r="61" spans="1:29" s="3442" customFormat="1" ht="15">
      <c r="A61" s="3620" t="s">
        <v>523</v>
      </c>
      <c r="B61" s="3609"/>
      <c r="C61" s="3621" t="s">
        <v>3178</v>
      </c>
      <c r="D61" s="3622"/>
      <c r="E61" s="3622"/>
      <c r="F61" s="3622"/>
      <c r="G61" s="3622"/>
      <c r="H61" s="3622"/>
      <c r="I61" s="3622"/>
      <c r="J61" s="3622"/>
      <c r="K61" s="3622"/>
      <c r="L61" s="3623"/>
      <c r="M61" s="3624"/>
      <c r="N61" s="3625"/>
      <c r="O61" s="3625"/>
      <c r="P61" s="3626"/>
      <c r="Q61" s="3601"/>
      <c r="R61" s="3437"/>
      <c r="S61" s="3437"/>
      <c r="T61" s="3437"/>
      <c r="U61" s="3437"/>
      <c r="V61" s="3437"/>
      <c r="W61" s="3437"/>
      <c r="X61" s="3437"/>
      <c r="Y61" s="3437"/>
      <c r="Z61" s="3437"/>
      <c r="AA61" s="3437"/>
      <c r="AB61" s="3437"/>
      <c r="AC61" s="3437"/>
    </row>
    <row r="62" spans="1:29" s="3442" customFormat="1" ht="15.75" thickBot="1">
      <c r="A62" s="3620"/>
      <c r="B62" s="3609"/>
      <c r="C62" s="3627">
        <v>100</v>
      </c>
      <c r="D62" s="3611"/>
      <c r="E62" s="3611"/>
      <c r="F62" s="3611"/>
      <c r="G62" s="3611"/>
      <c r="H62" s="3611"/>
      <c r="I62" s="3611"/>
      <c r="J62" s="3611"/>
      <c r="K62" s="3611"/>
      <c r="L62" s="3611"/>
      <c r="M62" s="3613"/>
      <c r="N62" s="3625"/>
      <c r="O62" s="3625"/>
      <c r="P62" s="3601"/>
      <c r="Q62" s="3601"/>
      <c r="R62" s="3437"/>
      <c r="S62" s="3437"/>
      <c r="T62" s="3437"/>
      <c r="U62" s="3437"/>
      <c r="V62" s="3437"/>
      <c r="W62" s="3437"/>
      <c r="X62" s="3437"/>
      <c r="Y62" s="3437"/>
      <c r="Z62" s="3437"/>
      <c r="AA62" s="3437"/>
      <c r="AB62" s="3437"/>
      <c r="AC62" s="3628"/>
    </row>
    <row r="63" spans="1:29">
      <c r="A63" s="3629" t="s">
        <v>569</v>
      </c>
      <c r="B63" s="3630" t="s">
        <v>526</v>
      </c>
      <c r="C63" s="3631">
        <f>C9</f>
        <v>0</v>
      </c>
      <c r="D63" s="3632"/>
      <c r="E63" s="3632"/>
      <c r="F63" s="3632"/>
      <c r="G63" s="3632"/>
      <c r="H63" s="3632"/>
      <c r="I63" s="3632"/>
      <c r="J63" s="3632"/>
      <c r="K63" s="3633"/>
      <c r="L63" s="3634"/>
      <c r="M63" s="3635"/>
      <c r="N63" s="3636"/>
      <c r="O63" s="3636"/>
      <c r="P63" s="3625"/>
      <c r="Q63" s="3601"/>
      <c r="R63" s="3422"/>
      <c r="S63" s="3422"/>
      <c r="T63" s="3422"/>
      <c r="U63" s="3422"/>
      <c r="V63" s="3422"/>
      <c r="W63" s="3422"/>
      <c r="X63" s="3422"/>
      <c r="Y63" s="3422"/>
      <c r="Z63" s="3422"/>
      <c r="AA63" s="3422"/>
      <c r="AB63" s="3422"/>
      <c r="AC63" s="3422"/>
    </row>
    <row r="64" spans="1:29" ht="15.75" thickBot="1">
      <c r="A64" s="3493"/>
      <c r="B64" s="3637"/>
      <c r="C64" s="3638"/>
      <c r="D64" s="3638"/>
      <c r="E64" s="3638"/>
      <c r="F64" s="3638"/>
      <c r="G64" s="3638"/>
      <c r="H64" s="3638"/>
      <c r="I64" s="3638"/>
      <c r="J64" s="3638"/>
      <c r="K64" s="3638"/>
      <c r="L64" s="3638"/>
      <c r="M64" s="3639"/>
      <c r="N64" s="3640"/>
      <c r="O64" s="3640"/>
      <c r="P64" s="3625"/>
      <c r="Q64" s="3601"/>
      <c r="R64" s="3422"/>
      <c r="S64" s="3422"/>
      <c r="T64" s="3422"/>
      <c r="U64" s="3422"/>
      <c r="V64" s="3422"/>
      <c r="W64" s="3422"/>
      <c r="X64" s="3422"/>
      <c r="Y64" s="3422"/>
      <c r="Z64" s="3422"/>
      <c r="AA64" s="3422"/>
      <c r="AB64" s="3422"/>
      <c r="AC64" s="3422"/>
    </row>
    <row r="65" spans="1:29" ht="27.75" thickTop="1">
      <c r="A65" s="3493"/>
      <c r="B65" s="3641" t="s">
        <v>529</v>
      </c>
      <c r="C65" s="3642" t="s">
        <v>3187</v>
      </c>
      <c r="D65" s="3642" t="s">
        <v>3188</v>
      </c>
      <c r="E65" s="3642" t="s">
        <v>3189</v>
      </c>
      <c r="F65" s="3642" t="s">
        <v>3190</v>
      </c>
      <c r="G65" s="3642" t="s">
        <v>3191</v>
      </c>
      <c r="H65" s="3642" t="s">
        <v>3192</v>
      </c>
      <c r="I65" s="3642" t="s">
        <v>3193</v>
      </c>
      <c r="J65" s="3642"/>
      <c r="K65" s="3643"/>
      <c r="L65" s="3644"/>
      <c r="M65" s="3645"/>
      <c r="N65" s="3636"/>
      <c r="O65" s="3636"/>
      <c r="P65" s="3625"/>
      <c r="Q65" s="3601"/>
      <c r="R65" s="3422"/>
      <c r="S65" s="3422"/>
      <c r="T65" s="3422"/>
      <c r="U65" s="3422"/>
      <c r="V65" s="3422"/>
      <c r="W65" s="3422"/>
      <c r="X65" s="3422"/>
      <c r="Y65" s="3422"/>
      <c r="Z65" s="3422"/>
      <c r="AA65" s="3422"/>
      <c r="AB65" s="3422"/>
      <c r="AC65" s="3422"/>
    </row>
    <row r="66" spans="1:29" ht="15.75" thickBot="1">
      <c r="A66" s="3493"/>
      <c r="B66" s="3646"/>
      <c r="C66" s="3647" t="s">
        <v>2279</v>
      </c>
      <c r="D66" s="3647" t="s">
        <v>2279</v>
      </c>
      <c r="E66" s="3647" t="s">
        <v>2279</v>
      </c>
      <c r="F66" s="3647">
        <v>100</v>
      </c>
      <c r="G66" s="3647">
        <f>F66-$K10</f>
        <v>98</v>
      </c>
      <c r="H66" s="3647">
        <f>G66-$K10</f>
        <v>96</v>
      </c>
      <c r="I66" s="3647">
        <f>H66-$K10</f>
        <v>94</v>
      </c>
      <c r="J66" s="3647"/>
      <c r="K66" s="3647"/>
      <c r="L66" s="3647"/>
      <c r="M66" s="3648"/>
      <c r="N66" s="3640"/>
      <c r="O66" s="3640"/>
      <c r="P66" s="3625"/>
      <c r="Q66" s="3601"/>
      <c r="R66" s="3422"/>
      <c r="S66" s="3422"/>
      <c r="T66" s="3422"/>
      <c r="U66" s="3422"/>
      <c r="V66" s="3422"/>
      <c r="W66" s="3422"/>
      <c r="X66" s="3422"/>
      <c r="Y66" s="3422"/>
      <c r="Z66" s="3422"/>
      <c r="AA66" s="3422"/>
      <c r="AB66" s="3422"/>
      <c r="AC66" s="3422"/>
    </row>
    <row r="67" spans="1:29" ht="15.75" thickTop="1">
      <c r="A67" s="3493"/>
      <c r="B67" s="3649" t="s">
        <v>530</v>
      </c>
      <c r="C67" s="3650" t="str">
        <f>C68&amp;"（含）"&amp;"-"&amp;D68</f>
        <v>0（含）-1</v>
      </c>
      <c r="D67" s="3650" t="str">
        <f t="shared" ref="D67:L67" si="17">D68&amp;"（含）"&amp;"-"&amp;E68</f>
        <v>1（含）-2</v>
      </c>
      <c r="E67" s="3650" t="str">
        <f t="shared" si="17"/>
        <v>2（含）-</v>
      </c>
      <c r="F67" s="3650" t="str">
        <f t="shared" si="17"/>
        <v>（含）-</v>
      </c>
      <c r="G67" s="3650" t="str">
        <f t="shared" si="17"/>
        <v>（含）-</v>
      </c>
      <c r="H67" s="3650" t="str">
        <f t="shared" si="17"/>
        <v>（含）-</v>
      </c>
      <c r="I67" s="3650" t="str">
        <f t="shared" si="17"/>
        <v>（含）-</v>
      </c>
      <c r="J67" s="3650" t="str">
        <f t="shared" si="17"/>
        <v>（含）-</v>
      </c>
      <c r="K67" s="3650" t="str">
        <f t="shared" si="17"/>
        <v>（含）-</v>
      </c>
      <c r="L67" s="3650" t="str">
        <f t="shared" si="17"/>
        <v>（含）-</v>
      </c>
      <c r="M67" s="3496" t="str">
        <f>M68&amp;"（含）"&amp;"-"&amp;P68</f>
        <v>（含）-</v>
      </c>
      <c r="N67" s="3640"/>
      <c r="O67" s="3640"/>
      <c r="P67" s="3625"/>
      <c r="Q67" s="3601"/>
      <c r="R67" s="3422"/>
      <c r="S67" s="3422"/>
      <c r="T67" s="3422"/>
      <c r="U67" s="3422"/>
      <c r="V67" s="3422"/>
      <c r="W67" s="3422"/>
      <c r="X67" s="3422"/>
      <c r="Y67" s="3422"/>
      <c r="Z67" s="3422"/>
      <c r="AA67" s="3422"/>
      <c r="AB67" s="3422"/>
      <c r="AC67" s="3422"/>
    </row>
    <row r="68" spans="1:29" ht="15">
      <c r="A68" s="3493"/>
      <c r="B68" s="3651"/>
      <c r="C68" s="3652">
        <v>0</v>
      </c>
      <c r="D68" s="3652">
        <v>1</v>
      </c>
      <c r="E68" s="3652">
        <v>2</v>
      </c>
      <c r="F68" s="3652"/>
      <c r="G68" s="3652"/>
      <c r="H68" s="3652"/>
      <c r="I68" s="3652"/>
      <c r="J68" s="3652"/>
      <c r="K68" s="3653"/>
      <c r="L68" s="3654"/>
      <c r="M68" s="3655"/>
      <c r="N68" s="3636"/>
      <c r="O68" s="3636"/>
      <c r="P68" s="3625"/>
      <c r="Q68" s="3601"/>
      <c r="R68" s="3422"/>
      <c r="S68" s="3422"/>
      <c r="T68" s="3422"/>
      <c r="U68" s="3422"/>
      <c r="V68" s="3422"/>
      <c r="W68" s="3422"/>
      <c r="X68" s="3422"/>
      <c r="Y68" s="3422"/>
      <c r="Z68" s="3422"/>
      <c r="AA68" s="3422"/>
      <c r="AB68" s="3422"/>
      <c r="AC68" s="3422"/>
    </row>
    <row r="69" spans="1:29" ht="15.75" thickBot="1">
      <c r="A69" s="3493"/>
      <c r="B69" s="3637"/>
      <c r="C69" s="3647">
        <v>100</v>
      </c>
      <c r="D69" s="3647">
        <f t="shared" ref="D69:M69" si="18">C69-$K11</f>
        <v>100</v>
      </c>
      <c r="E69" s="3647">
        <f t="shared" si="18"/>
        <v>100</v>
      </c>
      <c r="F69" s="3647">
        <f t="shared" si="18"/>
        <v>100</v>
      </c>
      <c r="G69" s="3647">
        <f t="shared" si="18"/>
        <v>100</v>
      </c>
      <c r="H69" s="3647">
        <f t="shared" si="18"/>
        <v>100</v>
      </c>
      <c r="I69" s="3647">
        <f t="shared" si="18"/>
        <v>100</v>
      </c>
      <c r="J69" s="3647">
        <f t="shared" si="18"/>
        <v>100</v>
      </c>
      <c r="K69" s="3647">
        <f t="shared" si="18"/>
        <v>100</v>
      </c>
      <c r="L69" s="3647">
        <f t="shared" si="18"/>
        <v>100</v>
      </c>
      <c r="M69" s="3648">
        <f t="shared" si="18"/>
        <v>100</v>
      </c>
      <c r="N69" s="3640"/>
      <c r="O69" s="3640"/>
      <c r="P69" s="3625"/>
      <c r="Q69" s="3601"/>
      <c r="R69" s="3422"/>
      <c r="S69" s="3422"/>
      <c r="T69" s="3422"/>
      <c r="U69" s="3422"/>
      <c r="V69" s="3422"/>
      <c r="W69" s="3422"/>
      <c r="X69" s="3422"/>
      <c r="Y69" s="3422"/>
      <c r="Z69" s="3422"/>
      <c r="AA69" s="3422"/>
      <c r="AB69" s="3422"/>
      <c r="AC69" s="3422"/>
    </row>
    <row r="70" spans="1:29" s="3544" customFormat="1" ht="15.75" thickTop="1">
      <c r="A70" s="3656"/>
      <c r="B70" s="3641">
        <f>B12</f>
        <v>111</v>
      </c>
      <c r="C70" s="3657"/>
      <c r="D70" s="3657"/>
      <c r="E70" s="3657"/>
      <c r="F70" s="3657"/>
      <c r="G70" s="3657"/>
      <c r="H70" s="3658"/>
      <c r="I70" s="3658"/>
      <c r="J70" s="3658"/>
      <c r="K70" s="3658"/>
      <c r="L70" s="3659"/>
      <c r="M70" s="3660"/>
      <c r="N70" s="3661"/>
      <c r="O70" s="3661"/>
      <c r="P70" s="3661"/>
      <c r="Q70" s="3662"/>
      <c r="R70" s="3537"/>
      <c r="S70" s="3537"/>
      <c r="T70" s="3537"/>
      <c r="U70" s="3537"/>
      <c r="V70" s="3537"/>
      <c r="W70" s="3537"/>
      <c r="X70" s="3537"/>
      <c r="Y70" s="3537"/>
      <c r="Z70" s="3537"/>
      <c r="AA70" s="3537"/>
      <c r="AB70" s="3537"/>
      <c r="AC70" s="3537"/>
    </row>
    <row r="71" spans="1:29" s="3544" customFormat="1" ht="15.75" thickBot="1">
      <c r="A71" s="3656"/>
      <c r="B71" s="3646"/>
      <c r="C71" s="3663"/>
      <c r="D71" s="3638"/>
      <c r="E71" s="3638"/>
      <c r="F71" s="3638"/>
      <c r="G71" s="3638"/>
      <c r="H71" s="3638"/>
      <c r="I71" s="3638"/>
      <c r="J71" s="3638"/>
      <c r="K71" s="3638"/>
      <c r="L71" s="3638"/>
      <c r="M71" s="3639"/>
      <c r="N71" s="3640"/>
      <c r="O71" s="3640"/>
      <c r="P71" s="3661"/>
      <c r="Q71" s="3662"/>
      <c r="R71" s="3537"/>
      <c r="S71" s="3537"/>
      <c r="T71" s="3537"/>
      <c r="U71" s="3537"/>
      <c r="V71" s="3537"/>
      <c r="W71" s="3537"/>
      <c r="X71" s="3537"/>
      <c r="Y71" s="3537"/>
      <c r="Z71" s="3537"/>
      <c r="AA71" s="3537"/>
      <c r="AB71" s="3537"/>
      <c r="AC71" s="3537"/>
    </row>
    <row r="72" spans="1:29" s="3544" customFormat="1" ht="15.75" thickTop="1">
      <c r="A72" s="3656"/>
      <c r="B72" s="3641">
        <f>B13</f>
        <v>111</v>
      </c>
      <c r="C72" s="3657"/>
      <c r="D72" s="3657"/>
      <c r="E72" s="3657"/>
      <c r="F72" s="3657"/>
      <c r="G72" s="3657"/>
      <c r="H72" s="3658"/>
      <c r="I72" s="3658"/>
      <c r="J72" s="3658"/>
      <c r="K72" s="3658"/>
      <c r="L72" s="3659"/>
      <c r="M72" s="3660"/>
      <c r="N72" s="3661"/>
      <c r="O72" s="3661"/>
      <c r="P72" s="3537"/>
      <c r="Q72" s="3664"/>
      <c r="R72" s="3537"/>
      <c r="S72" s="3537"/>
      <c r="T72" s="3537"/>
      <c r="U72" s="3537"/>
      <c r="V72" s="3537"/>
      <c r="W72" s="3537"/>
      <c r="X72" s="3537"/>
      <c r="Y72" s="3537"/>
      <c r="Z72" s="3537"/>
      <c r="AA72" s="3537"/>
      <c r="AB72" s="3537"/>
      <c r="AC72" s="3537"/>
    </row>
    <row r="73" spans="1:29" s="3544" customFormat="1" ht="15.75" thickBot="1">
      <c r="A73" s="3656"/>
      <c r="B73" s="3646"/>
      <c r="C73" s="3663"/>
      <c r="D73" s="3638"/>
      <c r="E73" s="3638"/>
      <c r="F73" s="3638"/>
      <c r="G73" s="3663"/>
      <c r="H73" s="3665"/>
      <c r="I73" s="3665"/>
      <c r="J73" s="3665"/>
      <c r="K73" s="3665"/>
      <c r="L73" s="3665"/>
      <c r="M73" s="3666"/>
      <c r="N73" s="3661"/>
      <c r="O73" s="3661"/>
      <c r="P73" s="3661"/>
      <c r="Q73" s="3662"/>
      <c r="R73" s="3537"/>
      <c r="S73" s="3537"/>
      <c r="T73" s="3537"/>
      <c r="U73" s="3537"/>
      <c r="V73" s="3537"/>
      <c r="W73" s="3537"/>
      <c r="X73" s="3537"/>
      <c r="Y73" s="3537"/>
      <c r="Z73" s="3537"/>
      <c r="AA73" s="3537"/>
      <c r="AB73" s="3537"/>
      <c r="AC73" s="3537"/>
    </row>
    <row r="74" spans="1:29" s="3544" customFormat="1" ht="15.75" thickTop="1">
      <c r="A74" s="3656"/>
      <c r="B74" s="3649">
        <f>B14</f>
        <v>111</v>
      </c>
      <c r="C74" s="3657"/>
      <c r="D74" s="3657"/>
      <c r="E74" s="3657"/>
      <c r="F74" s="3657"/>
      <c r="G74" s="3622"/>
      <c r="H74" s="3667"/>
      <c r="I74" s="3667"/>
      <c r="J74" s="3667"/>
      <c r="K74" s="3667"/>
      <c r="L74" s="3668"/>
      <c r="M74" s="3669"/>
      <c r="N74" s="3661"/>
      <c r="O74" s="3661"/>
      <c r="P74" s="3670"/>
      <c r="Q74" s="3662"/>
      <c r="R74" s="3537"/>
      <c r="S74" s="3537"/>
      <c r="T74" s="3537"/>
      <c r="U74" s="3537"/>
      <c r="V74" s="3537"/>
      <c r="W74" s="3537"/>
      <c r="X74" s="3537"/>
      <c r="Y74" s="3537"/>
      <c r="Z74" s="3537"/>
      <c r="AA74" s="3537"/>
      <c r="AB74" s="3537"/>
      <c r="AC74" s="3537"/>
    </row>
    <row r="75" spans="1:29" s="3544" customFormat="1" ht="15.75" thickBot="1">
      <c r="A75" s="3671"/>
      <c r="B75" s="3672"/>
      <c r="C75" s="3673"/>
      <c r="D75" s="3673"/>
      <c r="E75" s="3673"/>
      <c r="F75" s="3673"/>
      <c r="G75" s="3673"/>
      <c r="H75" s="3674"/>
      <c r="I75" s="3674"/>
      <c r="J75" s="3674"/>
      <c r="K75" s="3674"/>
      <c r="L75" s="3674"/>
      <c r="M75" s="3675"/>
      <c r="N75" s="3661"/>
      <c r="O75" s="3661"/>
      <c r="P75" s="3661"/>
      <c r="Q75" s="3662"/>
      <c r="R75" s="3537"/>
      <c r="S75" s="3537"/>
      <c r="T75" s="3537"/>
      <c r="U75" s="3537"/>
      <c r="V75" s="3537"/>
      <c r="W75" s="3537"/>
      <c r="X75" s="3537"/>
      <c r="Y75" s="3537"/>
      <c r="Z75" s="3537"/>
      <c r="AA75" s="3537"/>
      <c r="AB75" s="3537"/>
      <c r="AC75" s="3537"/>
    </row>
    <row r="76" spans="1:29">
      <c r="A76" s="3629" t="s">
        <v>531</v>
      </c>
      <c r="B76" s="3630" t="s">
        <v>570</v>
      </c>
      <c r="C76" s="3676" t="s">
        <v>571</v>
      </c>
      <c r="D76" s="3676" t="s">
        <v>572</v>
      </c>
      <c r="E76" s="3676" t="s">
        <v>573</v>
      </c>
      <c r="F76" s="3676" t="s">
        <v>574</v>
      </c>
      <c r="G76" s="3676" t="s">
        <v>575</v>
      </c>
      <c r="H76" s="3631"/>
      <c r="I76" s="3631"/>
      <c r="J76" s="3631"/>
      <c r="K76" s="3677"/>
      <c r="L76" s="3678"/>
      <c r="M76" s="3679"/>
      <c r="N76" s="3636"/>
      <c r="O76" s="3636"/>
      <c r="P76" s="3680"/>
      <c r="Q76" s="3601"/>
      <c r="R76" s="3422"/>
      <c r="S76" s="3422"/>
      <c r="T76" s="3422"/>
      <c r="U76" s="3422"/>
      <c r="V76" s="3422"/>
      <c r="W76" s="3422"/>
      <c r="X76" s="3422"/>
      <c r="Y76" s="3422"/>
      <c r="Z76" s="3422"/>
      <c r="AA76" s="3422"/>
      <c r="AB76" s="3422"/>
      <c r="AC76" s="3422"/>
    </row>
    <row r="77" spans="1:29" ht="15.75" thickBot="1">
      <c r="A77" s="3493"/>
      <c r="B77" s="3646"/>
      <c r="C77" s="3647">
        <v>100</v>
      </c>
      <c r="D77" s="3647">
        <f>C77-$K15</f>
        <v>98</v>
      </c>
      <c r="E77" s="3647">
        <f>D77-$K15</f>
        <v>96</v>
      </c>
      <c r="F77" s="3647">
        <f>E77-$K15</f>
        <v>94</v>
      </c>
      <c r="G77" s="3647">
        <f>F77-$K15</f>
        <v>92</v>
      </c>
      <c r="H77" s="3647"/>
      <c r="I77" s="3647"/>
      <c r="J77" s="3647"/>
      <c r="K77" s="3647"/>
      <c r="L77" s="3647"/>
      <c r="M77" s="3648"/>
      <c r="N77" s="3640"/>
      <c r="O77" s="3640"/>
      <c r="P77" s="3625"/>
      <c r="Q77" s="3601"/>
      <c r="R77" s="3422"/>
      <c r="S77" s="3422"/>
      <c r="T77" s="3422"/>
      <c r="U77" s="3422"/>
      <c r="V77" s="3422"/>
      <c r="W77" s="3422"/>
      <c r="X77" s="3422"/>
      <c r="Y77" s="3422"/>
      <c r="Z77" s="3422"/>
      <c r="AA77" s="3422"/>
      <c r="AB77" s="3422"/>
      <c r="AC77" s="3422"/>
    </row>
    <row r="78" spans="1:29" ht="15.75" thickTop="1">
      <c r="A78" s="3493"/>
      <c r="B78" s="3641" t="s">
        <v>578</v>
      </c>
      <c r="C78" s="3681" t="s">
        <v>571</v>
      </c>
      <c r="D78" s="3681" t="s">
        <v>572</v>
      </c>
      <c r="E78" s="3681" t="s">
        <v>573</v>
      </c>
      <c r="F78" s="3681" t="s">
        <v>574</v>
      </c>
      <c r="G78" s="3681" t="s">
        <v>575</v>
      </c>
      <c r="H78" s="3642"/>
      <c r="I78" s="3642"/>
      <c r="J78" s="3642"/>
      <c r="K78" s="3643"/>
      <c r="L78" s="3644"/>
      <c r="M78" s="3645"/>
      <c r="N78" s="3636"/>
      <c r="O78" s="3636"/>
      <c r="P78" s="3625"/>
      <c r="Q78" s="3601"/>
      <c r="R78" s="3422"/>
      <c r="S78" s="3422"/>
      <c r="T78" s="3422"/>
      <c r="U78" s="3422"/>
      <c r="V78" s="3422"/>
      <c r="W78" s="3422"/>
      <c r="X78" s="3422"/>
      <c r="Y78" s="3422"/>
      <c r="Z78" s="3422"/>
      <c r="AA78" s="3422"/>
      <c r="AB78" s="3422"/>
      <c r="AC78" s="3422"/>
    </row>
    <row r="79" spans="1:29" ht="15.75" thickBot="1">
      <c r="A79" s="3493"/>
      <c r="B79" s="3646"/>
      <c r="C79" s="3647">
        <v>100</v>
      </c>
      <c r="D79" s="3647">
        <f>C79-$K17</f>
        <v>98</v>
      </c>
      <c r="E79" s="3647">
        <f>D79-$K17</f>
        <v>96</v>
      </c>
      <c r="F79" s="3647">
        <f>E79-$K17</f>
        <v>94</v>
      </c>
      <c r="G79" s="3647">
        <f>F79-$K17</f>
        <v>92</v>
      </c>
      <c r="H79" s="3647"/>
      <c r="I79" s="3647"/>
      <c r="J79" s="3647"/>
      <c r="K79" s="3647"/>
      <c r="L79" s="3647"/>
      <c r="M79" s="3648"/>
      <c r="N79" s="3640"/>
      <c r="O79" s="3640"/>
      <c r="P79" s="3625"/>
      <c r="Q79" s="3601"/>
      <c r="R79" s="3422"/>
      <c r="S79" s="3422"/>
      <c r="T79" s="3422"/>
      <c r="U79" s="3422"/>
      <c r="V79" s="3422"/>
      <c r="W79" s="3422"/>
      <c r="X79" s="3422"/>
      <c r="Y79" s="3422"/>
      <c r="Z79" s="3422"/>
      <c r="AA79" s="3422"/>
      <c r="AB79" s="3422"/>
      <c r="AC79" s="3422"/>
    </row>
    <row r="80" spans="1:29" ht="15.75" thickTop="1">
      <c r="A80" s="3493"/>
      <c r="B80" s="3682" t="s">
        <v>2302</v>
      </c>
      <c r="C80" s="3681" t="s">
        <v>571</v>
      </c>
      <c r="D80" s="3681" t="s">
        <v>572</v>
      </c>
      <c r="E80" s="3681" t="s">
        <v>573</v>
      </c>
      <c r="F80" s="3681" t="s">
        <v>574</v>
      </c>
      <c r="G80" s="3681" t="s">
        <v>575</v>
      </c>
      <c r="H80" s="3642"/>
      <c r="I80" s="3642"/>
      <c r="J80" s="3642"/>
      <c r="K80" s="3643"/>
      <c r="L80" s="3644"/>
      <c r="M80" s="3645"/>
      <c r="N80" s="3636"/>
      <c r="O80" s="3636"/>
      <c r="P80" s="3625"/>
      <c r="Q80" s="3601"/>
      <c r="R80" s="3422"/>
      <c r="S80" s="3422"/>
      <c r="T80" s="3422"/>
      <c r="U80" s="3422"/>
      <c r="V80" s="3422"/>
      <c r="W80" s="3422"/>
      <c r="X80" s="3422"/>
      <c r="Y80" s="3422"/>
      <c r="Z80" s="3422"/>
      <c r="AA80" s="3422"/>
      <c r="AB80" s="3422"/>
      <c r="AC80" s="3422"/>
    </row>
    <row r="81" spans="1:29" ht="15.75" thickBot="1">
      <c r="A81" s="3493"/>
      <c r="B81" s="3646"/>
      <c r="C81" s="3647">
        <v>100</v>
      </c>
      <c r="D81" s="3647">
        <f>C81-$K19</f>
        <v>98</v>
      </c>
      <c r="E81" s="3647">
        <f>D81-$K19</f>
        <v>96</v>
      </c>
      <c r="F81" s="3647">
        <f>E81-$K19</f>
        <v>94</v>
      </c>
      <c r="G81" s="3647">
        <f>F81-$K19</f>
        <v>92</v>
      </c>
      <c r="H81" s="3647"/>
      <c r="I81" s="3647"/>
      <c r="J81" s="3647"/>
      <c r="K81" s="3647"/>
      <c r="L81" s="3647"/>
      <c r="M81" s="3648"/>
      <c r="N81" s="3640"/>
      <c r="O81" s="3640"/>
      <c r="P81" s="3625"/>
      <c r="Q81" s="3601"/>
      <c r="R81" s="3422"/>
      <c r="S81" s="3422"/>
      <c r="T81" s="3422"/>
      <c r="U81" s="3422"/>
      <c r="V81" s="3422"/>
      <c r="W81" s="3422"/>
      <c r="X81" s="3422"/>
      <c r="Y81" s="3422"/>
      <c r="Z81" s="3422"/>
      <c r="AA81" s="3422"/>
      <c r="AB81" s="3422"/>
      <c r="AC81" s="3422"/>
    </row>
    <row r="82" spans="1:29" ht="15.75" thickTop="1">
      <c r="A82" s="3493"/>
      <c r="B82" s="3683" t="s">
        <v>3180</v>
      </c>
      <c r="C82" s="3684" t="s">
        <v>1970</v>
      </c>
      <c r="D82" s="3684" t="s">
        <v>1969</v>
      </c>
      <c r="E82" s="3684" t="s">
        <v>1968</v>
      </c>
      <c r="F82" s="3684" t="s">
        <v>1967</v>
      </c>
      <c r="G82" s="3684" t="s">
        <v>1966</v>
      </c>
      <c r="H82" s="3642"/>
      <c r="I82" s="3642"/>
      <c r="J82" s="3642"/>
      <c r="K82" s="3642"/>
      <c r="L82" s="3642"/>
      <c r="M82" s="3685"/>
      <c r="N82" s="3640"/>
      <c r="O82" s="3640"/>
      <c r="P82" s="3625"/>
      <c r="Q82" s="3601"/>
      <c r="R82" s="3422"/>
      <c r="S82" s="3422"/>
      <c r="T82" s="3422"/>
      <c r="U82" s="3422"/>
      <c r="V82" s="3422"/>
      <c r="W82" s="3422"/>
      <c r="X82" s="3422"/>
      <c r="Y82" s="3422"/>
      <c r="Z82" s="3422"/>
      <c r="AA82" s="3422"/>
      <c r="AB82" s="3422"/>
      <c r="AC82" s="3422"/>
    </row>
    <row r="83" spans="1:29" ht="15.75" thickBot="1">
      <c r="A83" s="3493"/>
      <c r="B83" s="3649"/>
      <c r="C83" s="3647">
        <v>100</v>
      </c>
      <c r="D83" s="3647">
        <f>C83-$K21</f>
        <v>100</v>
      </c>
      <c r="E83" s="3647">
        <f>D83-$K21</f>
        <v>100</v>
      </c>
      <c r="F83" s="3647">
        <f>E83-$K21</f>
        <v>100</v>
      </c>
      <c r="G83" s="3647">
        <f>F83-$K21</f>
        <v>100</v>
      </c>
      <c r="H83" s="3686"/>
      <c r="I83" s="3686"/>
      <c r="J83" s="3686"/>
      <c r="K83" s="3686"/>
      <c r="L83" s="3686"/>
      <c r="M83" s="3498"/>
      <c r="N83" s="3640"/>
      <c r="O83" s="3640"/>
      <c r="P83" s="3625"/>
      <c r="Q83" s="3601"/>
      <c r="R83" s="3422"/>
      <c r="S83" s="3422"/>
      <c r="T83" s="3422"/>
      <c r="U83" s="3422"/>
      <c r="V83" s="3422"/>
      <c r="W83" s="3422"/>
      <c r="X83" s="3422"/>
      <c r="Y83" s="3422"/>
      <c r="Z83" s="3422"/>
      <c r="AA83" s="3422"/>
      <c r="AB83" s="3422"/>
      <c r="AC83" s="3422"/>
    </row>
    <row r="84" spans="1:29" ht="15.75" thickTop="1">
      <c r="A84" s="3493"/>
      <c r="B84" s="3641" t="s">
        <v>736</v>
      </c>
      <c r="C84" s="3681" t="s">
        <v>571</v>
      </c>
      <c r="D84" s="3681" t="s">
        <v>572</v>
      </c>
      <c r="E84" s="3681" t="s">
        <v>573</v>
      </c>
      <c r="F84" s="3681" t="s">
        <v>574</v>
      </c>
      <c r="G84" s="3681" t="s">
        <v>575</v>
      </c>
      <c r="H84" s="3642"/>
      <c r="I84" s="3642"/>
      <c r="J84" s="3642"/>
      <c r="K84" s="3643"/>
      <c r="L84" s="3644"/>
      <c r="M84" s="3645"/>
      <c r="N84" s="3636"/>
      <c r="O84" s="3636"/>
      <c r="P84" s="3625"/>
      <c r="Q84" s="3601"/>
      <c r="R84" s="3422"/>
      <c r="S84" s="3422"/>
      <c r="T84" s="3422"/>
      <c r="U84" s="3422"/>
      <c r="V84" s="3422"/>
      <c r="W84" s="3422"/>
      <c r="X84" s="3422"/>
      <c r="Y84" s="3422"/>
      <c r="Z84" s="3422"/>
      <c r="AA84" s="3422"/>
      <c r="AB84" s="3422"/>
      <c r="AC84" s="3422"/>
    </row>
    <row r="85" spans="1:29" ht="15.75" thickBot="1">
      <c r="A85" s="3493"/>
      <c r="B85" s="3646"/>
      <c r="C85" s="3647">
        <v>100</v>
      </c>
      <c r="D85" s="3647">
        <f>C85-$K23</f>
        <v>99</v>
      </c>
      <c r="E85" s="3647">
        <f>D85-$K23</f>
        <v>98</v>
      </c>
      <c r="F85" s="3647">
        <f>E85-$K23</f>
        <v>97</v>
      </c>
      <c r="G85" s="3647">
        <f>F85-$K23</f>
        <v>96</v>
      </c>
      <c r="H85" s="3647"/>
      <c r="I85" s="3647"/>
      <c r="J85" s="3647"/>
      <c r="K85" s="3647"/>
      <c r="L85" s="3647"/>
      <c r="M85" s="3648"/>
      <c r="N85" s="3640"/>
      <c r="O85" s="3640"/>
      <c r="P85" s="3625"/>
      <c r="Q85" s="3601"/>
      <c r="R85" s="3422"/>
      <c r="S85" s="3422"/>
      <c r="T85" s="3422"/>
      <c r="U85" s="3422"/>
      <c r="V85" s="3422"/>
      <c r="W85" s="3422"/>
      <c r="X85" s="3422"/>
      <c r="Y85" s="3422"/>
      <c r="Z85" s="3422"/>
      <c r="AA85" s="3422"/>
      <c r="AB85" s="3422"/>
      <c r="AC85" s="3422"/>
    </row>
    <row r="86" spans="1:29" s="3442" customFormat="1" ht="15.75" thickTop="1">
      <c r="A86" s="3524"/>
      <c r="B86" s="3641" t="s">
        <v>763</v>
      </c>
      <c r="C86" s="3687" t="s">
        <v>3194</v>
      </c>
      <c r="D86" s="3687" t="s">
        <v>3195</v>
      </c>
      <c r="E86" s="3657"/>
      <c r="F86" s="3657"/>
      <c r="G86" s="3657"/>
      <c r="H86" s="3657"/>
      <c r="I86" s="3657"/>
      <c r="J86" s="3657"/>
      <c r="K86" s="3657"/>
      <c r="L86" s="3688"/>
      <c r="M86" s="3689"/>
      <c r="N86" s="3625"/>
      <c r="O86" s="3625"/>
      <c r="P86" s="3625"/>
      <c r="Q86" s="3601"/>
      <c r="R86" s="3437"/>
      <c r="S86" s="3437"/>
      <c r="T86" s="3437"/>
      <c r="U86" s="3437"/>
      <c r="V86" s="3437"/>
      <c r="W86" s="3437"/>
      <c r="X86" s="3437"/>
      <c r="Y86" s="3437"/>
      <c r="Z86" s="3437"/>
      <c r="AA86" s="3437"/>
      <c r="AB86" s="3437"/>
      <c r="AC86" s="3437"/>
    </row>
    <row r="87" spans="1:29" s="3442" customFormat="1" ht="15.75" thickBot="1">
      <c r="A87" s="3524"/>
      <c r="B87" s="3646"/>
      <c r="C87" s="3690">
        <v>100</v>
      </c>
      <c r="D87" s="3647">
        <f t="shared" ref="D87:M87" si="19">C87-$K25</f>
        <v>99</v>
      </c>
      <c r="E87" s="3647">
        <f t="shared" si="19"/>
        <v>98</v>
      </c>
      <c r="F87" s="3647">
        <f t="shared" si="19"/>
        <v>97</v>
      </c>
      <c r="G87" s="3647">
        <f t="shared" si="19"/>
        <v>96</v>
      </c>
      <c r="H87" s="3647">
        <f t="shared" si="19"/>
        <v>95</v>
      </c>
      <c r="I87" s="3647">
        <f t="shared" si="19"/>
        <v>94</v>
      </c>
      <c r="J87" s="3647">
        <f t="shared" si="19"/>
        <v>93</v>
      </c>
      <c r="K87" s="3647">
        <f t="shared" si="19"/>
        <v>92</v>
      </c>
      <c r="L87" s="3647">
        <f t="shared" si="19"/>
        <v>91</v>
      </c>
      <c r="M87" s="3647">
        <f t="shared" si="19"/>
        <v>90</v>
      </c>
      <c r="N87" s="3640"/>
      <c r="O87" s="3640"/>
      <c r="P87" s="3625"/>
      <c r="Q87" s="3601"/>
      <c r="R87" s="3437"/>
      <c r="S87" s="3437"/>
      <c r="T87" s="3437"/>
      <c r="U87" s="3437"/>
      <c r="V87" s="3437"/>
      <c r="W87" s="3437"/>
      <c r="X87" s="3437"/>
      <c r="Y87" s="3437"/>
      <c r="Z87" s="3437"/>
      <c r="AA87" s="3437"/>
      <c r="AB87" s="3437"/>
      <c r="AC87" s="3437"/>
    </row>
    <row r="88" spans="1:29" s="3442" customFormat="1" ht="15.75" thickTop="1">
      <c r="A88" s="3524"/>
      <c r="B88" s="3641" t="str">
        <f>B26</f>
        <v>平面位置/可视性</v>
      </c>
      <c r="C88" s="3657"/>
      <c r="D88" s="3657"/>
      <c r="E88" s="3657"/>
      <c r="F88" s="3691"/>
      <c r="G88" s="3657"/>
      <c r="H88" s="3657"/>
      <c r="I88" s="3657"/>
      <c r="J88" s="3657"/>
      <c r="K88" s="3657"/>
      <c r="L88" s="3657"/>
      <c r="M88" s="3689"/>
      <c r="N88" s="3625"/>
      <c r="O88" s="3625"/>
      <c r="P88" s="3625"/>
      <c r="Q88" s="3601"/>
      <c r="R88" s="3437"/>
      <c r="S88" s="3437"/>
      <c r="T88" s="3437"/>
      <c r="U88" s="3437"/>
      <c r="V88" s="3437"/>
      <c r="W88" s="3437"/>
      <c r="X88" s="3437"/>
      <c r="Y88" s="3437"/>
      <c r="Z88" s="3437"/>
      <c r="AA88" s="3437"/>
      <c r="AB88" s="3437"/>
      <c r="AC88" s="3437"/>
    </row>
    <row r="89" spans="1:29" s="3442" customFormat="1" ht="15.75" thickBot="1">
      <c r="A89" s="3524"/>
      <c r="B89" s="3646"/>
      <c r="C89" s="3663"/>
      <c r="D89" s="3638"/>
      <c r="E89" s="3638"/>
      <c r="F89" s="3638"/>
      <c r="G89" s="3638"/>
      <c r="H89" s="3638"/>
      <c r="I89" s="3638"/>
      <c r="J89" s="3638"/>
      <c r="K89" s="3638"/>
      <c r="L89" s="3638"/>
      <c r="M89" s="3638"/>
      <c r="N89" s="3640"/>
      <c r="O89" s="3640"/>
      <c r="P89" s="3625"/>
      <c r="Q89" s="3601"/>
      <c r="R89" s="3437"/>
      <c r="S89" s="3437"/>
      <c r="T89" s="3437"/>
      <c r="U89" s="3437"/>
      <c r="V89" s="3437"/>
      <c r="W89" s="3437"/>
      <c r="X89" s="3437"/>
      <c r="Y89" s="3437"/>
      <c r="Z89" s="3437"/>
      <c r="AA89" s="3437"/>
      <c r="AB89" s="3437"/>
      <c r="AC89" s="3437"/>
    </row>
    <row r="90" spans="1:29" s="3544" customFormat="1" ht="15.75" thickTop="1">
      <c r="A90" s="3656"/>
      <c r="B90" s="3641" t="str">
        <f>B27</f>
        <v>人流量</v>
      </c>
      <c r="C90" s="3687" t="s">
        <v>2483</v>
      </c>
      <c r="D90" s="3687" t="s">
        <v>3220</v>
      </c>
      <c r="E90" s="3687" t="s">
        <v>3196</v>
      </c>
      <c r="F90" s="3687" t="s">
        <v>3221</v>
      </c>
      <c r="G90" s="3687" t="s">
        <v>2485</v>
      </c>
      <c r="H90" s="3658"/>
      <c r="I90" s="3658"/>
      <c r="J90" s="3658"/>
      <c r="K90" s="3658"/>
      <c r="L90" s="3659"/>
      <c r="M90" s="3660"/>
      <c r="N90" s="3661"/>
      <c r="O90" s="3661"/>
      <c r="P90" s="3661"/>
      <c r="Q90" s="3662"/>
      <c r="R90" s="3537"/>
      <c r="S90" s="3537"/>
      <c r="T90" s="3537"/>
      <c r="U90" s="3537"/>
      <c r="V90" s="3537"/>
      <c r="W90" s="3537"/>
      <c r="X90" s="3537"/>
      <c r="Y90" s="3537"/>
      <c r="Z90" s="3537"/>
      <c r="AA90" s="3537"/>
      <c r="AB90" s="3537"/>
      <c r="AC90" s="3537"/>
    </row>
    <row r="91" spans="1:29" s="3544" customFormat="1" ht="15.75" thickBot="1">
      <c r="A91" s="3656"/>
      <c r="B91" s="3646"/>
      <c r="C91" s="3690">
        <v>100</v>
      </c>
      <c r="D91" s="3647">
        <f>C91-$K27</f>
        <v>99</v>
      </c>
      <c r="E91" s="3647">
        <f t="shared" ref="E91:M91" si="20">D91-$K27</f>
        <v>98</v>
      </c>
      <c r="F91" s="3647">
        <f t="shared" si="20"/>
        <v>97</v>
      </c>
      <c r="G91" s="3647">
        <f t="shared" si="20"/>
        <v>96</v>
      </c>
      <c r="H91" s="3647">
        <f t="shared" si="20"/>
        <v>95</v>
      </c>
      <c r="I91" s="3647">
        <f t="shared" si="20"/>
        <v>94</v>
      </c>
      <c r="J91" s="3647">
        <f t="shared" si="20"/>
        <v>93</v>
      </c>
      <c r="K91" s="3647">
        <f t="shared" si="20"/>
        <v>92</v>
      </c>
      <c r="L91" s="3647">
        <f t="shared" si="20"/>
        <v>91</v>
      </c>
      <c r="M91" s="3647">
        <f t="shared" si="20"/>
        <v>90</v>
      </c>
      <c r="N91" s="3661"/>
      <c r="O91" s="3661"/>
      <c r="P91" s="3661"/>
      <c r="Q91" s="3662"/>
      <c r="R91" s="3537"/>
      <c r="S91" s="3537"/>
      <c r="T91" s="3537"/>
      <c r="U91" s="3537"/>
      <c r="V91" s="3537"/>
      <c r="W91" s="3537"/>
      <c r="X91" s="3537"/>
      <c r="Y91" s="3537"/>
      <c r="Z91" s="3537"/>
      <c r="AA91" s="3537"/>
      <c r="AB91" s="3537"/>
      <c r="AC91" s="3537"/>
    </row>
    <row r="92" spans="1:29" ht="15.75" thickTop="1">
      <c r="A92" s="3493"/>
      <c r="B92" s="3641" t="str">
        <f>B28</f>
        <v>楼层</v>
      </c>
      <c r="C92" s="3657" t="s">
        <v>3197</v>
      </c>
      <c r="D92" s="3657" t="s">
        <v>3198</v>
      </c>
      <c r="E92" s="3657"/>
      <c r="F92" s="3657"/>
      <c r="G92" s="3657"/>
      <c r="H92" s="3657"/>
      <c r="I92" s="3657"/>
      <c r="J92" s="3657"/>
      <c r="K92" s="3657"/>
      <c r="L92" s="3688"/>
      <c r="M92" s="3689"/>
      <c r="N92" s="3636"/>
      <c r="O92" s="3636"/>
      <c r="P92" s="3625"/>
      <c r="Q92" s="3601"/>
      <c r="R92" s="3422"/>
      <c r="S92" s="3422"/>
      <c r="T92" s="3422"/>
      <c r="U92" s="3422"/>
      <c r="V92" s="3422"/>
      <c r="W92" s="3422"/>
      <c r="X92" s="3422"/>
      <c r="Y92" s="3422"/>
      <c r="Z92" s="3422"/>
      <c r="AA92" s="3422"/>
      <c r="AB92" s="3422"/>
      <c r="AC92" s="3422"/>
    </row>
    <row r="93" spans="1:29" ht="15.75" thickBot="1">
      <c r="A93" s="3493"/>
      <c r="B93" s="3646"/>
      <c r="C93" s="3638">
        <v>100</v>
      </c>
      <c r="D93" s="3638">
        <v>90</v>
      </c>
      <c r="E93" s="3638"/>
      <c r="F93" s="3638"/>
      <c r="G93" s="3638"/>
      <c r="H93" s="3638"/>
      <c r="I93" s="3638"/>
      <c r="J93" s="3638"/>
      <c r="K93" s="3638"/>
      <c r="L93" s="3638"/>
      <c r="M93" s="3639"/>
      <c r="N93" s="3640"/>
      <c r="O93" s="3640"/>
      <c r="P93" s="3625"/>
      <c r="Q93" s="3601"/>
      <c r="R93" s="3422"/>
      <c r="S93" s="3422"/>
      <c r="T93" s="3422"/>
      <c r="U93" s="3422"/>
      <c r="V93" s="3422"/>
      <c r="W93" s="3422"/>
      <c r="X93" s="3422"/>
      <c r="Y93" s="3422"/>
      <c r="Z93" s="3422"/>
      <c r="AA93" s="3422"/>
      <c r="AB93" s="3422"/>
      <c r="AC93" s="3422"/>
    </row>
    <row r="94" spans="1:29" ht="15.75" thickTop="1">
      <c r="A94" s="3493"/>
      <c r="B94" s="3641" t="str">
        <f>B29</f>
        <v xml:space="preserve">临街 </v>
      </c>
      <c r="C94" s="3657"/>
      <c r="D94" s="3657"/>
      <c r="E94" s="3657"/>
      <c r="F94" s="3657"/>
      <c r="G94" s="3692"/>
      <c r="H94" s="3692"/>
      <c r="I94" s="3692"/>
      <c r="J94" s="3692"/>
      <c r="K94" s="3693"/>
      <c r="L94" s="3694"/>
      <c r="M94" s="3695"/>
      <c r="N94" s="3636"/>
      <c r="O94" s="3636"/>
      <c r="P94" s="3625"/>
      <c r="Q94" s="3601"/>
      <c r="R94" s="3422"/>
      <c r="S94" s="3422"/>
      <c r="T94" s="3422"/>
      <c r="U94" s="3422"/>
      <c r="V94" s="3422"/>
      <c r="W94" s="3422"/>
      <c r="X94" s="3422"/>
      <c r="Y94" s="3422"/>
      <c r="Z94" s="3422"/>
      <c r="AA94" s="3422"/>
      <c r="AB94" s="3422"/>
      <c r="AC94" s="3422"/>
    </row>
    <row r="95" spans="1:29" ht="15.75" thickBot="1">
      <c r="A95" s="3493"/>
      <c r="B95" s="3646"/>
      <c r="C95" s="3663"/>
      <c r="D95" s="3638"/>
      <c r="E95" s="3638"/>
      <c r="F95" s="3638"/>
      <c r="G95" s="3638"/>
      <c r="H95" s="3638"/>
      <c r="I95" s="3638"/>
      <c r="J95" s="3638"/>
      <c r="K95" s="3638"/>
      <c r="L95" s="3638"/>
      <c r="M95" s="3639"/>
      <c r="N95" s="3640"/>
      <c r="O95" s="3640"/>
      <c r="P95" s="3625"/>
      <c r="Q95" s="3601"/>
      <c r="R95" s="3422"/>
      <c r="S95" s="3422"/>
      <c r="T95" s="3422"/>
      <c r="U95" s="3422"/>
      <c r="V95" s="3422"/>
      <c r="W95" s="3422"/>
      <c r="X95" s="3422"/>
      <c r="Y95" s="3422"/>
      <c r="Z95" s="3422"/>
      <c r="AA95" s="3422"/>
      <c r="AB95" s="3422"/>
      <c r="AC95" s="3422"/>
    </row>
    <row r="96" spans="1:29" ht="15.75" thickTop="1">
      <c r="A96" s="3493"/>
      <c r="B96" s="3641">
        <f>B30</f>
        <v>111</v>
      </c>
      <c r="C96" s="3657"/>
      <c r="D96" s="3657"/>
      <c r="E96" s="3657"/>
      <c r="F96" s="3657"/>
      <c r="G96" s="3692"/>
      <c r="H96" s="3692"/>
      <c r="I96" s="3692"/>
      <c r="J96" s="3692"/>
      <c r="K96" s="3693"/>
      <c r="L96" s="3694"/>
      <c r="M96" s="3695"/>
      <c r="N96" s="3636"/>
      <c r="O96" s="3636"/>
      <c r="P96" s="3625"/>
      <c r="Q96" s="3601"/>
      <c r="R96" s="3422"/>
      <c r="S96" s="3422"/>
      <c r="T96" s="3422"/>
      <c r="U96" s="3422"/>
      <c r="V96" s="3422"/>
      <c r="W96" s="3422"/>
      <c r="X96" s="3422"/>
      <c r="Y96" s="3422"/>
      <c r="Z96" s="3422"/>
      <c r="AA96" s="3422"/>
      <c r="AB96" s="3422"/>
      <c r="AC96" s="3422"/>
    </row>
    <row r="97" spans="1:29" ht="15.75" thickBot="1">
      <c r="A97" s="3493"/>
      <c r="B97" s="3646"/>
      <c r="C97" s="3663"/>
      <c r="D97" s="3638"/>
      <c r="E97" s="3638"/>
      <c r="F97" s="3638"/>
      <c r="G97" s="3638"/>
      <c r="H97" s="3638"/>
      <c r="I97" s="3638"/>
      <c r="J97" s="3638"/>
      <c r="K97" s="3638"/>
      <c r="L97" s="3638"/>
      <c r="M97" s="3639"/>
      <c r="N97" s="3640"/>
      <c r="O97" s="3640"/>
      <c r="P97" s="3625"/>
      <c r="Q97" s="3601"/>
      <c r="R97" s="3422"/>
      <c r="S97" s="3422"/>
      <c r="T97" s="3422"/>
      <c r="U97" s="3422"/>
      <c r="V97" s="3422"/>
      <c r="W97" s="3422"/>
      <c r="X97" s="3422"/>
      <c r="Y97" s="3422"/>
      <c r="Z97" s="3422"/>
      <c r="AA97" s="3422"/>
      <c r="AB97" s="3422"/>
      <c r="AC97" s="3422"/>
    </row>
    <row r="98" spans="1:29" ht="15.75" thickTop="1">
      <c r="A98" s="3493"/>
      <c r="B98" s="3649">
        <f>B31</f>
        <v>111</v>
      </c>
      <c r="C98" s="3657"/>
      <c r="D98" s="3657"/>
      <c r="E98" s="3657"/>
      <c r="F98" s="3657"/>
      <c r="G98" s="3696"/>
      <c r="H98" s="3696"/>
      <c r="I98" s="3696"/>
      <c r="J98" s="3696"/>
      <c r="K98" s="3697"/>
      <c r="L98" s="3698"/>
      <c r="M98" s="3699"/>
      <c r="N98" s="3636"/>
      <c r="O98" s="3636"/>
      <c r="P98" s="3625"/>
      <c r="Q98" s="3601"/>
      <c r="R98" s="3422"/>
      <c r="S98" s="3422"/>
      <c r="T98" s="3422"/>
      <c r="U98" s="3422"/>
      <c r="V98" s="3422"/>
      <c r="W98" s="3422"/>
      <c r="X98" s="3422"/>
      <c r="Y98" s="3422"/>
      <c r="Z98" s="3422"/>
      <c r="AA98" s="3422"/>
      <c r="AB98" s="3422"/>
      <c r="AC98" s="3422"/>
    </row>
    <row r="99" spans="1:29" ht="15.75" thickBot="1">
      <c r="A99" s="3529"/>
      <c r="B99" s="3672"/>
      <c r="C99" s="3673"/>
      <c r="D99" s="3673"/>
      <c r="E99" s="3673"/>
      <c r="F99" s="3673"/>
      <c r="G99" s="3700"/>
      <c r="H99" s="3700"/>
      <c r="I99" s="3700"/>
      <c r="J99" s="3700"/>
      <c r="K99" s="3700"/>
      <c r="L99" s="3700"/>
      <c r="M99" s="3701"/>
      <c r="N99" s="3640"/>
      <c r="O99" s="3640"/>
      <c r="P99" s="3625"/>
      <c r="Q99" s="3601"/>
      <c r="R99" s="3422"/>
      <c r="S99" s="3422"/>
      <c r="T99" s="3422"/>
      <c r="U99" s="3422"/>
      <c r="V99" s="3422"/>
      <c r="W99" s="3422"/>
      <c r="X99" s="3422"/>
      <c r="Y99" s="3422"/>
      <c r="Z99" s="3422"/>
      <c r="AA99" s="3422"/>
      <c r="AB99" s="3422"/>
      <c r="AC99" s="3422"/>
    </row>
    <row r="100" spans="1:29">
      <c r="A100" s="3629" t="s">
        <v>543</v>
      </c>
      <c r="B100" s="3630" t="s">
        <v>764</v>
      </c>
      <c r="C100" s="3702" t="s">
        <v>3199</v>
      </c>
      <c r="D100" s="3702" t="s">
        <v>3200</v>
      </c>
      <c r="E100" s="3632"/>
      <c r="F100" s="3632"/>
      <c r="G100" s="3632"/>
      <c r="H100" s="3632"/>
      <c r="I100" s="3632"/>
      <c r="J100" s="3632"/>
      <c r="K100" s="3633"/>
      <c r="L100" s="3634"/>
      <c r="M100" s="3635"/>
      <c r="N100" s="3636"/>
      <c r="O100" s="3636"/>
      <c r="P100" s="3625"/>
      <c r="Q100" s="3601"/>
      <c r="R100" s="3422"/>
      <c r="S100" s="3422"/>
      <c r="T100" s="3422"/>
      <c r="U100" s="3422"/>
      <c r="V100" s="3422"/>
      <c r="W100" s="3422"/>
      <c r="X100" s="3422"/>
      <c r="Y100" s="3422"/>
      <c r="Z100" s="3422"/>
      <c r="AA100" s="3422"/>
      <c r="AB100" s="3422"/>
      <c r="AC100" s="3422"/>
    </row>
    <row r="101" spans="1:29" ht="15.75" thickBot="1">
      <c r="A101" s="3493"/>
      <c r="B101" s="3646"/>
      <c r="C101" s="3647">
        <v>100</v>
      </c>
      <c r="D101" s="3647">
        <f t="shared" ref="D101:M101" si="21">C101-$K32</f>
        <v>99</v>
      </c>
      <c r="E101" s="3647">
        <f t="shared" si="21"/>
        <v>98</v>
      </c>
      <c r="F101" s="3647">
        <f t="shared" si="21"/>
        <v>97</v>
      </c>
      <c r="G101" s="3647">
        <f t="shared" si="21"/>
        <v>96</v>
      </c>
      <c r="H101" s="3647">
        <f t="shared" si="21"/>
        <v>95</v>
      </c>
      <c r="I101" s="3647">
        <f t="shared" si="21"/>
        <v>94</v>
      </c>
      <c r="J101" s="3647">
        <f t="shared" si="21"/>
        <v>93</v>
      </c>
      <c r="K101" s="3647">
        <f t="shared" si="21"/>
        <v>92</v>
      </c>
      <c r="L101" s="3647">
        <f t="shared" si="21"/>
        <v>91</v>
      </c>
      <c r="M101" s="3648">
        <f t="shared" si="21"/>
        <v>90</v>
      </c>
      <c r="N101" s="3640"/>
      <c r="O101" s="3640"/>
      <c r="P101" s="3625"/>
      <c r="Q101" s="3601"/>
      <c r="R101" s="3422"/>
      <c r="S101" s="3422"/>
      <c r="T101" s="3422"/>
      <c r="U101" s="3422"/>
      <c r="V101" s="3422"/>
      <c r="W101" s="3422"/>
      <c r="X101" s="3422"/>
      <c r="Y101" s="3422"/>
      <c r="Z101" s="3422"/>
      <c r="AA101" s="3422"/>
      <c r="AB101" s="3422"/>
      <c r="AC101" s="3422"/>
    </row>
    <row r="102" spans="1:29" ht="29.25" thickTop="1">
      <c r="A102" s="3493"/>
      <c r="B102" s="3641" t="s">
        <v>740</v>
      </c>
      <c r="C102" s="3681" t="str">
        <f>C103&amp;"(含)"&amp;"-"&amp;D103</f>
        <v>0(含)-500</v>
      </c>
      <c r="D102" s="3681" t="str">
        <f t="shared" ref="D102:L102" si="22">D103&amp;"(含)"&amp;"-"&amp;E103</f>
        <v>500(含)-2000</v>
      </c>
      <c r="E102" s="3681" t="str">
        <f t="shared" si="22"/>
        <v>2000(含)-5000</v>
      </c>
      <c r="F102" s="3681" t="str">
        <f t="shared" si="22"/>
        <v>5000(含)-10000</v>
      </c>
      <c r="G102" s="3681" t="str">
        <f t="shared" si="22"/>
        <v>10000(含)-</v>
      </c>
      <c r="H102" s="3681" t="str">
        <f t="shared" si="22"/>
        <v>(含)-</v>
      </c>
      <c r="I102" s="3681" t="str">
        <f t="shared" si="22"/>
        <v>(含)-</v>
      </c>
      <c r="J102" s="3681" t="str">
        <f t="shared" si="22"/>
        <v>(含)-</v>
      </c>
      <c r="K102" s="3681" t="str">
        <f t="shared" si="22"/>
        <v>(含)-</v>
      </c>
      <c r="L102" s="3681" t="str">
        <f t="shared" si="22"/>
        <v>(含)-</v>
      </c>
      <c r="M102" s="3703" t="str">
        <f>M103&amp;"(含)"&amp;"-"&amp;P103</f>
        <v>(含)-</v>
      </c>
      <c r="N102" s="3625"/>
      <c r="O102" s="3625"/>
      <c r="P102" s="3625"/>
      <c r="Q102" s="3601"/>
      <c r="R102" s="3422"/>
      <c r="S102" s="3422"/>
      <c r="T102" s="3422"/>
      <c r="U102" s="3422"/>
      <c r="V102" s="3422"/>
      <c r="W102" s="3422"/>
      <c r="X102" s="3422"/>
      <c r="Y102" s="3422"/>
      <c r="Z102" s="3422"/>
      <c r="AA102" s="3422"/>
      <c r="AB102" s="3422"/>
      <c r="AC102" s="3422"/>
    </row>
    <row r="103" spans="1:29" s="3544" customFormat="1">
      <c r="A103" s="3535"/>
      <c r="B103" s="3704"/>
      <c r="C103" s="3705">
        <v>0</v>
      </c>
      <c r="D103" s="3705">
        <v>500</v>
      </c>
      <c r="E103" s="3705">
        <v>2000</v>
      </c>
      <c r="F103" s="3705">
        <v>5000</v>
      </c>
      <c r="G103" s="3705">
        <v>10000</v>
      </c>
      <c r="H103" s="3705"/>
      <c r="I103" s="3705"/>
      <c r="J103" s="3706"/>
      <c r="K103" s="3706"/>
      <c r="L103" s="3707"/>
      <c r="M103" s="3708"/>
      <c r="N103" s="3661"/>
      <c r="O103" s="3661"/>
      <c r="P103" s="3661"/>
      <c r="Q103" s="3662"/>
      <c r="R103" s="3537"/>
      <c r="S103" s="3537"/>
      <c r="T103" s="3537"/>
      <c r="U103" s="3537"/>
      <c r="V103" s="3537"/>
      <c r="W103" s="3537"/>
      <c r="X103" s="3537"/>
      <c r="Y103" s="3537"/>
      <c r="Z103" s="3537"/>
      <c r="AA103" s="3537"/>
      <c r="AB103" s="3537"/>
      <c r="AC103" s="3537"/>
    </row>
    <row r="104" spans="1:29" s="3544" customFormat="1" ht="15.75" thickBot="1">
      <c r="A104" s="3656"/>
      <c r="B104" s="3646"/>
      <c r="C104" s="3663">
        <v>100</v>
      </c>
      <c r="D104" s="3638">
        <v>101</v>
      </c>
      <c r="E104" s="3638">
        <v>100</v>
      </c>
      <c r="F104" s="3638">
        <v>99</v>
      </c>
      <c r="G104" s="3638">
        <v>98</v>
      </c>
      <c r="H104" s="3638"/>
      <c r="I104" s="3638"/>
      <c r="J104" s="3638"/>
      <c r="K104" s="3638"/>
      <c r="L104" s="3638"/>
      <c r="M104" s="3639"/>
      <c r="N104" s="3640"/>
      <c r="O104" s="3640"/>
      <c r="P104" s="3661"/>
      <c r="Q104" s="3662"/>
      <c r="R104" s="3537"/>
      <c r="S104" s="3537"/>
      <c r="T104" s="3537"/>
      <c r="U104" s="3537"/>
      <c r="V104" s="3537"/>
      <c r="W104" s="3537"/>
      <c r="X104" s="3537"/>
      <c r="Y104" s="3537"/>
      <c r="Z104" s="3537"/>
      <c r="AA104" s="3537"/>
      <c r="AB104" s="3537"/>
      <c r="AC104" s="3537"/>
    </row>
    <row r="105" spans="1:29" ht="15" thickTop="1">
      <c r="A105" s="3545"/>
      <c r="B105" s="3641" t="s">
        <v>741</v>
      </c>
      <c r="C105" s="3657"/>
      <c r="D105" s="3657"/>
      <c r="E105" s="3692"/>
      <c r="F105" s="3692"/>
      <c r="G105" s="3692"/>
      <c r="H105" s="3692"/>
      <c r="I105" s="3692"/>
      <c r="J105" s="3692"/>
      <c r="K105" s="3693"/>
      <c r="L105" s="3694"/>
      <c r="M105" s="3695"/>
      <c r="N105" s="3636"/>
      <c r="O105" s="3636"/>
      <c r="P105" s="3625"/>
      <c r="Q105" s="3601"/>
      <c r="R105" s="3422"/>
      <c r="S105" s="3422"/>
      <c r="T105" s="3422"/>
      <c r="U105" s="3422"/>
      <c r="V105" s="3422"/>
      <c r="W105" s="3422"/>
      <c r="X105" s="3422"/>
      <c r="Y105" s="3422"/>
      <c r="Z105" s="3422"/>
      <c r="AA105" s="3422"/>
      <c r="AB105" s="3422"/>
      <c r="AC105" s="3422"/>
    </row>
    <row r="106" spans="1:29" ht="15.75" thickBot="1">
      <c r="A106" s="3493"/>
      <c r="B106" s="3646"/>
      <c r="C106" s="3647">
        <v>100</v>
      </c>
      <c r="D106" s="3647">
        <f t="shared" ref="D106:M106" si="23">C106-$K34</f>
        <v>100</v>
      </c>
      <c r="E106" s="3647">
        <f t="shared" si="23"/>
        <v>100</v>
      </c>
      <c r="F106" s="3647">
        <f t="shared" si="23"/>
        <v>100</v>
      </c>
      <c r="G106" s="3647">
        <f t="shared" si="23"/>
        <v>100</v>
      </c>
      <c r="H106" s="3647">
        <f t="shared" si="23"/>
        <v>100</v>
      </c>
      <c r="I106" s="3647">
        <f t="shared" si="23"/>
        <v>100</v>
      </c>
      <c r="J106" s="3647">
        <f t="shared" si="23"/>
        <v>100</v>
      </c>
      <c r="K106" s="3647">
        <f t="shared" si="23"/>
        <v>100</v>
      </c>
      <c r="L106" s="3647">
        <f t="shared" si="23"/>
        <v>100</v>
      </c>
      <c r="M106" s="3648">
        <f t="shared" si="23"/>
        <v>100</v>
      </c>
      <c r="N106" s="3640"/>
      <c r="O106" s="3640"/>
      <c r="P106" s="3625"/>
      <c r="Q106" s="3601"/>
      <c r="R106" s="3422"/>
      <c r="S106" s="3422"/>
      <c r="T106" s="3422"/>
      <c r="U106" s="3422"/>
      <c r="V106" s="3422"/>
      <c r="W106" s="3422"/>
      <c r="X106" s="3422"/>
      <c r="Y106" s="3422"/>
      <c r="Z106" s="3422"/>
      <c r="AA106" s="3422"/>
      <c r="AB106" s="3422"/>
      <c r="AC106" s="3422"/>
    </row>
    <row r="107" spans="1:29" ht="15" thickTop="1">
      <c r="A107" s="3545"/>
      <c r="B107" s="3641" t="s">
        <v>743</v>
      </c>
      <c r="C107" s="3657"/>
      <c r="D107" s="3657"/>
      <c r="E107" s="3657"/>
      <c r="F107" s="3692"/>
      <c r="G107" s="3692"/>
      <c r="H107" s="3692"/>
      <c r="I107" s="3692"/>
      <c r="J107" s="3692"/>
      <c r="K107" s="3693"/>
      <c r="L107" s="3694"/>
      <c r="M107" s="3695"/>
      <c r="N107" s="3636"/>
      <c r="O107" s="3636"/>
      <c r="P107" s="3625"/>
      <c r="Q107" s="3601"/>
      <c r="R107" s="3422"/>
      <c r="S107" s="3422"/>
      <c r="T107" s="3422"/>
      <c r="U107" s="3422"/>
      <c r="V107" s="3422"/>
      <c r="W107" s="3422"/>
      <c r="X107" s="3422"/>
      <c r="Y107" s="3422"/>
      <c r="Z107" s="3422"/>
      <c r="AA107" s="3422"/>
      <c r="AB107" s="3422"/>
      <c r="AC107" s="3422"/>
    </row>
    <row r="108" spans="1:29" ht="15.75" thickBot="1">
      <c r="A108" s="3493"/>
      <c r="B108" s="3646"/>
      <c r="C108" s="3647">
        <v>100</v>
      </c>
      <c r="D108" s="3647">
        <f t="shared" ref="D108:M108" si="24">C108-$K35</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8">
        <f t="shared" si="24"/>
        <v>100</v>
      </c>
      <c r="N108" s="3640"/>
      <c r="O108" s="3640"/>
      <c r="P108" s="3625"/>
      <c r="Q108" s="3601"/>
      <c r="R108" s="3422"/>
      <c r="S108" s="3422"/>
      <c r="T108" s="3422"/>
      <c r="U108" s="3422"/>
      <c r="V108" s="3422"/>
      <c r="W108" s="3422"/>
      <c r="X108" s="3422"/>
      <c r="Y108" s="3422"/>
      <c r="Z108" s="3422"/>
      <c r="AA108" s="3422"/>
      <c r="AB108" s="3422"/>
      <c r="AC108" s="3422"/>
    </row>
    <row r="109" spans="1:29" ht="15" thickTop="1">
      <c r="A109" s="3545"/>
      <c r="B109" s="3641" t="s">
        <v>744</v>
      </c>
      <c r="C109" s="3681" t="str">
        <f>C110&amp;"(含)"&amp;"-"&amp;D110</f>
        <v>0.5(含)-0.6</v>
      </c>
      <c r="D109" s="3681" t="str">
        <f>D110&amp;"(含)"&amp;"-"&amp;E110</f>
        <v>0.6(含)-0.7</v>
      </c>
      <c r="E109" s="3681" t="str">
        <f>E110&amp;"(含)"&amp;"-"&amp;F110</f>
        <v>0.7(含)-0.8</v>
      </c>
      <c r="F109" s="3681" t="str">
        <f>F110&amp;"(含)"&amp;"-"&amp;G110</f>
        <v>0.8(含)-0.9</v>
      </c>
      <c r="G109" s="3681" t="str">
        <f>G110&amp;"(含)"&amp;"-"&amp;ROUND(H110,0)</f>
        <v>0.9(含)-1</v>
      </c>
      <c r="H109" s="3681"/>
      <c r="I109" s="3692"/>
      <c r="J109" s="3692"/>
      <c r="K109" s="3693"/>
      <c r="L109" s="3694"/>
      <c r="M109" s="3695"/>
      <c r="N109" s="3636"/>
      <c r="O109" s="3636"/>
      <c r="P109" s="3625"/>
      <c r="Q109" s="3601"/>
      <c r="R109" s="3422"/>
      <c r="S109" s="3422"/>
      <c r="T109" s="3422"/>
      <c r="U109" s="3422"/>
      <c r="V109" s="3422"/>
      <c r="W109" s="3422"/>
      <c r="X109" s="3422"/>
      <c r="Y109" s="3422"/>
      <c r="Z109" s="3422"/>
      <c r="AA109" s="3422"/>
      <c r="AB109" s="3422"/>
      <c r="AC109" s="3422"/>
    </row>
    <row r="110" spans="1:29">
      <c r="A110" s="3545"/>
      <c r="B110" s="3649"/>
      <c r="C110" s="3453">
        <v>0.5</v>
      </c>
      <c r="D110" s="3453">
        <v>0.6</v>
      </c>
      <c r="E110" s="3453">
        <v>0.7</v>
      </c>
      <c r="F110" s="3453">
        <v>0.8</v>
      </c>
      <c r="G110" s="3453">
        <v>0.9</v>
      </c>
      <c r="H110" s="3453">
        <v>1.0001</v>
      </c>
      <c r="I110" s="3709"/>
      <c r="J110" s="3709"/>
      <c r="K110" s="3710"/>
      <c r="L110" s="3711"/>
      <c r="M110" s="3712"/>
      <c r="N110" s="3636"/>
      <c r="O110" s="3636"/>
      <c r="P110" s="3625"/>
      <c r="Q110" s="3601"/>
      <c r="R110" s="3422"/>
      <c r="S110" s="3422"/>
      <c r="T110" s="3422"/>
      <c r="U110" s="3422"/>
      <c r="V110" s="3422"/>
      <c r="W110" s="3422"/>
      <c r="X110" s="3422"/>
      <c r="Y110" s="3422"/>
      <c r="Z110" s="3422"/>
      <c r="AA110" s="3422"/>
      <c r="AB110" s="3422"/>
      <c r="AC110" s="3422"/>
    </row>
    <row r="111" spans="1:29" ht="15.75" thickBot="1">
      <c r="A111" s="3493"/>
      <c r="B111" s="3646"/>
      <c r="C111" s="3690">
        <v>100</v>
      </c>
      <c r="D111" s="3647">
        <f>C111+$K36</f>
        <v>102</v>
      </c>
      <c r="E111" s="3647">
        <f t="shared" ref="E111:M111" si="25">D111+$K36</f>
        <v>104</v>
      </c>
      <c r="F111" s="3647">
        <f t="shared" si="25"/>
        <v>106</v>
      </c>
      <c r="G111" s="3647">
        <f t="shared" si="25"/>
        <v>108</v>
      </c>
      <c r="H111" s="3647">
        <f t="shared" si="25"/>
        <v>110</v>
      </c>
      <c r="I111" s="3647">
        <f t="shared" si="25"/>
        <v>112</v>
      </c>
      <c r="J111" s="3647">
        <f t="shared" si="25"/>
        <v>114</v>
      </c>
      <c r="K111" s="3647">
        <f t="shared" si="25"/>
        <v>116</v>
      </c>
      <c r="L111" s="3647">
        <f t="shared" si="25"/>
        <v>118</v>
      </c>
      <c r="M111" s="3647">
        <f t="shared" si="25"/>
        <v>120</v>
      </c>
      <c r="N111" s="3640"/>
      <c r="O111" s="3640"/>
      <c r="P111" s="3625"/>
      <c r="Q111" s="3601"/>
      <c r="R111" s="3422"/>
      <c r="S111" s="3422"/>
      <c r="T111" s="3422"/>
      <c r="U111" s="3422"/>
      <c r="V111" s="3422"/>
      <c r="W111" s="3422"/>
      <c r="X111" s="3422"/>
      <c r="Y111" s="3422"/>
      <c r="Z111" s="3422"/>
      <c r="AA111" s="3422"/>
      <c r="AB111" s="3422"/>
      <c r="AC111" s="3422"/>
    </row>
    <row r="112" spans="1:29" s="3544" customFormat="1" ht="15" thickTop="1">
      <c r="A112" s="3535"/>
      <c r="B112" s="3682" t="s">
        <v>2535</v>
      </c>
      <c r="C112" s="3657"/>
      <c r="D112" s="3657"/>
      <c r="E112" s="3657"/>
      <c r="F112" s="3657"/>
      <c r="G112" s="3657"/>
      <c r="H112" s="3692"/>
      <c r="I112" s="3692"/>
      <c r="J112" s="3692"/>
      <c r="K112" s="3693"/>
      <c r="L112" s="3694"/>
      <c r="M112" s="3695"/>
      <c r="N112" s="3661"/>
      <c r="O112" s="3661"/>
      <c r="P112" s="3661"/>
      <c r="Q112" s="3662"/>
      <c r="R112" s="3537"/>
      <c r="S112" s="3537"/>
      <c r="T112" s="3537"/>
      <c r="U112" s="3537"/>
      <c r="V112" s="3537"/>
      <c r="W112" s="3537"/>
      <c r="X112" s="3537"/>
      <c r="Y112" s="3537"/>
      <c r="Z112" s="3537"/>
      <c r="AA112" s="3537"/>
      <c r="AB112" s="3537"/>
      <c r="AC112" s="3537"/>
    </row>
    <row r="113" spans="1:29" s="3544" customFormat="1" ht="15.75" thickBot="1">
      <c r="A113" s="3656"/>
      <c r="B113" s="3646"/>
      <c r="C113" s="3647">
        <v>100</v>
      </c>
      <c r="D113" s="3647">
        <f>C113-$K37</f>
        <v>100</v>
      </c>
      <c r="E113" s="3647">
        <f t="shared" ref="E113:M113" si="26">D113-$K37</f>
        <v>100</v>
      </c>
      <c r="F113" s="3647">
        <f t="shared" si="26"/>
        <v>100</v>
      </c>
      <c r="G113" s="3647">
        <f t="shared" si="26"/>
        <v>100</v>
      </c>
      <c r="H113" s="3647">
        <f t="shared" si="26"/>
        <v>100</v>
      </c>
      <c r="I113" s="3647">
        <f t="shared" si="26"/>
        <v>100</v>
      </c>
      <c r="J113" s="3647">
        <f t="shared" si="26"/>
        <v>100</v>
      </c>
      <c r="K113" s="3647">
        <f t="shared" si="26"/>
        <v>100</v>
      </c>
      <c r="L113" s="3647">
        <f t="shared" si="26"/>
        <v>100</v>
      </c>
      <c r="M113" s="3647">
        <f t="shared" si="26"/>
        <v>100</v>
      </c>
      <c r="N113" s="3661"/>
      <c r="O113" s="3661"/>
      <c r="P113" s="3661"/>
      <c r="Q113" s="3662"/>
      <c r="R113" s="3537"/>
      <c r="S113" s="3537"/>
      <c r="T113" s="3537"/>
      <c r="U113" s="3537"/>
      <c r="V113" s="3537"/>
      <c r="W113" s="3537"/>
      <c r="X113" s="3537"/>
      <c r="Y113" s="3537"/>
      <c r="Z113" s="3537"/>
      <c r="AA113" s="3537"/>
      <c r="AB113" s="3537"/>
      <c r="AC113" s="3537"/>
    </row>
    <row r="114" spans="1:29" ht="15" thickTop="1">
      <c r="A114" s="3545"/>
      <c r="B114" s="3641" t="s">
        <v>765</v>
      </c>
      <c r="C114" s="3657"/>
      <c r="D114" s="3657"/>
      <c r="E114" s="3692"/>
      <c r="F114" s="3692"/>
      <c r="G114" s="3692"/>
      <c r="H114" s="3692"/>
      <c r="I114" s="3692"/>
      <c r="J114" s="3692"/>
      <c r="K114" s="3693"/>
      <c r="L114" s="3694"/>
      <c r="M114" s="3695"/>
      <c r="N114" s="3636"/>
      <c r="O114" s="3636"/>
      <c r="P114" s="3625"/>
      <c r="Q114" s="3601"/>
      <c r="R114" s="3422"/>
      <c r="S114" s="3422"/>
      <c r="T114" s="3422"/>
      <c r="U114" s="3422"/>
      <c r="V114" s="3422"/>
      <c r="W114" s="3422"/>
      <c r="X114" s="3422"/>
      <c r="Y114" s="3422"/>
      <c r="Z114" s="3422"/>
      <c r="AA114" s="3422"/>
      <c r="AB114" s="3422"/>
      <c r="AC114" s="3422"/>
    </row>
    <row r="115" spans="1:29" ht="15.75" thickBot="1">
      <c r="A115" s="3493"/>
      <c r="B115" s="3646"/>
      <c r="C115" s="3647">
        <v>100</v>
      </c>
      <c r="D115" s="3647">
        <f t="shared" ref="D115:M115" si="27">C115-$K38</f>
        <v>100</v>
      </c>
      <c r="E115" s="3647">
        <f t="shared" si="27"/>
        <v>100</v>
      </c>
      <c r="F115" s="3647">
        <f t="shared" si="27"/>
        <v>100</v>
      </c>
      <c r="G115" s="3647">
        <f t="shared" si="27"/>
        <v>100</v>
      </c>
      <c r="H115" s="3647">
        <f t="shared" si="27"/>
        <v>100</v>
      </c>
      <c r="I115" s="3647">
        <f t="shared" si="27"/>
        <v>100</v>
      </c>
      <c r="J115" s="3647">
        <f t="shared" si="27"/>
        <v>100</v>
      </c>
      <c r="K115" s="3647">
        <f t="shared" si="27"/>
        <v>100</v>
      </c>
      <c r="L115" s="3647">
        <f t="shared" si="27"/>
        <v>100</v>
      </c>
      <c r="M115" s="3648">
        <f t="shared" si="27"/>
        <v>100</v>
      </c>
      <c r="N115" s="3640"/>
      <c r="O115" s="3640"/>
      <c r="P115" s="3625"/>
      <c r="Q115" s="3601"/>
      <c r="R115" s="3422"/>
      <c r="S115" s="3422"/>
      <c r="T115" s="3422"/>
      <c r="U115" s="3422"/>
      <c r="V115" s="3422"/>
      <c r="W115" s="3422"/>
      <c r="X115" s="3422"/>
      <c r="Y115" s="3422"/>
      <c r="Z115" s="3422"/>
      <c r="AA115" s="3422"/>
      <c r="AB115" s="3422"/>
      <c r="AC115" s="3422"/>
    </row>
    <row r="116" spans="1:29" ht="15" thickTop="1">
      <c r="A116" s="3545"/>
      <c r="B116" s="3641" t="s">
        <v>766</v>
      </c>
      <c r="C116" s="3657"/>
      <c r="D116" s="3657"/>
      <c r="E116" s="3657"/>
      <c r="F116" s="3657"/>
      <c r="G116" s="3657"/>
      <c r="H116" s="3692"/>
      <c r="I116" s="3692"/>
      <c r="J116" s="3692"/>
      <c r="K116" s="3693"/>
      <c r="L116" s="3694"/>
      <c r="M116" s="3695"/>
      <c r="N116" s="3636"/>
      <c r="O116" s="3636"/>
      <c r="P116" s="3625"/>
      <c r="Q116" s="3601"/>
      <c r="R116" s="3422"/>
      <c r="S116" s="3422"/>
      <c r="T116" s="3422"/>
      <c r="U116" s="3422"/>
      <c r="V116" s="3422"/>
      <c r="W116" s="3422"/>
      <c r="X116" s="3422"/>
      <c r="Y116" s="3422"/>
      <c r="Z116" s="3422"/>
      <c r="AA116" s="3422"/>
      <c r="AB116" s="3422"/>
      <c r="AC116" s="3422"/>
    </row>
    <row r="117" spans="1:29" ht="15.75" thickBot="1">
      <c r="A117" s="3493"/>
      <c r="B117" s="3646"/>
      <c r="C117" s="3647">
        <v>100</v>
      </c>
      <c r="D117" s="3647">
        <f>C117-$K39</f>
        <v>100</v>
      </c>
      <c r="E117" s="3647">
        <f>D117-$K39</f>
        <v>100</v>
      </c>
      <c r="F117" s="3647">
        <f>E117-$K39</f>
        <v>100</v>
      </c>
      <c r="G117" s="3647">
        <f>F117-$K39</f>
        <v>100</v>
      </c>
      <c r="H117" s="3647"/>
      <c r="I117" s="3647"/>
      <c r="J117" s="3647"/>
      <c r="K117" s="3647"/>
      <c r="L117" s="3647"/>
      <c r="M117" s="3648"/>
      <c r="N117" s="3640"/>
      <c r="O117" s="3640"/>
      <c r="P117" s="3625"/>
      <c r="Q117" s="3601"/>
      <c r="R117" s="3422"/>
      <c r="S117" s="3422"/>
      <c r="T117" s="3422"/>
      <c r="U117" s="3422"/>
      <c r="V117" s="3422"/>
      <c r="W117" s="3422"/>
      <c r="X117" s="3422"/>
      <c r="Y117" s="3422"/>
      <c r="Z117" s="3422"/>
      <c r="AA117" s="3422"/>
      <c r="AB117" s="3422"/>
      <c r="AC117" s="3422"/>
    </row>
    <row r="118" spans="1:29" ht="15" thickTop="1">
      <c r="A118" s="3545"/>
      <c r="B118" s="3641" t="s">
        <v>767</v>
      </c>
      <c r="C118" s="3713"/>
      <c r="D118" s="3713"/>
      <c r="E118" s="3713"/>
      <c r="F118" s="3713"/>
      <c r="G118" s="3713"/>
      <c r="H118" s="3658"/>
      <c r="I118" s="3658"/>
      <c r="J118" s="3658"/>
      <c r="K118" s="3658"/>
      <c r="L118" s="3659"/>
      <c r="M118" s="3660"/>
      <c r="N118" s="3636"/>
      <c r="O118" s="3636"/>
      <c r="P118" s="3625"/>
      <c r="Q118" s="3601"/>
      <c r="R118" s="3422"/>
      <c r="S118" s="3422"/>
      <c r="T118" s="3422"/>
      <c r="U118" s="3422"/>
      <c r="V118" s="3422"/>
      <c r="W118" s="3422"/>
      <c r="X118" s="3422"/>
      <c r="Y118" s="3422"/>
      <c r="Z118" s="3422"/>
      <c r="AA118" s="3422"/>
      <c r="AB118" s="3422"/>
      <c r="AC118" s="3422"/>
    </row>
    <row r="119" spans="1:29" ht="15.75" thickBot="1">
      <c r="A119" s="3493"/>
      <c r="B119" s="3646"/>
      <c r="C119" s="3663"/>
      <c r="D119" s="3638"/>
      <c r="E119" s="3638"/>
      <c r="F119" s="3638"/>
      <c r="G119" s="3638"/>
      <c r="H119" s="3638"/>
      <c r="I119" s="3638"/>
      <c r="J119" s="3638"/>
      <c r="K119" s="3638"/>
      <c r="L119" s="3638"/>
      <c r="M119" s="3639"/>
      <c r="N119" s="3640"/>
      <c r="O119" s="3640"/>
      <c r="P119" s="3625"/>
      <c r="Q119" s="3601"/>
      <c r="R119" s="3422"/>
      <c r="S119" s="3422"/>
      <c r="T119" s="3422"/>
      <c r="U119" s="3422"/>
      <c r="V119" s="3422"/>
      <c r="W119" s="3422"/>
      <c r="X119" s="3422"/>
      <c r="Y119" s="3422"/>
      <c r="Z119" s="3422"/>
      <c r="AA119" s="3422"/>
      <c r="AB119" s="3422"/>
      <c r="AC119" s="3422"/>
    </row>
    <row r="120" spans="1:29" s="3544" customFormat="1" ht="15" thickTop="1">
      <c r="A120" s="3535"/>
      <c r="B120" s="3641" t="s">
        <v>768</v>
      </c>
      <c r="C120" s="3692"/>
      <c r="D120" s="3692"/>
      <c r="E120" s="3692"/>
      <c r="F120" s="3692"/>
      <c r="G120" s="3658"/>
      <c r="H120" s="3658"/>
      <c r="I120" s="3658"/>
      <c r="J120" s="3658"/>
      <c r="K120" s="3658"/>
      <c r="L120" s="3659"/>
      <c r="M120" s="3660"/>
      <c r="N120" s="3661"/>
      <c r="O120" s="3661"/>
      <c r="P120" s="3661"/>
      <c r="Q120" s="3662"/>
      <c r="R120" s="3537"/>
      <c r="S120" s="3537"/>
      <c r="T120" s="3537"/>
      <c r="U120" s="3537"/>
      <c r="V120" s="3537"/>
      <c r="W120" s="3537"/>
      <c r="X120" s="3537"/>
      <c r="Y120" s="3537"/>
      <c r="Z120" s="3537"/>
      <c r="AA120" s="3537"/>
      <c r="AB120" s="3537"/>
      <c r="AC120" s="3537"/>
    </row>
    <row r="121" spans="1:29" s="3544" customFormat="1" ht="15.75" thickBot="1">
      <c r="A121" s="3656"/>
      <c r="B121" s="3637"/>
      <c r="C121" s="3690">
        <v>100</v>
      </c>
      <c r="D121" s="3647">
        <f>C121-$K41</f>
        <v>100</v>
      </c>
      <c r="E121" s="3647">
        <f t="shared" ref="E121:M121" si="28">D121-$K41</f>
        <v>100</v>
      </c>
      <c r="F121" s="3647">
        <f t="shared" si="28"/>
        <v>100</v>
      </c>
      <c r="G121" s="3647">
        <f t="shared" si="28"/>
        <v>100</v>
      </c>
      <c r="H121" s="3647">
        <f t="shared" si="28"/>
        <v>100</v>
      </c>
      <c r="I121" s="3647">
        <f t="shared" si="28"/>
        <v>100</v>
      </c>
      <c r="J121" s="3647">
        <f t="shared" si="28"/>
        <v>100</v>
      </c>
      <c r="K121" s="3647">
        <f t="shared" si="28"/>
        <v>100</v>
      </c>
      <c r="L121" s="3647">
        <f t="shared" si="28"/>
        <v>100</v>
      </c>
      <c r="M121" s="3648">
        <f t="shared" si="28"/>
        <v>100</v>
      </c>
      <c r="N121" s="3661"/>
      <c r="O121" s="3661"/>
      <c r="P121" s="3661"/>
      <c r="Q121" s="3662"/>
      <c r="R121" s="3537"/>
      <c r="S121" s="3537"/>
      <c r="T121" s="3537"/>
      <c r="U121" s="3537"/>
      <c r="V121" s="3537"/>
      <c r="W121" s="3537"/>
      <c r="X121" s="3537"/>
      <c r="Y121" s="3537"/>
      <c r="Z121" s="3537"/>
      <c r="AA121" s="3537"/>
      <c r="AB121" s="3537"/>
      <c r="AC121" s="3537"/>
    </row>
    <row r="122" spans="1:29" ht="15" thickTop="1">
      <c r="A122" s="3545"/>
      <c r="B122" s="3641" t="s">
        <v>747</v>
      </c>
      <c r="C122" s="3657"/>
      <c r="D122" s="3657"/>
      <c r="E122" s="3657"/>
      <c r="F122" s="3692"/>
      <c r="G122" s="3692"/>
      <c r="H122" s="3692"/>
      <c r="I122" s="3692"/>
      <c r="J122" s="3692"/>
      <c r="K122" s="3693"/>
      <c r="L122" s="3694"/>
      <c r="M122" s="3695"/>
      <c r="N122" s="3636"/>
      <c r="O122" s="3636"/>
      <c r="P122" s="3625"/>
      <c r="Q122" s="3601"/>
      <c r="R122" s="3422"/>
      <c r="S122" s="3422"/>
      <c r="T122" s="3422"/>
      <c r="U122" s="3422"/>
      <c r="V122" s="3422"/>
      <c r="W122" s="3422"/>
      <c r="X122" s="3422"/>
      <c r="Y122" s="3422"/>
      <c r="Z122" s="3422"/>
      <c r="AA122" s="3422"/>
      <c r="AB122" s="3422"/>
      <c r="AC122" s="3422"/>
    </row>
    <row r="123" spans="1:29" ht="15.75" thickBot="1">
      <c r="A123" s="3493"/>
      <c r="B123" s="3646"/>
      <c r="C123" s="3647">
        <v>100</v>
      </c>
      <c r="D123" s="3647">
        <f t="shared" ref="D123:M123" si="29">C123-$K42</f>
        <v>100</v>
      </c>
      <c r="E123" s="3647">
        <f t="shared" si="29"/>
        <v>100</v>
      </c>
      <c r="F123" s="3647">
        <f t="shared" si="29"/>
        <v>100</v>
      </c>
      <c r="G123" s="3647">
        <f t="shared" si="29"/>
        <v>100</v>
      </c>
      <c r="H123" s="3647">
        <f t="shared" si="29"/>
        <v>100</v>
      </c>
      <c r="I123" s="3647">
        <f t="shared" si="29"/>
        <v>100</v>
      </c>
      <c r="J123" s="3647">
        <f t="shared" si="29"/>
        <v>100</v>
      </c>
      <c r="K123" s="3647">
        <f t="shared" si="29"/>
        <v>100</v>
      </c>
      <c r="L123" s="3647">
        <f t="shared" si="29"/>
        <v>100</v>
      </c>
      <c r="M123" s="3648">
        <f t="shared" si="29"/>
        <v>100</v>
      </c>
      <c r="N123" s="3640"/>
      <c r="O123" s="3640"/>
      <c r="P123" s="3625"/>
      <c r="Q123" s="3601"/>
      <c r="R123" s="3422"/>
      <c r="S123" s="3422"/>
      <c r="T123" s="3422"/>
      <c r="U123" s="3422"/>
      <c r="V123" s="3422"/>
      <c r="W123" s="3422"/>
      <c r="X123" s="3422"/>
      <c r="Y123" s="3422"/>
      <c r="Z123" s="3422"/>
      <c r="AA123" s="3422"/>
      <c r="AB123" s="3422"/>
      <c r="AC123" s="3422"/>
    </row>
    <row r="124" spans="1:29" ht="27.75" thickTop="1">
      <c r="A124" s="3545"/>
      <c r="B124" s="3641" t="s">
        <v>748</v>
      </c>
      <c r="C124" s="3681" t="s">
        <v>571</v>
      </c>
      <c r="D124" s="3681" t="s">
        <v>572</v>
      </c>
      <c r="E124" s="3681" t="s">
        <v>573</v>
      </c>
      <c r="F124" s="3681" t="s">
        <v>574</v>
      </c>
      <c r="G124" s="3681" t="s">
        <v>575</v>
      </c>
      <c r="H124" s="3642"/>
      <c r="I124" s="3642"/>
      <c r="J124" s="3642"/>
      <c r="K124" s="3643"/>
      <c r="L124" s="3644"/>
      <c r="M124" s="3645"/>
      <c r="N124" s="3636"/>
      <c r="O124" s="3636"/>
      <c r="P124" s="3661"/>
      <c r="Q124" s="3601"/>
      <c r="R124" s="3422"/>
      <c r="S124" s="3422"/>
      <c r="T124" s="3422"/>
      <c r="U124" s="3422"/>
      <c r="V124" s="3422"/>
      <c r="W124" s="3422"/>
      <c r="X124" s="3422"/>
      <c r="Y124" s="3422"/>
      <c r="Z124" s="3422"/>
      <c r="AA124" s="3422"/>
      <c r="AB124" s="3422"/>
      <c r="AC124" s="3422"/>
    </row>
    <row r="125" spans="1:29" ht="15.75" thickBot="1">
      <c r="A125" s="3493"/>
      <c r="B125" s="3646"/>
      <c r="C125" s="3647">
        <v>100</v>
      </c>
      <c r="D125" s="3647">
        <f>C125-$K43</f>
        <v>100</v>
      </c>
      <c r="E125" s="3647">
        <f>D125-$K43</f>
        <v>100</v>
      </c>
      <c r="F125" s="3647">
        <f>E125-$K43</f>
        <v>100</v>
      </c>
      <c r="G125" s="3647">
        <f>F125-$K43</f>
        <v>100</v>
      </c>
      <c r="H125" s="3647"/>
      <c r="I125" s="3647"/>
      <c r="J125" s="3647"/>
      <c r="K125" s="3647"/>
      <c r="L125" s="3647"/>
      <c r="M125" s="3648"/>
      <c r="N125" s="3640"/>
      <c r="O125" s="3640"/>
      <c r="P125" s="3625"/>
      <c r="Q125" s="3601"/>
      <c r="R125" s="3422"/>
      <c r="S125" s="3422"/>
      <c r="T125" s="3422"/>
      <c r="U125" s="3422"/>
      <c r="V125" s="3422"/>
      <c r="W125" s="3422"/>
      <c r="X125" s="3422"/>
      <c r="Y125" s="3422"/>
      <c r="Z125" s="3422"/>
      <c r="AA125" s="3422"/>
      <c r="AB125" s="3422"/>
      <c r="AC125" s="3422"/>
    </row>
    <row r="126" spans="1:29" s="3544" customFormat="1" ht="15" thickTop="1">
      <c r="A126" s="3535"/>
      <c r="B126" s="3641">
        <f>B44</f>
        <v>111</v>
      </c>
      <c r="C126" s="3657"/>
      <c r="D126" s="3657"/>
      <c r="E126" s="3657"/>
      <c r="F126" s="3657"/>
      <c r="G126" s="3657"/>
      <c r="H126" s="3658"/>
      <c r="I126" s="3658"/>
      <c r="J126" s="3658"/>
      <c r="K126" s="3658"/>
      <c r="L126" s="3659"/>
      <c r="M126" s="3660"/>
      <c r="N126" s="3661"/>
      <c r="O126" s="3661"/>
      <c r="P126" s="3661"/>
      <c r="Q126" s="3662"/>
      <c r="R126" s="3537"/>
      <c r="S126" s="3537"/>
      <c r="T126" s="3537"/>
      <c r="U126" s="3537"/>
      <c r="V126" s="3537"/>
      <c r="W126" s="3537"/>
      <c r="X126" s="3537"/>
      <c r="Y126" s="3537"/>
      <c r="Z126" s="3537"/>
      <c r="AA126" s="3537"/>
      <c r="AB126" s="3537"/>
      <c r="AC126" s="3537"/>
    </row>
    <row r="127" spans="1:29" s="3544" customFormat="1" ht="15.75" thickBot="1">
      <c r="A127" s="3656"/>
      <c r="B127" s="3646"/>
      <c r="C127" s="3663"/>
      <c r="D127" s="3638"/>
      <c r="E127" s="3638"/>
      <c r="F127" s="3638"/>
      <c r="G127" s="3663"/>
      <c r="H127" s="3665"/>
      <c r="I127" s="3665"/>
      <c r="J127" s="3665"/>
      <c r="K127" s="3665"/>
      <c r="L127" s="3665"/>
      <c r="M127" s="3666"/>
      <c r="N127" s="3661"/>
      <c r="O127" s="3661"/>
      <c r="P127" s="3661"/>
      <c r="Q127" s="3662"/>
      <c r="R127" s="3537"/>
      <c r="S127" s="3537"/>
      <c r="T127" s="3537"/>
      <c r="U127" s="3537"/>
      <c r="V127" s="3537"/>
      <c r="W127" s="3537"/>
      <c r="X127" s="3537"/>
      <c r="Y127" s="3537"/>
      <c r="Z127" s="3537"/>
      <c r="AA127" s="3537"/>
      <c r="AB127" s="3537"/>
      <c r="AC127" s="3537"/>
    </row>
    <row r="128" spans="1:29" ht="15" thickTop="1">
      <c r="A128" s="3545"/>
      <c r="B128" s="3641">
        <f>B45</f>
        <v>111</v>
      </c>
      <c r="C128" s="3657"/>
      <c r="D128" s="3657"/>
      <c r="E128" s="3657"/>
      <c r="F128" s="3657"/>
      <c r="G128" s="3692"/>
      <c r="H128" s="3692"/>
      <c r="I128" s="3692"/>
      <c r="J128" s="3692"/>
      <c r="K128" s="3693"/>
      <c r="L128" s="3694"/>
      <c r="M128" s="3695"/>
      <c r="N128" s="3636"/>
      <c r="O128" s="3636"/>
      <c r="P128" s="3625"/>
      <c r="Q128" s="3601"/>
      <c r="R128" s="3422"/>
      <c r="S128" s="3422"/>
      <c r="T128" s="3422"/>
      <c r="U128" s="3422"/>
      <c r="V128" s="3422"/>
      <c r="W128" s="3422"/>
      <c r="X128" s="3422"/>
      <c r="Y128" s="3422"/>
      <c r="Z128" s="3422"/>
      <c r="AA128" s="3422"/>
      <c r="AB128" s="3422"/>
      <c r="AC128" s="3422"/>
    </row>
    <row r="129" spans="1:29" ht="15.75" thickBot="1">
      <c r="A129" s="3493"/>
      <c r="B129" s="3646"/>
      <c r="C129" s="3663"/>
      <c r="D129" s="3638"/>
      <c r="E129" s="3638"/>
      <c r="F129" s="3638"/>
      <c r="G129" s="3638"/>
      <c r="H129" s="3638"/>
      <c r="I129" s="3638"/>
      <c r="J129" s="3638"/>
      <c r="K129" s="3638"/>
      <c r="L129" s="3638"/>
      <c r="M129" s="3639"/>
      <c r="N129" s="3640"/>
      <c r="O129" s="3640"/>
      <c r="P129" s="3625"/>
      <c r="Q129" s="3601"/>
      <c r="R129" s="3422"/>
      <c r="S129" s="3422"/>
      <c r="T129" s="3422"/>
      <c r="U129" s="3422"/>
      <c r="V129" s="3422"/>
      <c r="W129" s="3422"/>
      <c r="X129" s="3422"/>
      <c r="Y129" s="3422"/>
      <c r="Z129" s="3422"/>
      <c r="AA129" s="3422"/>
      <c r="AB129" s="3422"/>
      <c r="AC129" s="3422"/>
    </row>
    <row r="130" spans="1:29" ht="15" thickTop="1">
      <c r="A130" s="3545"/>
      <c r="B130" s="3649">
        <f>B46</f>
        <v>111</v>
      </c>
      <c r="C130" s="3657"/>
      <c r="D130" s="3657"/>
      <c r="E130" s="3657"/>
      <c r="F130" s="3657"/>
      <c r="G130" s="3696"/>
      <c r="H130" s="3696"/>
      <c r="I130" s="3696"/>
      <c r="J130" s="3696"/>
      <c r="K130" s="3622"/>
      <c r="L130" s="3623"/>
      <c r="M130" s="3699"/>
      <c r="N130" s="3636"/>
      <c r="O130" s="3636"/>
      <c r="P130" s="3625"/>
      <c r="Q130" s="3601"/>
      <c r="R130" s="3422"/>
      <c r="S130" s="3422"/>
      <c r="T130" s="3422"/>
      <c r="U130" s="3422"/>
      <c r="V130" s="3422"/>
      <c r="W130" s="3422"/>
      <c r="X130" s="3422"/>
      <c r="Y130" s="3422"/>
      <c r="Z130" s="3422"/>
      <c r="AA130" s="3422"/>
      <c r="AB130" s="3422"/>
      <c r="AC130" s="3422"/>
    </row>
    <row r="131" spans="1:29" ht="15.75" thickBot="1">
      <c r="A131" s="3529"/>
      <c r="B131" s="3672"/>
      <c r="C131" s="3673"/>
      <c r="D131" s="3673"/>
      <c r="E131" s="3673"/>
      <c r="F131" s="3673"/>
      <c r="G131" s="3700"/>
      <c r="H131" s="3700"/>
      <c r="I131" s="3700"/>
      <c r="J131" s="3700"/>
      <c r="K131" s="3700"/>
      <c r="L131" s="3700"/>
      <c r="M131" s="3701"/>
      <c r="N131" s="3640"/>
      <c r="O131" s="3640"/>
      <c r="P131" s="3625"/>
      <c r="Q131" s="3601"/>
      <c r="R131" s="3422"/>
      <c r="S131" s="3422"/>
      <c r="T131" s="3422"/>
      <c r="U131" s="3422"/>
      <c r="V131" s="3422"/>
      <c r="W131" s="3422"/>
      <c r="X131" s="3422"/>
      <c r="Y131" s="3422"/>
      <c r="Z131" s="3422"/>
      <c r="AA131" s="3422"/>
      <c r="AB131" s="3422"/>
      <c r="AC131" s="3422"/>
    </row>
    <row r="132" spans="1:29">
      <c r="A132" s="3714"/>
      <c r="B132" s="3714"/>
      <c r="C132" s="3714"/>
      <c r="D132" s="3714"/>
      <c r="E132" s="3714"/>
      <c r="F132" s="3714"/>
      <c r="G132" s="3714"/>
      <c r="H132" s="3714"/>
      <c r="I132" s="3714"/>
      <c r="J132" s="3714"/>
      <c r="K132" s="3715"/>
      <c r="L132" s="3716"/>
      <c r="M132" s="3714"/>
      <c r="N132" s="3714"/>
      <c r="O132" s="3714"/>
      <c r="P132" s="3714"/>
      <c r="Q132" s="3714"/>
      <c r="R132" s="3714"/>
      <c r="S132" s="3714"/>
      <c r="T132" s="3714"/>
      <c r="U132" s="3714"/>
      <c r="V132" s="3714"/>
      <c r="W132" s="3714"/>
      <c r="X132" s="3714"/>
      <c r="Y132" s="3714"/>
      <c r="Z132" s="3714"/>
      <c r="AA132" s="3714"/>
      <c r="AB132" s="3714"/>
      <c r="AC132" s="3714"/>
    </row>
    <row r="133" spans="1:29">
      <c r="A133" s="3714"/>
      <c r="B133" s="3714"/>
      <c r="C133" s="3714"/>
      <c r="D133" s="3714"/>
      <c r="E133" s="3714"/>
      <c r="F133" s="3714"/>
      <c r="G133" s="3714"/>
      <c r="H133" s="3714"/>
      <c r="I133" s="3714"/>
      <c r="J133" s="3714"/>
      <c r="K133" s="3715"/>
      <c r="L133" s="3716"/>
      <c r="M133" s="3714"/>
      <c r="N133" s="3714"/>
      <c r="O133" s="3714"/>
      <c r="P133" s="3714"/>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14"/>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14"/>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14"/>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14"/>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14"/>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14"/>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14"/>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14"/>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14"/>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14"/>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14"/>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14"/>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14"/>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14"/>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14"/>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14"/>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14"/>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14"/>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14"/>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14"/>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14"/>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14"/>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14"/>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14"/>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14"/>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14"/>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14"/>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14"/>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14"/>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14"/>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14"/>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14"/>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14"/>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14"/>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14"/>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14"/>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14"/>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14"/>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14"/>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14"/>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14"/>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14"/>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14"/>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14"/>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14"/>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14"/>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14"/>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14"/>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14"/>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14"/>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14"/>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14"/>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14"/>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14"/>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14"/>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14"/>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14"/>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14"/>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14"/>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14"/>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14"/>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14"/>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14"/>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14"/>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14"/>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14"/>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14"/>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14"/>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14"/>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14"/>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14"/>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14"/>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14"/>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14"/>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14"/>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14"/>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14"/>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14"/>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14"/>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14"/>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14"/>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14"/>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14"/>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14"/>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14"/>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14"/>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14"/>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14"/>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14"/>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14"/>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14"/>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14"/>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14"/>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14"/>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14"/>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14"/>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14"/>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14"/>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14"/>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14"/>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14"/>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14"/>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14"/>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14"/>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14"/>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14"/>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14"/>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14"/>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14"/>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14"/>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14"/>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14"/>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14"/>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14"/>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14"/>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14"/>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14"/>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14"/>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14"/>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14"/>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14"/>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14"/>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14"/>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14"/>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14"/>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14"/>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14"/>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14"/>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14"/>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14"/>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14"/>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14"/>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14"/>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14"/>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14"/>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14"/>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14"/>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14"/>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14"/>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14"/>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14"/>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14"/>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14"/>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14"/>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14"/>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14"/>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14"/>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14"/>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14"/>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14"/>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14"/>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14"/>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14"/>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14"/>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14"/>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14"/>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14"/>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14"/>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14"/>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14"/>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14"/>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14"/>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14"/>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14"/>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14"/>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14"/>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14"/>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14"/>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14"/>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14"/>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14"/>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14"/>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14"/>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14"/>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14"/>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14"/>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14"/>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14"/>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14"/>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14"/>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14"/>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14"/>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14"/>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14"/>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14"/>
      <c r="Q318" s="3714"/>
      <c r="R318" s="3714"/>
      <c r="S318" s="3714"/>
      <c r="T318" s="3714"/>
      <c r="U318" s="3714"/>
      <c r="V318" s="3714"/>
      <c r="W318" s="3714"/>
      <c r="X318" s="3714"/>
      <c r="Y318" s="3714"/>
      <c r="Z318" s="3714"/>
      <c r="AA318" s="3714"/>
      <c r="AB318" s="3714"/>
      <c r="AC318" s="3714"/>
    </row>
    <row r="319" spans="1:29">
      <c r="N319" s="3714"/>
      <c r="O319" s="3714"/>
      <c r="P319" s="3714"/>
      <c r="Q319" s="3714"/>
      <c r="R319" s="3714"/>
      <c r="S319" s="3714"/>
      <c r="T319" s="3714"/>
      <c r="U319" s="3714"/>
      <c r="V319" s="3714"/>
      <c r="W319" s="3714"/>
      <c r="X319" s="3714"/>
      <c r="Y319" s="3714"/>
      <c r="Z319" s="3714"/>
      <c r="AA319" s="3714"/>
      <c r="AB319" s="3714"/>
      <c r="AC319" s="3714"/>
    </row>
    <row r="320" spans="1:29">
      <c r="AC320" s="3714"/>
    </row>
    <row r="321" spans="29:29">
      <c r="AC321" s="3714"/>
    </row>
    <row r="322" spans="29:29">
      <c r="AC322" s="3714"/>
    </row>
    <row r="323" spans="29:29">
      <c r="AC323" s="3714"/>
    </row>
    <row r="324" spans="29:29">
      <c r="AC324" s="3714"/>
    </row>
    <row r="325" spans="29:29">
      <c r="AC325" s="3714"/>
    </row>
    <row r="326" spans="29:29">
      <c r="AC326" s="3714"/>
    </row>
    <row r="327" spans="29:29">
      <c r="AC327" s="3714"/>
    </row>
    <row r="328" spans="29:29">
      <c r="AC328" s="3714"/>
    </row>
    <row r="329" spans="29:29">
      <c r="AC329" s="3714"/>
    </row>
    <row r="330" spans="29:29">
      <c r="AC330" s="3714"/>
    </row>
    <row r="331" spans="29:29">
      <c r="AC331" s="3714"/>
    </row>
    <row r="332" spans="29:29">
      <c r="AC332" s="3714"/>
    </row>
    <row r="333" spans="29:29">
      <c r="AC333" s="3714"/>
    </row>
    <row r="334" spans="29:29">
      <c r="AC334" s="3714"/>
    </row>
    <row r="335" spans="29:29">
      <c r="AC335" s="3714"/>
    </row>
    <row r="336" spans="29:29">
      <c r="AC336" s="3714"/>
    </row>
    <row r="337" spans="29:29">
      <c r="AC337" s="3714"/>
    </row>
    <row r="338" spans="29:29">
      <c r="AC338" s="3714"/>
    </row>
    <row r="339" spans="29:29">
      <c r="AC339" s="3714"/>
    </row>
    <row r="340" spans="29:29">
      <c r="AC340" s="3714"/>
    </row>
    <row r="341" spans="29:29">
      <c r="AC341" s="3714"/>
    </row>
    <row r="342" spans="29:29">
      <c r="AC342" s="3714"/>
    </row>
    <row r="343" spans="29:29">
      <c r="AC343" s="3714"/>
    </row>
    <row r="344" spans="29:29">
      <c r="AC344" s="3714"/>
    </row>
    <row r="345" spans="29:29">
      <c r="AC345" s="3714"/>
    </row>
    <row r="346" spans="29:29">
      <c r="AC346" s="3714"/>
    </row>
    <row r="347" spans="29:29">
      <c r="AC347" s="3714"/>
    </row>
    <row r="348" spans="29:29">
      <c r="AC348" s="3714"/>
    </row>
    <row r="349" spans="29:29">
      <c r="AC349" s="3714"/>
    </row>
    <row r="350" spans="29:29">
      <c r="AC350" s="3714"/>
    </row>
    <row r="351" spans="29:29">
      <c r="AC351" s="3714"/>
    </row>
    <row r="352" spans="29:29">
      <c r="AC352" s="3714"/>
    </row>
    <row r="353" spans="29:29">
      <c r="AC353" s="3714"/>
    </row>
    <row r="354" spans="29:29">
      <c r="AC354" s="3714"/>
    </row>
    <row r="355" spans="29:29">
      <c r="AC355" s="3714"/>
    </row>
    <row r="356" spans="29:29">
      <c r="AC356" s="3714"/>
    </row>
    <row r="357" spans="29:29">
      <c r="AC357" s="3714"/>
    </row>
    <row r="358" spans="29:29">
      <c r="AC358" s="3714"/>
    </row>
    <row r="359" spans="29:29">
      <c r="AC359" s="3714"/>
    </row>
    <row r="360" spans="29:29">
      <c r="AC360" s="3714"/>
    </row>
    <row r="361" spans="29:29">
      <c r="AC361" s="3714"/>
    </row>
    <row r="362" spans="29:29">
      <c r="AC362" s="3714"/>
    </row>
    <row r="363" spans="29:29">
      <c r="AC363" s="3714"/>
    </row>
    <row r="364" spans="29:29">
      <c r="AC364" s="3714"/>
    </row>
    <row r="365" spans="29:29">
      <c r="AC365" s="3714"/>
    </row>
    <row r="366" spans="29:29">
      <c r="AC366" s="3714"/>
    </row>
    <row r="367" spans="29:29">
      <c r="AC367" s="3714"/>
    </row>
    <row r="368" spans="29:29">
      <c r="AC368" s="3714"/>
    </row>
    <row r="369" spans="29:29">
      <c r="AC369" s="3714"/>
    </row>
    <row r="370" spans="29:29">
      <c r="AC370" s="3714"/>
    </row>
    <row r="371" spans="29:29">
      <c r="AC371" s="3714"/>
    </row>
    <row r="372" spans="29:29">
      <c r="AC372" s="3714"/>
    </row>
    <row r="373" spans="29:29">
      <c r="AC373" s="3714"/>
    </row>
    <row r="374" spans="29:29">
      <c r="AC374" s="3714"/>
    </row>
    <row r="375" spans="29:29">
      <c r="AC375" s="3714"/>
    </row>
    <row r="376" spans="29:29">
      <c r="AC376" s="3714"/>
    </row>
    <row r="377" spans="29:29">
      <c r="AC377" s="3714"/>
    </row>
    <row r="378" spans="29:29">
      <c r="AC378" s="3714"/>
    </row>
    <row r="379" spans="29:29">
      <c r="AC379" s="3714"/>
    </row>
    <row r="380" spans="29:29">
      <c r="AC380" s="3714"/>
    </row>
    <row r="381" spans="29:29">
      <c r="AC381" s="3714"/>
    </row>
    <row r="382" spans="29:29">
      <c r="AC382" s="3714"/>
    </row>
    <row r="383" spans="29:29">
      <c r="AC383" s="3714"/>
    </row>
    <row r="384" spans="29:29">
      <c r="AC384" s="3714"/>
    </row>
    <row r="385" spans="29:29">
      <c r="AC385" s="3714"/>
    </row>
    <row r="386" spans="29:29">
      <c r="AC386" s="3714"/>
    </row>
    <row r="387" spans="29:29">
      <c r="AC387" s="3714"/>
    </row>
    <row r="388" spans="29:29">
      <c r="AC388" s="3714"/>
    </row>
    <row r="389" spans="29:29">
      <c r="AC389" s="3714"/>
    </row>
    <row r="390" spans="29:29">
      <c r="AC390" s="3714"/>
    </row>
    <row r="391" spans="29:29">
      <c r="AC391" s="3714"/>
    </row>
    <row r="392" spans="29:29">
      <c r="AC392" s="3714"/>
    </row>
    <row r="393" spans="29:29">
      <c r="AC393" s="3714"/>
    </row>
    <row r="394" spans="29:29">
      <c r="AC394" s="3714"/>
    </row>
    <row r="395" spans="29:29">
      <c r="AC395" s="3714"/>
    </row>
    <row r="396" spans="29:29">
      <c r="AC396" s="3714"/>
    </row>
    <row r="397" spans="29:29">
      <c r="AC397" s="3714"/>
    </row>
    <row r="398" spans="29:29">
      <c r="AC398" s="3714"/>
    </row>
    <row r="399" spans="29:29">
      <c r="AC399" s="3714"/>
    </row>
    <row r="400" spans="29:29">
      <c r="AC400" s="3714"/>
    </row>
    <row r="401" spans="29:29">
      <c r="AC401" s="3714"/>
    </row>
    <row r="402" spans="29:29">
      <c r="AC402" s="3714"/>
    </row>
    <row r="403" spans="29:29">
      <c r="AC403" s="3714"/>
    </row>
    <row r="404" spans="29:29">
      <c r="AC404" s="3714"/>
    </row>
    <row r="405" spans="29:29">
      <c r="AC405" s="3714"/>
    </row>
    <row r="406" spans="29:29">
      <c r="AC406" s="3714"/>
    </row>
    <row r="407" spans="29:29">
      <c r="AC407" s="3714"/>
    </row>
    <row r="408" spans="29:29">
      <c r="AC408" s="3714"/>
    </row>
    <row r="409" spans="29:29">
      <c r="AC409" s="3714"/>
    </row>
    <row r="410" spans="29:29">
      <c r="AC410" s="3714"/>
    </row>
    <row r="411" spans="29:29">
      <c r="AC411" s="3714"/>
    </row>
    <row r="412" spans="29:29">
      <c r="AC412" s="3714"/>
    </row>
    <row r="413" spans="29:29">
      <c r="AC413" s="3714"/>
    </row>
    <row r="414" spans="29:29">
      <c r="AC414" s="3714"/>
    </row>
    <row r="415" spans="29:29">
      <c r="AC415" s="3714"/>
    </row>
    <row r="416" spans="29:29">
      <c r="AC416" s="3714"/>
    </row>
    <row r="417" spans="29:29">
      <c r="AC417" s="3714"/>
    </row>
    <row r="418" spans="29:29">
      <c r="AC418" s="3714"/>
    </row>
    <row r="419" spans="29:29">
      <c r="AC419" s="3714"/>
    </row>
    <row r="420" spans="29:29">
      <c r="AC420" s="3714"/>
    </row>
    <row r="421" spans="29:29">
      <c r="AC421" s="3714"/>
    </row>
    <row r="422" spans="29:29">
      <c r="AC422" s="3714"/>
    </row>
    <row r="423" spans="29:29">
      <c r="AC423" s="3714"/>
    </row>
    <row r="424" spans="29:29">
      <c r="AC424" s="3714"/>
    </row>
    <row r="425" spans="29:29">
      <c r="AC425" s="3714"/>
    </row>
    <row r="426" spans="29:29">
      <c r="AC426" s="3714"/>
    </row>
    <row r="427" spans="29:29">
      <c r="AC427" s="3714"/>
    </row>
    <row r="428" spans="29:29">
      <c r="AC428" s="3714"/>
    </row>
    <row r="429" spans="29:29">
      <c r="AC429" s="3714"/>
    </row>
    <row r="430" spans="29:29">
      <c r="AC430" s="3714"/>
    </row>
    <row r="431" spans="29:29">
      <c r="AC431" s="3714"/>
    </row>
    <row r="432" spans="29:29">
      <c r="AC432" s="3714"/>
    </row>
    <row r="433" spans="29:29">
      <c r="AC433" s="3714"/>
    </row>
    <row r="434" spans="29:29">
      <c r="AC434" s="3714"/>
    </row>
    <row r="435" spans="29:29">
      <c r="AC435" s="3714"/>
    </row>
    <row r="436" spans="29:29">
      <c r="AC436" s="3714"/>
    </row>
    <row r="437" spans="29:29">
      <c r="AC437" s="3714"/>
    </row>
    <row r="438" spans="29:29">
      <c r="AC438" s="3714"/>
    </row>
    <row r="439" spans="29:29">
      <c r="AC439" s="3714"/>
    </row>
    <row r="440" spans="29:29">
      <c r="AC440" s="3714"/>
    </row>
    <row r="441" spans="29:29">
      <c r="AC441" s="3714"/>
    </row>
    <row r="442" spans="29:29">
      <c r="AC442" s="3714"/>
    </row>
    <row r="443" spans="29:29">
      <c r="AC443" s="3714"/>
    </row>
    <row r="444" spans="29:29">
      <c r="AC444" s="3714"/>
    </row>
    <row r="445" spans="29:29">
      <c r="AC445" s="3714"/>
    </row>
    <row r="446" spans="29:29">
      <c r="AC446" s="3714"/>
    </row>
    <row r="447" spans="29:29">
      <c r="AC447" s="3714"/>
    </row>
    <row r="448" spans="29:29">
      <c r="AC448" s="3714"/>
    </row>
    <row r="449" spans="29:29">
      <c r="AC449" s="3714"/>
    </row>
    <row r="450" spans="29:29">
      <c r="AC450" s="3714"/>
    </row>
    <row r="451" spans="29:29">
      <c r="AC451" s="3714"/>
    </row>
    <row r="452" spans="29:29">
      <c r="AC452" s="3714"/>
    </row>
    <row r="453" spans="29:29">
      <c r="AC453" s="3714"/>
    </row>
    <row r="454" spans="29:29">
      <c r="AC454" s="3714"/>
    </row>
    <row r="455" spans="29:29">
      <c r="AC455" s="3714"/>
    </row>
    <row r="456" spans="29:29">
      <c r="AC456" s="3714"/>
    </row>
    <row r="457" spans="29:29">
      <c r="AC457" s="3714"/>
    </row>
    <row r="458" spans="29:29">
      <c r="AC458" s="3714"/>
    </row>
    <row r="459" spans="29:29">
      <c r="AC459" s="3714"/>
    </row>
    <row r="460" spans="29:29">
      <c r="AC460" s="3714"/>
    </row>
    <row r="461" spans="29:29">
      <c r="AC461" s="3714"/>
    </row>
    <row r="462" spans="29:29">
      <c r="AC462" s="3714"/>
    </row>
    <row r="463" spans="29:29">
      <c r="AC463" s="3714"/>
    </row>
    <row r="464" spans="29:29">
      <c r="AC464" s="3714"/>
    </row>
    <row r="465" spans="29:29">
      <c r="AC465" s="3714"/>
    </row>
    <row r="466" spans="29:29">
      <c r="AC466" s="3714"/>
    </row>
    <row r="467" spans="29:29">
      <c r="AC467" s="3714"/>
    </row>
    <row r="468" spans="29:29">
      <c r="AC468" s="3714"/>
    </row>
    <row r="469" spans="29:29">
      <c r="AC469" s="3714"/>
    </row>
    <row r="470" spans="29:29">
      <c r="AC470" s="3714"/>
    </row>
    <row r="471" spans="29:29">
      <c r="AC471" s="3714"/>
    </row>
    <row r="472" spans="29:29">
      <c r="AC472" s="3714"/>
    </row>
    <row r="473" spans="29:29">
      <c r="AC473" s="3714"/>
    </row>
    <row r="474" spans="29:29">
      <c r="AC474" s="3714"/>
    </row>
    <row r="475" spans="29:29">
      <c r="AC475" s="3714"/>
    </row>
    <row r="476" spans="29:29">
      <c r="AC476" s="3714"/>
    </row>
    <row r="477" spans="29:29">
      <c r="AC477" s="3714"/>
    </row>
    <row r="478" spans="29:29">
      <c r="AC478" s="3714"/>
    </row>
    <row r="479" spans="29:29">
      <c r="AC479" s="3714"/>
    </row>
    <row r="480" spans="29:29">
      <c r="AC480" s="3714"/>
    </row>
    <row r="481" spans="29:29">
      <c r="AC481" s="3714"/>
    </row>
    <row r="482" spans="29:29">
      <c r="AC482" s="3714"/>
    </row>
    <row r="483" spans="29:29">
      <c r="AC483" s="3714"/>
    </row>
    <row r="484" spans="29:29">
      <c r="AC484" s="3714"/>
    </row>
    <row r="485" spans="29:29">
      <c r="AC485" s="3714"/>
    </row>
    <row r="486" spans="29:29">
      <c r="AC486" s="3714"/>
    </row>
    <row r="487" spans="29:29">
      <c r="AC487" s="3714"/>
    </row>
    <row r="488" spans="29:29">
      <c r="AC488" s="3714"/>
    </row>
    <row r="489" spans="29:29">
      <c r="AC489" s="3714"/>
    </row>
    <row r="490" spans="29:29">
      <c r="AC490" s="3714"/>
    </row>
    <row r="491" spans="29:29">
      <c r="AC491" s="3714"/>
    </row>
    <row r="492" spans="29:29">
      <c r="AC492" s="3714"/>
    </row>
    <row r="493" spans="29:29">
      <c r="AC493" s="3714"/>
    </row>
    <row r="494" spans="29:29">
      <c r="AC494" s="3714"/>
    </row>
    <row r="495" spans="29:29">
      <c r="AC495" s="3714"/>
    </row>
    <row r="496" spans="29:29">
      <c r="AC496" s="3714"/>
    </row>
    <row r="497" spans="29:29">
      <c r="AC497" s="3714"/>
    </row>
    <row r="498" spans="29:29">
      <c r="AC498" s="3714"/>
    </row>
    <row r="499" spans="29:29">
      <c r="AC499" s="3714"/>
    </row>
    <row r="500" spans="29:29">
      <c r="AC500" s="3714"/>
    </row>
    <row r="501" spans="29:29">
      <c r="AC501" s="3714"/>
    </row>
    <row r="502" spans="29:29">
      <c r="AC502" s="3714"/>
    </row>
    <row r="503" spans="29:29">
      <c r="AC503" s="3714"/>
    </row>
    <row r="504" spans="29:29">
      <c r="AC504" s="3714"/>
    </row>
    <row r="505" spans="29:29">
      <c r="AC505" s="3714"/>
    </row>
    <row r="506" spans="29:29">
      <c r="AC506" s="3714"/>
    </row>
    <row r="507" spans="29:29">
      <c r="AC507" s="3714"/>
    </row>
    <row r="508" spans="29:29">
      <c r="AC508" s="3714"/>
    </row>
    <row r="509" spans="29:29">
      <c r="AC509" s="3714"/>
    </row>
    <row r="510" spans="29:29">
      <c r="AC510" s="3714"/>
    </row>
    <row r="511" spans="29:29">
      <c r="AC511" s="3714"/>
    </row>
    <row r="512" spans="29:29">
      <c r="AC512" s="3714"/>
    </row>
    <row r="513" spans="29:29">
      <c r="AC513" s="3714"/>
    </row>
    <row r="514" spans="29:29">
      <c r="AC514" s="3714"/>
    </row>
    <row r="515" spans="29:29">
      <c r="AC515" s="3714"/>
    </row>
    <row r="516" spans="29:29">
      <c r="AC516" s="3714"/>
    </row>
    <row r="517" spans="29:29">
      <c r="AC517" s="3714"/>
    </row>
    <row r="518" spans="29:29">
      <c r="AC518" s="3714"/>
    </row>
    <row r="519" spans="29:29">
      <c r="AC519" s="3714"/>
    </row>
    <row r="520" spans="29:29">
      <c r="AC520" s="3714"/>
    </row>
    <row r="521" spans="29:29">
      <c r="AC521" s="3714"/>
    </row>
    <row r="522" spans="29:29">
      <c r="AC522" s="3714"/>
    </row>
    <row r="523" spans="29:29">
      <c r="AC523" s="3714"/>
    </row>
    <row r="524" spans="29:29">
      <c r="AC524" s="3714"/>
    </row>
    <row r="525" spans="29:29">
      <c r="AC525" s="3714"/>
    </row>
    <row r="526" spans="29:29">
      <c r="AC526" s="3714"/>
    </row>
    <row r="527" spans="29:29">
      <c r="AC527" s="3714"/>
    </row>
    <row r="528" spans="29:29">
      <c r="AC528" s="3714"/>
    </row>
    <row r="529" spans="29:29">
      <c r="AC529" s="3714"/>
    </row>
    <row r="530" spans="29:29">
      <c r="AC530" s="3714"/>
    </row>
    <row r="531" spans="29:29">
      <c r="AC531" s="3714"/>
    </row>
    <row r="532" spans="29:29">
      <c r="AC532" s="3714"/>
    </row>
    <row r="533" spans="29:29">
      <c r="AC533" s="3714"/>
    </row>
    <row r="534" spans="29:29">
      <c r="AC534" s="3714"/>
    </row>
    <row r="535" spans="29:29">
      <c r="AC535" s="3714"/>
    </row>
    <row r="536" spans="29:29">
      <c r="AC536" s="3714"/>
    </row>
    <row r="537" spans="29:29">
      <c r="AC537" s="3714"/>
    </row>
    <row r="538" spans="29:29">
      <c r="AC538" s="3714"/>
    </row>
    <row r="539" spans="29:29">
      <c r="AC539" s="3714"/>
    </row>
    <row r="540" spans="29:29">
      <c r="AC540" s="3714"/>
    </row>
    <row r="541" spans="29:29">
      <c r="AC541" s="3714"/>
    </row>
    <row r="542" spans="29:29">
      <c r="AC542" s="3714"/>
    </row>
    <row r="543" spans="29:29">
      <c r="AC543" s="3714"/>
    </row>
    <row r="544" spans="29:29">
      <c r="AC544" s="3714"/>
    </row>
    <row r="545" spans="29:29">
      <c r="AC545" s="3714"/>
    </row>
    <row r="546" spans="29:29">
      <c r="AC546" s="3714"/>
    </row>
    <row r="547" spans="29:29">
      <c r="AC547" s="3714"/>
    </row>
    <row r="548" spans="29:29">
      <c r="AC548" s="3714"/>
    </row>
    <row r="549" spans="29:29">
      <c r="AC549" s="3714"/>
    </row>
    <row r="550" spans="29:29">
      <c r="AC550" s="3714"/>
    </row>
    <row r="551" spans="29:29">
      <c r="AC551" s="3714"/>
    </row>
    <row r="552" spans="29:29">
      <c r="AC552" s="3714"/>
    </row>
    <row r="553" spans="29:29">
      <c r="AC553" s="3714"/>
    </row>
    <row r="554" spans="29:29">
      <c r="AC554" s="3714"/>
    </row>
    <row r="555" spans="29:29">
      <c r="AC555" s="3714"/>
    </row>
    <row r="556" spans="29:29">
      <c r="AC556" s="3714"/>
    </row>
    <row r="557" spans="29:29">
      <c r="AC557" s="3714"/>
    </row>
    <row r="558" spans="29:29">
      <c r="AC558" s="3714"/>
    </row>
    <row r="559" spans="29:29">
      <c r="AC559" s="3714"/>
    </row>
    <row r="560" spans="29:29">
      <c r="AC560" s="3714"/>
    </row>
    <row r="561" spans="29:29">
      <c r="AC561" s="3714"/>
    </row>
    <row r="562" spans="29:29">
      <c r="AC562" s="3714"/>
    </row>
    <row r="563" spans="29:29">
      <c r="AC563" s="3714"/>
    </row>
    <row r="564" spans="29:29">
      <c r="AC564" s="3714"/>
    </row>
    <row r="565" spans="29:29">
      <c r="AC565" s="3714"/>
    </row>
    <row r="566" spans="29:29">
      <c r="AC566" s="3714"/>
    </row>
    <row r="567" spans="29:29">
      <c r="AC567" s="3714"/>
    </row>
    <row r="568" spans="29:29">
      <c r="AC568" s="3714"/>
    </row>
    <row r="569" spans="29:29">
      <c r="AC569" s="3714"/>
    </row>
    <row r="570" spans="29:29">
      <c r="AC570" s="3714"/>
    </row>
    <row r="571" spans="29:29">
      <c r="AC571" s="3714"/>
    </row>
    <row r="572" spans="29:29">
      <c r="AC572" s="3714"/>
    </row>
    <row r="573" spans="29:29">
      <c r="AC573" s="3714"/>
    </row>
    <row r="574" spans="29:29">
      <c r="AC574" s="3714"/>
    </row>
    <row r="575" spans="29:29">
      <c r="AC575" s="3714"/>
    </row>
    <row r="576" spans="29:29">
      <c r="AC576" s="3714"/>
    </row>
    <row r="577" spans="29:29">
      <c r="AC577" s="3714"/>
    </row>
    <row r="578" spans="29:29">
      <c r="AC578" s="3714"/>
    </row>
    <row r="579" spans="29:29">
      <c r="AC579" s="3714"/>
    </row>
    <row r="580" spans="29:29">
      <c r="AC580" s="3714"/>
    </row>
    <row r="581" spans="29:29">
      <c r="AC581" s="3714"/>
    </row>
    <row r="582" spans="29:29">
      <c r="AC582" s="3714"/>
    </row>
    <row r="583" spans="29:29">
      <c r="AC583" s="3714"/>
    </row>
    <row r="584" spans="29:29">
      <c r="AC584" s="3714"/>
    </row>
    <row r="585" spans="29:29">
      <c r="AC585" s="3714"/>
    </row>
    <row r="586" spans="29:29">
      <c r="AC586" s="3714"/>
    </row>
    <row r="587" spans="29:29">
      <c r="AC587" s="3714"/>
    </row>
    <row r="588" spans="29:29">
      <c r="AC588" s="3714"/>
    </row>
    <row r="589" spans="29:29">
      <c r="AC589" s="3714"/>
    </row>
    <row r="590" spans="29:29">
      <c r="AC590" s="3714"/>
    </row>
    <row r="591" spans="29:29">
      <c r="AC591" s="3714"/>
    </row>
    <row r="592" spans="29:29">
      <c r="AC592" s="3714"/>
    </row>
    <row r="593" spans="29:29">
      <c r="AC593" s="3714"/>
    </row>
    <row r="594" spans="29:29">
      <c r="AC594" s="3714"/>
    </row>
    <row r="595" spans="29:29">
      <c r="AC595" s="3714"/>
    </row>
    <row r="596" spans="29:29">
      <c r="AC596" s="3714"/>
    </row>
    <row r="597" spans="29:29">
      <c r="AC597" s="3714"/>
    </row>
    <row r="598" spans="29:29">
      <c r="AC598" s="3714"/>
    </row>
    <row r="599" spans="29:29">
      <c r="AC599" s="3714"/>
    </row>
    <row r="600" spans="29:29">
      <c r="AC600" s="3714"/>
    </row>
    <row r="601" spans="29:29">
      <c r="AC601" s="3714"/>
    </row>
    <row r="602" spans="29:29">
      <c r="AC602" s="3714"/>
    </row>
    <row r="603" spans="29:29">
      <c r="AC603" s="3714"/>
    </row>
    <row r="604" spans="29:29">
      <c r="AC604" s="3714"/>
    </row>
    <row r="605" spans="29:29">
      <c r="AC605" s="3714"/>
    </row>
    <row r="606" spans="29:29">
      <c r="AC606" s="3714"/>
    </row>
    <row r="607" spans="29:29">
      <c r="AC607" s="3714"/>
    </row>
    <row r="608" spans="29:29">
      <c r="AC608" s="3714"/>
    </row>
    <row r="609" spans="29:29">
      <c r="AC609" s="3714"/>
    </row>
    <row r="610" spans="29:29">
      <c r="AC610" s="3714"/>
    </row>
    <row r="611" spans="29:29">
      <c r="AC611" s="3714"/>
    </row>
    <row r="612" spans="29:29">
      <c r="AC612" s="3714"/>
    </row>
    <row r="613" spans="29:29">
      <c r="AC613" s="3714"/>
    </row>
    <row r="614" spans="29:29">
      <c r="AC614" s="3714"/>
    </row>
    <row r="615" spans="29:29">
      <c r="AC615" s="3714"/>
    </row>
    <row r="616" spans="29:29">
      <c r="AC616" s="3714"/>
    </row>
    <row r="617" spans="29:29">
      <c r="AC617" s="3714"/>
    </row>
    <row r="618" spans="29:29">
      <c r="AC618" s="3714"/>
    </row>
    <row r="619" spans="29:29">
      <c r="AC619" s="3714"/>
    </row>
    <row r="620" spans="29:29">
      <c r="AC620" s="3714"/>
    </row>
    <row r="621" spans="29:29">
      <c r="AC621" s="3714"/>
    </row>
    <row r="622" spans="29:29">
      <c r="AC622" s="3714"/>
    </row>
    <row r="623" spans="29:29">
      <c r="AC623" s="3714"/>
    </row>
    <row r="624" spans="29:29">
      <c r="AC624" s="3714"/>
    </row>
    <row r="625" spans="29:29">
      <c r="AC625" s="3714"/>
    </row>
    <row r="626" spans="29:29">
      <c r="AC626" s="3714"/>
    </row>
    <row r="627" spans="29:29">
      <c r="AC627" s="3714"/>
    </row>
    <row r="628" spans="29:29">
      <c r="AC628" s="3714"/>
    </row>
    <row r="629" spans="29:29">
      <c r="AC629" s="3714"/>
    </row>
    <row r="630" spans="29:29">
      <c r="AC630" s="3714"/>
    </row>
    <row r="631" spans="29:29">
      <c r="AC631" s="3714"/>
    </row>
    <row r="632" spans="29:29">
      <c r="AC632" s="3714"/>
    </row>
    <row r="633" spans="29:29">
      <c r="AC633" s="3714"/>
    </row>
    <row r="634" spans="29:29">
      <c r="AC634" s="3714"/>
    </row>
    <row r="635" spans="29:29">
      <c r="AC635" s="3714"/>
    </row>
    <row r="636" spans="29:29">
      <c r="AC636" s="3714"/>
    </row>
    <row r="637" spans="29:29">
      <c r="AC637" s="3714"/>
    </row>
    <row r="638" spans="29:29">
      <c r="AC638" s="3714"/>
    </row>
    <row r="639" spans="29:29">
      <c r="AC639" s="3714"/>
    </row>
    <row r="640" spans="29:29">
      <c r="AC640" s="3714"/>
    </row>
    <row r="641" spans="29:29">
      <c r="AC641" s="3714"/>
    </row>
    <row r="642" spans="29:29">
      <c r="AC642" s="3714"/>
    </row>
    <row r="643" spans="29:29">
      <c r="AC643" s="3714"/>
    </row>
    <row r="644" spans="29:29">
      <c r="AC644" s="3714"/>
    </row>
    <row r="645" spans="29:29">
      <c r="AC645" s="3714"/>
    </row>
    <row r="646" spans="29:29">
      <c r="AC646" s="3714"/>
    </row>
    <row r="647" spans="29:29">
      <c r="AC647" s="3714"/>
    </row>
    <row r="648" spans="29:29">
      <c r="AC648" s="3714"/>
    </row>
    <row r="649" spans="29:29">
      <c r="AC649" s="3714"/>
    </row>
    <row r="650" spans="29:29">
      <c r="AC650" s="3714"/>
    </row>
    <row r="651" spans="29:29">
      <c r="AC651" s="3714"/>
    </row>
    <row r="652" spans="29:29">
      <c r="AC652" s="3714"/>
    </row>
    <row r="653" spans="29:29">
      <c r="AC653" s="3714"/>
    </row>
    <row r="654" spans="29:29">
      <c r="AC654" s="3714"/>
    </row>
    <row r="655" spans="29:29">
      <c r="AC655" s="3714"/>
    </row>
    <row r="656" spans="29:29">
      <c r="AC656" s="3714"/>
    </row>
    <row r="657" spans="29:29">
      <c r="AC657" s="3714"/>
    </row>
    <row r="658" spans="29:29">
      <c r="AC658" s="3714"/>
    </row>
    <row r="659" spans="29:29">
      <c r="AC659" s="3714"/>
    </row>
    <row r="660" spans="29:29">
      <c r="AC660" s="3714"/>
    </row>
    <row r="661" spans="29:29">
      <c r="AC661" s="3714"/>
    </row>
    <row r="662" spans="29:29">
      <c r="AC662" s="3714"/>
    </row>
    <row r="663" spans="29:29">
      <c r="AC663" s="3714"/>
    </row>
    <row r="664" spans="29:29">
      <c r="AC664" s="3714"/>
    </row>
    <row r="665" spans="29:29">
      <c r="AC665" s="3714"/>
    </row>
    <row r="666" spans="29:29">
      <c r="AC666" s="3714"/>
    </row>
    <row r="667" spans="29:29">
      <c r="AC667" s="3714"/>
    </row>
    <row r="668" spans="29:29">
      <c r="AC668" s="3714"/>
    </row>
    <row r="669" spans="29:29">
      <c r="AC669" s="3714"/>
    </row>
    <row r="670" spans="29:29">
      <c r="AC670" s="3714"/>
    </row>
    <row r="671" spans="29:29">
      <c r="AC671" s="3714"/>
    </row>
    <row r="672" spans="29:29">
      <c r="AC672" s="3714"/>
    </row>
    <row r="673" spans="29:29">
      <c r="AC673" s="3714"/>
    </row>
    <row r="674" spans="29:29">
      <c r="AC674" s="3714"/>
    </row>
    <row r="675" spans="29:29">
      <c r="AC675" s="3714"/>
    </row>
    <row r="676" spans="29:29">
      <c r="AC676" s="3714"/>
    </row>
    <row r="677" spans="29:29">
      <c r="AC677" s="3714"/>
    </row>
    <row r="678" spans="29:29">
      <c r="AC678" s="3714"/>
    </row>
    <row r="679" spans="29:29">
      <c r="AC679" s="3714"/>
    </row>
    <row r="680" spans="29:29">
      <c r="AC680" s="3714"/>
    </row>
    <row r="681" spans="29:29">
      <c r="AC681" s="3714"/>
    </row>
    <row r="682" spans="29:29">
      <c r="AC682" s="3714"/>
    </row>
    <row r="683" spans="29:29">
      <c r="AC683" s="3714"/>
    </row>
    <row r="684" spans="29:29">
      <c r="AC684" s="3714"/>
    </row>
    <row r="685" spans="29:29">
      <c r="AC685" s="3714"/>
    </row>
    <row r="686" spans="29:29">
      <c r="AC686" s="3714"/>
    </row>
    <row r="687" spans="29:29">
      <c r="AC687" s="3714"/>
    </row>
    <row r="688" spans="29:29">
      <c r="AC688" s="3714"/>
    </row>
    <row r="689" spans="29:29">
      <c r="AC689" s="3714"/>
    </row>
    <row r="690" spans="29:29">
      <c r="AC690" s="3714"/>
    </row>
    <row r="691" spans="29:29">
      <c r="AC691" s="3714"/>
    </row>
    <row r="692" spans="29:29">
      <c r="AC692" s="3714"/>
    </row>
    <row r="693" spans="29:29">
      <c r="AC693" s="3714"/>
    </row>
    <row r="694" spans="29:29">
      <c r="AC694" s="3714"/>
    </row>
    <row r="695" spans="29:29">
      <c r="AC695" s="3714"/>
    </row>
    <row r="696" spans="29:29">
      <c r="AC696" s="3714"/>
    </row>
    <row r="697" spans="29:29">
      <c r="AC697" s="3714"/>
    </row>
    <row r="698" spans="29:29">
      <c r="AC698" s="3714"/>
    </row>
    <row r="699" spans="29:29">
      <c r="AC699" s="3714"/>
    </row>
    <row r="700" spans="29:29">
      <c r="AC700" s="3714"/>
    </row>
    <row r="701" spans="29:29">
      <c r="AC701" s="3714"/>
    </row>
    <row r="702" spans="29:29">
      <c r="AC702" s="3714"/>
    </row>
    <row r="703" spans="29:29">
      <c r="AC703" s="3714"/>
    </row>
    <row r="704" spans="29:29">
      <c r="AC704" s="3714"/>
    </row>
    <row r="705" spans="29:29">
      <c r="AC705" s="3714"/>
    </row>
    <row r="706" spans="29:29">
      <c r="AC706" s="3714"/>
    </row>
    <row r="707" spans="29:29">
      <c r="AC707" s="3714"/>
    </row>
    <row r="708" spans="29:29">
      <c r="AC708" s="3714"/>
    </row>
    <row r="709" spans="29:29">
      <c r="AC709" s="3714"/>
    </row>
    <row r="710" spans="29:29">
      <c r="AC710" s="3714"/>
    </row>
    <row r="711" spans="29:29">
      <c r="AC711" s="3714"/>
    </row>
    <row r="712" spans="29:29">
      <c r="AC712" s="3714"/>
    </row>
    <row r="713" spans="29:29">
      <c r="AC713" s="3714"/>
    </row>
    <row r="714" spans="29:29">
      <c r="AC714" s="3714"/>
    </row>
    <row r="715" spans="29:29">
      <c r="AC715" s="3714"/>
    </row>
    <row r="716" spans="29:29">
      <c r="AC716" s="3714"/>
    </row>
    <row r="717" spans="29:29">
      <c r="AC717" s="3714"/>
    </row>
    <row r="718" spans="29:29">
      <c r="AC718" s="3714"/>
    </row>
    <row r="719" spans="29:29">
      <c r="AC719" s="3714"/>
    </row>
    <row r="720" spans="29:29">
      <c r="AC720" s="3714"/>
    </row>
    <row r="721" spans="29:29">
      <c r="AC721" s="3714"/>
    </row>
    <row r="722" spans="29:29">
      <c r="AC722" s="3714"/>
    </row>
    <row r="723" spans="29:29">
      <c r="AC723" s="3714"/>
    </row>
    <row r="724" spans="29:29">
      <c r="AC724" s="3714"/>
    </row>
    <row r="725" spans="29:29">
      <c r="AC725" s="3714"/>
    </row>
    <row r="726" spans="29:29">
      <c r="AC726" s="3714"/>
    </row>
    <row r="727" spans="29:29">
      <c r="AC727" s="3714"/>
    </row>
    <row r="728" spans="29:29">
      <c r="AC728" s="3714"/>
    </row>
    <row r="729" spans="29:29">
      <c r="AC729" s="3714"/>
    </row>
    <row r="730" spans="29:29">
      <c r="AC730" s="3714"/>
    </row>
    <row r="731" spans="29:29">
      <c r="AC731" s="3714"/>
    </row>
    <row r="732" spans="29:29">
      <c r="AC732" s="3714"/>
    </row>
    <row r="733" spans="29:29">
      <c r="AC733" s="3714"/>
    </row>
    <row r="734" spans="29:29">
      <c r="AC734" s="3714"/>
    </row>
    <row r="735" spans="29:29">
      <c r="AC735" s="3714"/>
    </row>
    <row r="736" spans="29:29">
      <c r="AC736" s="3714"/>
    </row>
    <row r="737" spans="29:29">
      <c r="AC737" s="3714"/>
    </row>
    <row r="738" spans="29:29">
      <c r="AC738" s="3714"/>
    </row>
    <row r="739" spans="29:29">
      <c r="AC739" s="3714"/>
    </row>
    <row r="740" spans="29:29">
      <c r="AC740" s="3714"/>
    </row>
    <row r="741" spans="29:29">
      <c r="AC741" s="3714"/>
    </row>
    <row r="742" spans="29:29">
      <c r="AC742" s="3714"/>
    </row>
    <row r="743" spans="29:29">
      <c r="AC743" s="3714"/>
    </row>
    <row r="744" spans="29:29">
      <c r="AC744" s="3714"/>
    </row>
    <row r="745" spans="29:29">
      <c r="AC745" s="3714"/>
    </row>
    <row r="746" spans="29:29">
      <c r="AC746" s="3714"/>
    </row>
    <row r="747" spans="29:29">
      <c r="AC747" s="3714"/>
    </row>
    <row r="748" spans="29:29">
      <c r="AC748" s="3714"/>
    </row>
    <row r="749" spans="29:29">
      <c r="AC749" s="3714"/>
    </row>
    <row r="750" spans="29:29">
      <c r="AC750" s="3714"/>
    </row>
    <row r="751" spans="29:29">
      <c r="AC751" s="3714"/>
    </row>
    <row r="752" spans="29:29">
      <c r="AC752" s="3714"/>
    </row>
    <row r="753" spans="29:29">
      <c r="AC753" s="3714"/>
    </row>
    <row r="754" spans="29:29">
      <c r="AC754" s="3714"/>
    </row>
    <row r="755" spans="29:29">
      <c r="AC755" s="3714"/>
    </row>
    <row r="756" spans="29:29">
      <c r="AC756" s="3714"/>
    </row>
    <row r="757" spans="29:29">
      <c r="AC757" s="3714"/>
    </row>
    <row r="758" spans="29:29">
      <c r="AC758" s="3714"/>
    </row>
    <row r="759" spans="29:29">
      <c r="AC759" s="3714"/>
    </row>
    <row r="760" spans="29:29">
      <c r="AC760" s="3714"/>
    </row>
    <row r="761" spans="29:29">
      <c r="AC761" s="3714"/>
    </row>
    <row r="762" spans="29:29">
      <c r="AC762" s="3714"/>
    </row>
    <row r="763" spans="29:29">
      <c r="AC763" s="3714"/>
    </row>
    <row r="764" spans="29:29">
      <c r="AC764" s="3714"/>
    </row>
    <row r="765" spans="29:29">
      <c r="AC765" s="3714"/>
    </row>
    <row r="766" spans="29:29">
      <c r="AC766" s="3714"/>
    </row>
    <row r="767" spans="29:29">
      <c r="AC767" s="3714"/>
    </row>
    <row r="768" spans="29:29">
      <c r="AC768" s="3714"/>
    </row>
    <row r="769" spans="29:29">
      <c r="AC769" s="3714"/>
    </row>
    <row r="770" spans="29:29">
      <c r="AC770" s="3714"/>
    </row>
    <row r="771" spans="29:29">
      <c r="AC771" s="3714"/>
    </row>
    <row r="772" spans="29:29">
      <c r="AC772" s="3714"/>
    </row>
    <row r="773" spans="29:29">
      <c r="AC773" s="3714"/>
    </row>
    <row r="774" spans="29:29">
      <c r="AC774" s="3714"/>
    </row>
    <row r="775" spans="29:29">
      <c r="AC775" s="3714"/>
    </row>
    <row r="776" spans="29:29">
      <c r="AC776" s="3714"/>
    </row>
    <row r="777" spans="29:29">
      <c r="AC777" s="3714"/>
    </row>
    <row r="778" spans="29:29">
      <c r="AC778" s="3714"/>
    </row>
    <row r="779" spans="29:29">
      <c r="AC779" s="3714"/>
    </row>
    <row r="780" spans="29:29">
      <c r="AC780" s="3714"/>
    </row>
    <row r="781" spans="29:29">
      <c r="AC781" s="3714"/>
    </row>
    <row r="782" spans="29:29">
      <c r="AC782" s="3714"/>
    </row>
    <row r="783" spans="29:29">
      <c r="AC783" s="3714"/>
    </row>
    <row r="784" spans="29:29">
      <c r="AC784" s="3714"/>
    </row>
    <row r="785" spans="29:29">
      <c r="AC785" s="3714"/>
    </row>
    <row r="786" spans="29:29">
      <c r="AC786" s="3714"/>
    </row>
    <row r="787" spans="29:29">
      <c r="AC787" s="3714"/>
    </row>
    <row r="788" spans="29:29">
      <c r="AC788" s="3714"/>
    </row>
    <row r="789" spans="29:29">
      <c r="AC789" s="3714"/>
    </row>
    <row r="790" spans="29:29">
      <c r="AC790" s="3714"/>
    </row>
    <row r="791" spans="29:29">
      <c r="AC791" s="3714"/>
    </row>
    <row r="792" spans="29:29">
      <c r="AC792" s="3714"/>
    </row>
    <row r="793" spans="29:29">
      <c r="AC793" s="3714"/>
    </row>
    <row r="794" spans="29:29">
      <c r="AC794" s="371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topLeftCell="G1" workbookViewId="0">
      <selection activeCell="F36" sqref="F36"/>
    </sheetView>
  </sheetViews>
  <sheetFormatPr defaultColWidth="9" defaultRowHeight="13.5"/>
  <cols>
    <col min="1" max="16384" width="9" style="3361"/>
  </cols>
  <sheetData>
    <row r="2" spans="1:1">
      <c r="A2" s="3361" t="s">
        <v>3201</v>
      </c>
    </row>
    <row r="3" spans="1:1">
      <c r="A3" s="3361">
        <v>31000</v>
      </c>
    </row>
    <row r="37" spans="1:1">
      <c r="A37" s="3361" t="s">
        <v>3202</v>
      </c>
    </row>
    <row r="39" spans="1:1">
      <c r="A39" s="3361">
        <v>30958</v>
      </c>
    </row>
    <row r="73" spans="1:1">
      <c r="A73" s="3361" t="s">
        <v>3203</v>
      </c>
    </row>
    <row r="75" spans="1:1">
      <c r="A75" s="3361">
        <v>30000</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I22" sqref="I22"/>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904128</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29537</v>
      </c>
      <c r="C3" s="3415" t="s">
        <v>3177</v>
      </c>
      <c r="D3" s="3416">
        <f>SUMIF('数据-汇总表'!$C19:$C33,D1,'数据-汇总表'!$E19:$E33)</f>
        <v>306100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098" t="s">
        <v>519</v>
      </c>
      <c r="Q4" s="4099"/>
      <c r="R4" s="4104" t="s">
        <v>515</v>
      </c>
      <c r="S4" s="4105"/>
      <c r="T4" s="4104" t="s">
        <v>516</v>
      </c>
      <c r="U4" s="4105"/>
      <c r="V4" s="4119" t="s">
        <v>517</v>
      </c>
      <c r="W4" s="4119"/>
      <c r="X4" s="3423"/>
      <c r="Y4" s="4104" t="s">
        <v>519</v>
      </c>
      <c r="Z4" s="4105"/>
      <c r="AA4" s="4091" t="s">
        <v>515</v>
      </c>
      <c r="AB4" s="4091" t="s">
        <v>516</v>
      </c>
      <c r="AC4" s="4091" t="s">
        <v>517</v>
      </c>
    </row>
    <row r="5" spans="1:29" ht="15">
      <c r="A5" s="3425"/>
      <c r="B5" s="3426"/>
      <c r="C5" s="4108" t="s">
        <v>2892</v>
      </c>
      <c r="D5" s="4109"/>
      <c r="E5" s="4110" t="str">
        <f>办公案例截图及地图!$A$1</f>
        <v>金融街园中园</v>
      </c>
      <c r="F5" s="4111"/>
      <c r="G5" s="4112" t="s">
        <v>3205</v>
      </c>
      <c r="H5" s="4109"/>
      <c r="I5" s="4108" t="str">
        <f>办公案例截图及地图!$A$86</f>
        <v>万方大厦</v>
      </c>
      <c r="J5" s="4109"/>
      <c r="K5" s="3420"/>
      <c r="L5" s="3421"/>
      <c r="M5" s="3422"/>
      <c r="N5" s="3422"/>
      <c r="O5" s="3422"/>
      <c r="P5" s="4100"/>
      <c r="Q5" s="4101"/>
      <c r="R5" s="4106"/>
      <c r="S5" s="4107"/>
      <c r="T5" s="4106"/>
      <c r="U5" s="4107"/>
      <c r="V5" s="4119"/>
      <c r="W5" s="4119"/>
      <c r="X5" s="3423"/>
      <c r="Y5" s="4106"/>
      <c r="Z5" s="4107"/>
      <c r="AA5" s="4092"/>
      <c r="AB5" s="4092"/>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02"/>
      <c r="Q6" s="4103"/>
      <c r="R6" s="4106"/>
      <c r="S6" s="4107"/>
      <c r="T6" s="4117"/>
      <c r="U6" s="4118"/>
      <c r="V6" s="4119"/>
      <c r="W6" s="4119"/>
      <c r="X6" s="3423"/>
      <c r="Y6" s="4117"/>
      <c r="Z6" s="4118"/>
      <c r="AA6" s="4093"/>
      <c r="AB6" s="4093"/>
      <c r="AC6" s="4093"/>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20"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3206</v>
      </c>
      <c r="F8" s="3434">
        <f>SUMIF(62:62,E8,63:63)-SUMIF(62:62,C8,63:63)+100</f>
        <v>115</v>
      </c>
      <c r="G8" s="3445" t="s">
        <v>3206</v>
      </c>
      <c r="H8" s="3432">
        <f>SUMIF(62:62,G8,63:63)-SUMIF(62:62,C8,63:63)+100</f>
        <v>115</v>
      </c>
      <c r="I8" s="3445" t="s">
        <v>3206</v>
      </c>
      <c r="J8" s="3432">
        <f>SUMIF(62:62,I8,63:63)-SUMIF(62:62,C8,63:63)+100</f>
        <v>115</v>
      </c>
      <c r="K8" s="3435"/>
      <c r="L8" s="3436"/>
      <c r="M8" s="3437"/>
      <c r="N8" s="3437"/>
      <c r="O8" s="3437"/>
      <c r="P8" s="4120" t="s">
        <v>525</v>
      </c>
      <c r="Q8" s="4121"/>
      <c r="R8" s="3438" t="s">
        <v>8</v>
      </c>
      <c r="S8" s="3439">
        <f t="shared" si="0"/>
        <v>115</v>
      </c>
      <c r="T8" s="3438" t="s">
        <v>8</v>
      </c>
      <c r="U8" s="3439">
        <f t="shared" si="1"/>
        <v>115</v>
      </c>
      <c r="V8" s="3438" t="s">
        <v>8</v>
      </c>
      <c r="W8" s="3439">
        <f t="shared" si="2"/>
        <v>115</v>
      </c>
      <c r="X8" s="3440"/>
      <c r="Y8" s="4122" t="s">
        <v>525</v>
      </c>
      <c r="Z8" s="4121"/>
      <c r="AA8" s="3441">
        <f t="shared" ref="AA8:AA47" si="3">D8/F8</f>
        <v>0.86956521739130432</v>
      </c>
      <c r="AB8" s="3441">
        <f t="shared" ref="AB8:AB47" si="4">D8/H8</f>
        <v>0.86956521739130432</v>
      </c>
      <c r="AC8" s="3441">
        <f t="shared" ref="AC8:AC47" si="5">D8/J8</f>
        <v>0.86956521739130432</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v>
      </c>
      <c r="G10" s="3457" t="s">
        <v>3130</v>
      </c>
      <c r="H10" s="3456">
        <f>SUMIF(66:66,G10,67:67)-SUMIF(66:66,C10,67:67)+100</f>
        <v>100</v>
      </c>
      <c r="I10" s="3455" t="s">
        <v>3124</v>
      </c>
      <c r="J10" s="3456">
        <f>SUMIF(66:66,I10,67:67)-SUMIF(66:66,C10,67:67)+100</f>
        <v>99</v>
      </c>
      <c r="K10" s="3458">
        <v>1</v>
      </c>
      <c r="L10" s="3459"/>
      <c r="M10" s="3460"/>
      <c r="N10" s="3460"/>
      <c r="O10" s="3460"/>
      <c r="P10" s="4123"/>
      <c r="Q10" s="3453" t="str">
        <f t="shared" si="6"/>
        <v>土地使用年限（年）</v>
      </c>
      <c r="R10" s="3438" t="s">
        <v>8</v>
      </c>
      <c r="S10" s="3439">
        <f t="shared" si="0"/>
        <v>99</v>
      </c>
      <c r="T10" s="3438" t="s">
        <v>8</v>
      </c>
      <c r="U10" s="3439">
        <f t="shared" si="1"/>
        <v>100</v>
      </c>
      <c r="V10" s="3438" t="s">
        <v>8</v>
      </c>
      <c r="W10" s="3439">
        <f t="shared" si="2"/>
        <v>99</v>
      </c>
      <c r="X10" s="3440"/>
      <c r="Y10" s="4124"/>
      <c r="Z10" s="3441" t="str">
        <f t="shared" si="7"/>
        <v>土地使用年限（年）</v>
      </c>
      <c r="AA10" s="3441">
        <f t="shared" si="3"/>
        <v>1.0101010101010102</v>
      </c>
      <c r="AB10" s="3441">
        <f t="shared" si="4"/>
        <v>1</v>
      </c>
      <c r="AC10" s="3441">
        <f t="shared" si="5"/>
        <v>1.0101010101010102</v>
      </c>
    </row>
    <row r="11" spans="1:29" ht="15">
      <c r="A11" s="3463"/>
      <c r="B11" s="3444" t="s">
        <v>2736</v>
      </c>
      <c r="C11" s="3464">
        <v>1.8</v>
      </c>
      <c r="D11" s="3456">
        <v>100</v>
      </c>
      <c r="E11" s="3464">
        <v>1.8</v>
      </c>
      <c r="F11" s="3456">
        <f>LOOKUP(E11,69:69,70:70)-LOOKUP(C11,69:69,70:70)+100</f>
        <v>100</v>
      </c>
      <c r="G11" s="3465">
        <v>1.8</v>
      </c>
      <c r="H11" s="3456">
        <f>LOOKUP(G11,69:69,70:70)-LOOKUP(C11,69:69,70:70)+100</f>
        <v>100</v>
      </c>
      <c r="I11" s="3464">
        <v>1.8</v>
      </c>
      <c r="J11" s="3456">
        <f>LOOKUP(I11,69:69,70:70)-LOOKUP(C11,69:69,70:70)+100</f>
        <v>100</v>
      </c>
      <c r="K11" s="3458"/>
      <c r="L11" s="3466"/>
      <c r="M11" s="3422"/>
      <c r="N11" s="3422"/>
      <c r="O11" s="3422"/>
      <c r="P11" s="4123"/>
      <c r="Q11" s="3453" t="str">
        <f t="shared" si="6"/>
        <v>容积率</v>
      </c>
      <c r="R11" s="3438" t="s">
        <v>8</v>
      </c>
      <c r="S11" s="3439">
        <f t="shared" si="0"/>
        <v>100</v>
      </c>
      <c r="T11" s="3438" t="s">
        <v>8</v>
      </c>
      <c r="U11" s="3439">
        <f t="shared" si="1"/>
        <v>100</v>
      </c>
      <c r="V11" s="3438" t="s">
        <v>8</v>
      </c>
      <c r="W11" s="3439">
        <f t="shared" si="2"/>
        <v>100</v>
      </c>
      <c r="X11" s="3440"/>
      <c r="Y11" s="4124"/>
      <c r="Z11" s="3441" t="str">
        <f t="shared" si="7"/>
        <v>容积率</v>
      </c>
      <c r="AA11" s="3441">
        <f t="shared" si="3"/>
        <v>1</v>
      </c>
      <c r="AB11" s="3441">
        <f t="shared" si="4"/>
        <v>1</v>
      </c>
      <c r="AC11" s="3441">
        <f t="shared" si="5"/>
        <v>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99</v>
      </c>
      <c r="G15" s="3485"/>
      <c r="H15" s="3484">
        <f>SUMIF(77:77,G16,78:78)-SUMIF(77:77,C16,78:78)+100</f>
        <v>99</v>
      </c>
      <c r="I15" s="3485"/>
      <c r="J15" s="3484">
        <f>SUMIF(77:77,I16,78:78)-SUMIF(77:77,C16,78:78)+100</f>
        <v>99</v>
      </c>
      <c r="K15" s="3488">
        <v>1</v>
      </c>
      <c r="L15" s="3476"/>
      <c r="M15" s="3422"/>
      <c r="N15" s="3422"/>
      <c r="O15" s="3422"/>
      <c r="P15" s="4125" t="s">
        <v>532</v>
      </c>
      <c r="Q15" s="3489" t="str">
        <f t="shared" si="6"/>
        <v>办公集聚程度</v>
      </c>
      <c r="R15" s="3490" t="s">
        <v>8</v>
      </c>
      <c r="S15" s="3491">
        <f t="shared" si="0"/>
        <v>99</v>
      </c>
      <c r="T15" s="3490" t="s">
        <v>8</v>
      </c>
      <c r="U15" s="3491">
        <f t="shared" si="1"/>
        <v>99</v>
      </c>
      <c r="V15" s="3490" t="s">
        <v>8</v>
      </c>
      <c r="W15" s="3491">
        <f t="shared" si="2"/>
        <v>99</v>
      </c>
      <c r="X15" s="3423"/>
      <c r="Y15" s="4125" t="s">
        <v>532</v>
      </c>
      <c r="Z15" s="3492" t="str">
        <f t="shared" si="7"/>
        <v>办公集聚程度</v>
      </c>
      <c r="AA15" s="3492">
        <f t="shared" si="3"/>
        <v>1.0101010101010102</v>
      </c>
      <c r="AB15" s="3492">
        <f t="shared" si="4"/>
        <v>1.0101010101010102</v>
      </c>
      <c r="AC15" s="3492">
        <f t="shared" si="5"/>
        <v>1.0101010101010102</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26"/>
      <c r="Q16" s="3489"/>
      <c r="R16" s="3490"/>
      <c r="S16" s="3491"/>
      <c r="T16" s="3490"/>
      <c r="U16" s="3491"/>
      <c r="V16" s="3490"/>
      <c r="W16" s="3491"/>
      <c r="X16" s="3423"/>
      <c r="Y16" s="4126"/>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100</v>
      </c>
      <c r="G17" s="3502"/>
      <c r="H17" s="3505">
        <f>SUMIF(79:79,G18,80:80)-SUMIF(79:79,C18,80:80)+100</f>
        <v>105</v>
      </c>
      <c r="I17" s="3502"/>
      <c r="J17" s="3505">
        <f>SUMIF(79:79,I18,80:80)-SUMIF(79:79,C18,80:80)+100</f>
        <v>110</v>
      </c>
      <c r="K17" s="3488">
        <v>5</v>
      </c>
      <c r="L17" s="3476"/>
      <c r="M17" s="3422"/>
      <c r="N17" s="3422"/>
      <c r="O17" s="3422"/>
      <c r="P17" s="4126"/>
      <c r="Q17" s="3489" t="str">
        <f>B17</f>
        <v>交通便捷度</v>
      </c>
      <c r="R17" s="3490" t="s">
        <v>8</v>
      </c>
      <c r="S17" s="3491">
        <f>F17</f>
        <v>100</v>
      </c>
      <c r="T17" s="3490" t="s">
        <v>8</v>
      </c>
      <c r="U17" s="3491">
        <f>H17</f>
        <v>105</v>
      </c>
      <c r="V17" s="3490" t="s">
        <v>8</v>
      </c>
      <c r="W17" s="3491">
        <f>J17</f>
        <v>110</v>
      </c>
      <c r="X17" s="3423"/>
      <c r="Y17" s="4126"/>
      <c r="Z17" s="3492" t="str">
        <f>Q17</f>
        <v>交通便捷度</v>
      </c>
      <c r="AA17" s="3492">
        <f t="shared" si="3"/>
        <v>1</v>
      </c>
      <c r="AB17" s="3492">
        <f t="shared" si="4"/>
        <v>0.95238095238095233</v>
      </c>
      <c r="AC17" s="3492">
        <f t="shared" si="5"/>
        <v>0.90909090909090906</v>
      </c>
    </row>
    <row r="18" spans="1:29" ht="15">
      <c r="A18" s="3493"/>
      <c r="B18" s="3526"/>
      <c r="C18" s="3729" t="s">
        <v>3070</v>
      </c>
      <c r="D18" s="3498"/>
      <c r="E18" s="3509" t="s">
        <v>3070</v>
      </c>
      <c r="F18" s="3498"/>
      <c r="G18" s="3508" t="s">
        <v>3071</v>
      </c>
      <c r="H18" s="3496"/>
      <c r="I18" s="3508" t="s">
        <v>3077</v>
      </c>
      <c r="J18" s="3496"/>
      <c r="K18" s="3499"/>
      <c r="L18" s="3476"/>
      <c r="M18" s="3422"/>
      <c r="N18" s="3422"/>
      <c r="O18" s="3422"/>
      <c r="P18" s="4126"/>
      <c r="Q18" s="3489"/>
      <c r="R18" s="3490"/>
      <c r="S18" s="3491"/>
      <c r="T18" s="3490"/>
      <c r="U18" s="3491"/>
      <c r="V18" s="3490"/>
      <c r="W18" s="3491"/>
      <c r="X18" s="3423"/>
      <c r="Y18" s="4126"/>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99</v>
      </c>
      <c r="G19" s="3511"/>
      <c r="H19" s="3498">
        <f>SUMIF(81:81,G20,82:82)-SUMIF(81:81,C20,82:82)+100</f>
        <v>100</v>
      </c>
      <c r="I19" s="3511"/>
      <c r="J19" s="3498">
        <f>SUMIF(81:81,I20,82:82)-SUMIF(81:81,C20,82:82)+100</f>
        <v>100</v>
      </c>
      <c r="K19" s="3488">
        <v>1</v>
      </c>
      <c r="L19" s="3476"/>
      <c r="M19" s="3422"/>
      <c r="N19" s="3422"/>
      <c r="O19" s="3422"/>
      <c r="P19" s="4126"/>
      <c r="Q19" s="3489" t="str">
        <f>B19</f>
        <v>公共配套设施</v>
      </c>
      <c r="R19" s="3490" t="s">
        <v>8</v>
      </c>
      <c r="S19" s="3491">
        <f>F19</f>
        <v>99</v>
      </c>
      <c r="T19" s="3490" t="s">
        <v>8</v>
      </c>
      <c r="U19" s="3491">
        <f>H19</f>
        <v>100</v>
      </c>
      <c r="V19" s="3490" t="s">
        <v>8</v>
      </c>
      <c r="W19" s="3491">
        <f>J19</f>
        <v>100</v>
      </c>
      <c r="X19" s="3423"/>
      <c r="Y19" s="4126"/>
      <c r="Z19" s="3492" t="str">
        <f>Q19</f>
        <v>公共配套设施</v>
      </c>
      <c r="AA19" s="3492">
        <f t="shared" si="3"/>
        <v>1.0101010101010102</v>
      </c>
      <c r="AB19" s="3492">
        <f t="shared" si="4"/>
        <v>1</v>
      </c>
      <c r="AC19" s="3492">
        <f t="shared" si="5"/>
        <v>1</v>
      </c>
    </row>
    <row r="20" spans="1:29" ht="15">
      <c r="A20" s="3493"/>
      <c r="B20" s="3526"/>
      <c r="C20" s="3726" t="s">
        <v>3071</v>
      </c>
      <c r="D20" s="3496"/>
      <c r="E20" s="3515" t="s">
        <v>3070</v>
      </c>
      <c r="F20" s="3496"/>
      <c r="G20" s="3514" t="s">
        <v>3071</v>
      </c>
      <c r="H20" s="3496"/>
      <c r="I20" s="3514" t="s">
        <v>3071</v>
      </c>
      <c r="J20" s="3496"/>
      <c r="K20" s="3499"/>
      <c r="L20" s="3476"/>
      <c r="M20" s="3422"/>
      <c r="N20" s="3422"/>
      <c r="O20" s="3422"/>
      <c r="P20" s="4126"/>
      <c r="Q20" s="3489"/>
      <c r="R20" s="3490"/>
      <c r="S20" s="3491"/>
      <c r="T20" s="3490"/>
      <c r="U20" s="3491"/>
      <c r="V20" s="3490"/>
      <c r="W20" s="3491"/>
      <c r="X20" s="3423"/>
      <c r="Y20" s="4126"/>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26"/>
      <c r="Q22" s="3489"/>
      <c r="R22" s="3490"/>
      <c r="S22" s="3491"/>
      <c r="T22" s="3490"/>
      <c r="U22" s="3491"/>
      <c r="V22" s="3490"/>
      <c r="W22" s="3491"/>
      <c r="X22" s="3423"/>
      <c r="Y22" s="4126"/>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99</v>
      </c>
      <c r="G23" s="3502"/>
      <c r="H23" s="3498">
        <f>SUMIF(85:85,G24,86:86)-SUMIF(85:85,C24,86:86)+100</f>
        <v>99</v>
      </c>
      <c r="I23" s="3502"/>
      <c r="J23" s="3498">
        <f>SUMIF(85:85,I24,86:86)-SUMIF(85:85,C24,86:86)+100</f>
        <v>99</v>
      </c>
      <c r="K23" s="3488">
        <v>1</v>
      </c>
      <c r="L23" s="3476"/>
      <c r="M23" s="3422"/>
      <c r="N23" s="3422"/>
      <c r="O23" s="3422"/>
      <c r="P23" s="4126"/>
      <c r="Q23" s="3489" t="str">
        <f>B23</f>
        <v>环境质量</v>
      </c>
      <c r="R23" s="3490" t="s">
        <v>8</v>
      </c>
      <c r="S23" s="3491">
        <f>F23</f>
        <v>99</v>
      </c>
      <c r="T23" s="3490" t="s">
        <v>8</v>
      </c>
      <c r="U23" s="3491">
        <f>H23</f>
        <v>99</v>
      </c>
      <c r="V23" s="3490" t="s">
        <v>8</v>
      </c>
      <c r="W23" s="3491">
        <f>J23</f>
        <v>99</v>
      </c>
      <c r="X23" s="3423"/>
      <c r="Y23" s="4126"/>
      <c r="Z23" s="3492" t="str">
        <f>Q23</f>
        <v>环境质量</v>
      </c>
      <c r="AA23" s="3492">
        <f t="shared" si="3"/>
        <v>1.0101010101010102</v>
      </c>
      <c r="AB23" s="3492">
        <f t="shared" si="4"/>
        <v>1.0101010101010102</v>
      </c>
      <c r="AC23" s="3492">
        <f t="shared" si="5"/>
        <v>1.0101010101010102</v>
      </c>
    </row>
    <row r="24" spans="1:29" ht="15">
      <c r="A24" s="3493"/>
      <c r="B24" s="3732"/>
      <c r="C24" s="3726" t="s">
        <v>3077</v>
      </c>
      <c r="D24" s="3496"/>
      <c r="E24" s="3515" t="s">
        <v>3071</v>
      </c>
      <c r="F24" s="3496"/>
      <c r="G24" s="3514" t="s">
        <v>3071</v>
      </c>
      <c r="H24" s="3496"/>
      <c r="I24" s="3514" t="s">
        <v>3071</v>
      </c>
      <c r="J24" s="3496"/>
      <c r="K24" s="3499"/>
      <c r="L24" s="3476"/>
      <c r="M24" s="3422"/>
      <c r="N24" s="3422"/>
      <c r="O24" s="3422"/>
      <c r="P24" s="4126"/>
      <c r="Q24" s="3489"/>
      <c r="R24" s="3490"/>
      <c r="S24" s="3491"/>
      <c r="T24" s="3490"/>
      <c r="U24" s="3491"/>
      <c r="V24" s="3490"/>
      <c r="W24" s="3491"/>
      <c r="X24" s="3423"/>
      <c r="Y24" s="4126"/>
      <c r="Z24" s="3492"/>
      <c r="AA24" s="3492">
        <v>1</v>
      </c>
      <c r="AB24" s="3492">
        <v>1</v>
      </c>
      <c r="AC24" s="3492">
        <v>1</v>
      </c>
    </row>
    <row r="25" spans="1:29" ht="27.75">
      <c r="A25" s="3425"/>
      <c r="B25" s="3727" t="s">
        <v>777</v>
      </c>
      <c r="C25" s="3473" t="s">
        <v>3207</v>
      </c>
      <c r="D25" s="3475">
        <v>100</v>
      </c>
      <c r="E25" s="3472" t="s">
        <v>3208</v>
      </c>
      <c r="F25" s="3475">
        <f>SUMIF(87:87,E26,88:88)-SUMIF(87:87,C26,88:88)+100</f>
        <v>100</v>
      </c>
      <c r="G25" s="3472" t="s">
        <v>3209</v>
      </c>
      <c r="H25" s="3475">
        <f>SUMIF(87:87,G26,88:88)-SUMIF(87:87,C26,88:88)+100</f>
        <v>102</v>
      </c>
      <c r="I25" s="3472" t="s">
        <v>3210</v>
      </c>
      <c r="J25" s="3475">
        <f>SUMIF(87:87,I26,88:88)-SUMIF(87:87,C26,88:88)+100</f>
        <v>102</v>
      </c>
      <c r="K25" s="3488">
        <v>2</v>
      </c>
      <c r="L25" s="3476"/>
      <c r="M25" s="3422"/>
      <c r="N25" s="3422"/>
      <c r="O25" s="3422"/>
      <c r="P25" s="4126"/>
      <c r="Q25" s="3489" t="str">
        <f>B25</f>
        <v>毗邻道路的类型与等级</v>
      </c>
      <c r="R25" s="3490" t="s">
        <v>8</v>
      </c>
      <c r="S25" s="3491">
        <f>F25</f>
        <v>100</v>
      </c>
      <c r="T25" s="3490" t="s">
        <v>8</v>
      </c>
      <c r="U25" s="3491">
        <f>H25</f>
        <v>102</v>
      </c>
      <c r="V25" s="3490" t="s">
        <v>8</v>
      </c>
      <c r="W25" s="3491">
        <f>J25</f>
        <v>102</v>
      </c>
      <c r="X25" s="3423"/>
      <c r="Y25" s="4126"/>
      <c r="Z25" s="3492" t="str">
        <f>Q25</f>
        <v>毗邻道路的类型与等级</v>
      </c>
      <c r="AA25" s="3492">
        <f t="shared" si="3"/>
        <v>1</v>
      </c>
      <c r="AB25" s="3492">
        <f t="shared" si="4"/>
        <v>0.98039215686274506</v>
      </c>
      <c r="AC25" s="3492">
        <f t="shared" si="5"/>
        <v>0.98039215686274506</v>
      </c>
    </row>
    <row r="26" spans="1:29" ht="15">
      <c r="A26" s="3425"/>
      <c r="B26" s="3526"/>
      <c r="C26" s="3733" t="s">
        <v>3083</v>
      </c>
      <c r="D26" s="3475"/>
      <c r="E26" s="3521" t="s">
        <v>3083</v>
      </c>
      <c r="F26" s="3475"/>
      <c r="G26" s="3733" t="s">
        <v>3081</v>
      </c>
      <c r="H26" s="3475"/>
      <c r="I26" s="3521" t="s">
        <v>3081</v>
      </c>
      <c r="J26" s="3475"/>
      <c r="K26" s="3499"/>
      <c r="L26" s="3476"/>
      <c r="M26" s="3422"/>
      <c r="N26" s="3422"/>
      <c r="O26" s="3422"/>
      <c r="P26" s="4126"/>
      <c r="Q26" s="3489"/>
      <c r="R26" s="3490"/>
      <c r="S26" s="3491"/>
      <c r="T26" s="3490"/>
      <c r="U26" s="3491"/>
      <c r="V26" s="3490"/>
      <c r="W26" s="3491"/>
      <c r="X26" s="3423"/>
      <c r="Y26" s="4126"/>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26"/>
      <c r="Q27" s="3489" t="str">
        <f t="shared" ref="Q27:Q47" si="11">B27</f>
        <v>楼层</v>
      </c>
      <c r="R27" s="3490" t="s">
        <v>8</v>
      </c>
      <c r="S27" s="3491">
        <f>F27</f>
        <v>100</v>
      </c>
      <c r="T27" s="3490" t="s">
        <v>8</v>
      </c>
      <c r="U27" s="3491">
        <f>H27</f>
        <v>100</v>
      </c>
      <c r="V27" s="3490" t="s">
        <v>8</v>
      </c>
      <c r="W27" s="3491">
        <f>J27</f>
        <v>102</v>
      </c>
      <c r="X27" s="3423"/>
      <c r="Y27" s="4126"/>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26"/>
      <c r="Q28" s="3453" t="str">
        <f t="shared" si="11"/>
        <v>朝向</v>
      </c>
      <c r="R28" s="3438" t="s">
        <v>8</v>
      </c>
      <c r="S28" s="3439">
        <f>F28</f>
        <v>100</v>
      </c>
      <c r="T28" s="3438" t="s">
        <v>8</v>
      </c>
      <c r="U28" s="3439">
        <f>H28</f>
        <v>100</v>
      </c>
      <c r="V28" s="3438" t="s">
        <v>8</v>
      </c>
      <c r="W28" s="3439">
        <f>J28</f>
        <v>100</v>
      </c>
      <c r="X28" s="3440"/>
      <c r="Y28" s="4126"/>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26"/>
      <c r="Q29" s="3489">
        <f t="shared" si="11"/>
        <v>111</v>
      </c>
      <c r="R29" s="3490" t="s">
        <v>8</v>
      </c>
      <c r="S29" s="3491">
        <f t="shared" ref="S29:S47" si="12">F29</f>
        <v>100</v>
      </c>
      <c r="T29" s="3490" t="s">
        <v>8</v>
      </c>
      <c r="U29" s="3491">
        <f t="shared" ref="U29:U47" si="13">H29</f>
        <v>100</v>
      </c>
      <c r="V29" s="3490" t="s">
        <v>8</v>
      </c>
      <c r="W29" s="3491">
        <f t="shared" ref="W29:W47" si="14">J29</f>
        <v>100</v>
      </c>
      <c r="X29" s="3423"/>
      <c r="Y29" s="4126"/>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26"/>
      <c r="Q32" s="3489">
        <f t="shared" si="11"/>
        <v>111</v>
      </c>
      <c r="R32" s="3490" t="s">
        <v>8</v>
      </c>
      <c r="S32" s="3491">
        <f t="shared" si="12"/>
        <v>100</v>
      </c>
      <c r="T32" s="3490" t="s">
        <v>8</v>
      </c>
      <c r="U32" s="3491">
        <f t="shared" si="13"/>
        <v>100</v>
      </c>
      <c r="V32" s="3490" t="s">
        <v>8</v>
      </c>
      <c r="W32" s="3491">
        <f t="shared" si="14"/>
        <v>100</v>
      </c>
      <c r="X32" s="3423"/>
      <c r="Y32" s="4126"/>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7" t="s">
        <v>542</v>
      </c>
      <c r="Q33" s="3489" t="str">
        <f t="shared" si="11"/>
        <v>建筑类型</v>
      </c>
      <c r="R33" s="3490" t="s">
        <v>8</v>
      </c>
      <c r="S33" s="3491">
        <f t="shared" si="12"/>
        <v>100</v>
      </c>
      <c r="T33" s="3490" t="s">
        <v>8</v>
      </c>
      <c r="U33" s="3491">
        <f t="shared" si="13"/>
        <v>100</v>
      </c>
      <c r="V33" s="3490" t="s">
        <v>8</v>
      </c>
      <c r="W33" s="3491">
        <f t="shared" si="14"/>
        <v>100</v>
      </c>
      <c r="X33" s="3423"/>
      <c r="Y33" s="4128"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306100</v>
      </c>
      <c r="D34" s="3456">
        <v>100</v>
      </c>
      <c r="E34" s="3465">
        <v>5253</v>
      </c>
      <c r="F34" s="3520">
        <f>LOOKUP(E34,104:104,105:105)-LOOKUP(C34,104:104,105:105)+100</f>
        <v>102</v>
      </c>
      <c r="G34" s="3464">
        <v>10660</v>
      </c>
      <c r="H34" s="3456">
        <f>LOOKUP(G34,104:104,105:105)-LOOKUP(C34,104:104,105:105)+100</f>
        <v>101</v>
      </c>
      <c r="I34" s="3464">
        <v>1900</v>
      </c>
      <c r="J34" s="3456">
        <f>LOOKUP(I34,104:104,105:105)-LOOKUP(C34,104:104,105:105)+100</f>
        <v>103</v>
      </c>
      <c r="K34" s="3474"/>
      <c r="L34" s="3466"/>
      <c r="M34" s="3537"/>
      <c r="N34" s="3537"/>
      <c r="O34" s="3537"/>
      <c r="P34" s="4128"/>
      <c r="Q34" s="3539" t="str">
        <f t="shared" si="11"/>
        <v>项目建筑规模</v>
      </c>
      <c r="R34" s="3540" t="s">
        <v>8</v>
      </c>
      <c r="S34" s="3541">
        <f t="shared" si="12"/>
        <v>102</v>
      </c>
      <c r="T34" s="3540" t="s">
        <v>8</v>
      </c>
      <c r="U34" s="3541">
        <f t="shared" si="13"/>
        <v>101</v>
      </c>
      <c r="V34" s="3540" t="s">
        <v>8</v>
      </c>
      <c r="W34" s="3541">
        <f t="shared" si="14"/>
        <v>103</v>
      </c>
      <c r="X34" s="3542"/>
      <c r="Y34" s="4128"/>
      <c r="Z34" s="3543" t="str">
        <f t="shared" si="15"/>
        <v>项目建筑规模</v>
      </c>
      <c r="AA34" s="3492">
        <f t="shared" si="3"/>
        <v>0.98039215686274506</v>
      </c>
      <c r="AB34" s="3492">
        <f t="shared" si="4"/>
        <v>0.99009900990099009</v>
      </c>
      <c r="AC34" s="3492">
        <f t="shared" si="5"/>
        <v>0.970873786407767</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8"/>
      <c r="Q35" s="3489" t="str">
        <f t="shared" si="11"/>
        <v>建筑结构</v>
      </c>
      <c r="R35" s="3490" t="s">
        <v>8</v>
      </c>
      <c r="S35" s="3491">
        <f t="shared" si="12"/>
        <v>100</v>
      </c>
      <c r="T35" s="3490" t="s">
        <v>8</v>
      </c>
      <c r="U35" s="3491">
        <f t="shared" si="13"/>
        <v>100</v>
      </c>
      <c r="V35" s="3490" t="s">
        <v>8</v>
      </c>
      <c r="W35" s="3491">
        <f t="shared" si="14"/>
        <v>100</v>
      </c>
      <c r="X35" s="3423"/>
      <c r="Y35" s="4128"/>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8"/>
      <c r="Q36" s="3489" t="str">
        <f t="shared" si="11"/>
        <v>公共部分装修</v>
      </c>
      <c r="R36" s="3490" t="s">
        <v>8</v>
      </c>
      <c r="S36" s="3491">
        <f t="shared" si="12"/>
        <v>100</v>
      </c>
      <c r="T36" s="3490" t="s">
        <v>8</v>
      </c>
      <c r="U36" s="3491">
        <f t="shared" si="13"/>
        <v>100</v>
      </c>
      <c r="V36" s="3490" t="s">
        <v>8</v>
      </c>
      <c r="W36" s="3491">
        <f t="shared" si="14"/>
        <v>100</v>
      </c>
      <c r="X36" s="3423"/>
      <c r="Y36" s="4128"/>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8"/>
      <c r="Q37" s="3489" t="str">
        <f t="shared" si="11"/>
        <v>成新度</v>
      </c>
      <c r="R37" s="3490" t="s">
        <v>8</v>
      </c>
      <c r="S37" s="3491">
        <f t="shared" si="12"/>
        <v>100</v>
      </c>
      <c r="T37" s="3490" t="s">
        <v>8</v>
      </c>
      <c r="U37" s="3491">
        <f t="shared" si="13"/>
        <v>100</v>
      </c>
      <c r="V37" s="3490" t="s">
        <v>8</v>
      </c>
      <c r="W37" s="3491">
        <f t="shared" si="14"/>
        <v>98</v>
      </c>
      <c r="X37" s="3423"/>
      <c r="Y37" s="4128"/>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8"/>
      <c r="Q38" s="3453" t="str">
        <f t="shared" si="11"/>
        <v>写字楼等级</v>
      </c>
      <c r="R38" s="3438" t="s">
        <v>8</v>
      </c>
      <c r="S38" s="3439">
        <f t="shared" si="12"/>
        <v>100</v>
      </c>
      <c r="T38" s="3438" t="s">
        <v>8</v>
      </c>
      <c r="U38" s="3439">
        <f t="shared" si="13"/>
        <v>100</v>
      </c>
      <c r="V38" s="3438" t="s">
        <v>8</v>
      </c>
      <c r="W38" s="3439">
        <f t="shared" si="14"/>
        <v>100</v>
      </c>
      <c r="X38" s="3440"/>
      <c r="Y38" s="4128"/>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8" t="s">
        <v>542</v>
      </c>
      <c r="Q39" s="3489" t="str">
        <f t="shared" si="11"/>
        <v>物业管理</v>
      </c>
      <c r="R39" s="3490" t="s">
        <v>8</v>
      </c>
      <c r="S39" s="3491">
        <f t="shared" si="12"/>
        <v>100</v>
      </c>
      <c r="T39" s="3490" t="s">
        <v>8</v>
      </c>
      <c r="U39" s="3491">
        <f t="shared" si="13"/>
        <v>100</v>
      </c>
      <c r="V39" s="3490" t="s">
        <v>8</v>
      </c>
      <c r="W39" s="3491">
        <f t="shared" si="14"/>
        <v>100</v>
      </c>
      <c r="X39" s="3423"/>
      <c r="Y39" s="4128"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8"/>
      <c r="Q40" s="3489" t="str">
        <f t="shared" si="11"/>
        <v>市政基础设施</v>
      </c>
      <c r="R40" s="3490" t="s">
        <v>8</v>
      </c>
      <c r="S40" s="3491">
        <f t="shared" si="12"/>
        <v>100</v>
      </c>
      <c r="T40" s="3490" t="s">
        <v>8</v>
      </c>
      <c r="U40" s="3491">
        <f t="shared" si="13"/>
        <v>100</v>
      </c>
      <c r="V40" s="3490" t="s">
        <v>8</v>
      </c>
      <c r="W40" s="3491">
        <f t="shared" si="14"/>
        <v>100</v>
      </c>
      <c r="X40" s="3423"/>
      <c r="Y40" s="4128"/>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8"/>
      <c r="Q41" s="3489" t="str">
        <f t="shared" si="11"/>
        <v>层高</v>
      </c>
      <c r="R41" s="3490" t="s">
        <v>8</v>
      </c>
      <c r="S41" s="3491">
        <f t="shared" si="12"/>
        <v>100</v>
      </c>
      <c r="T41" s="3490" t="s">
        <v>8</v>
      </c>
      <c r="U41" s="3491">
        <f t="shared" si="13"/>
        <v>100</v>
      </c>
      <c r="V41" s="3490" t="s">
        <v>8</v>
      </c>
      <c r="W41" s="3491">
        <f t="shared" si="14"/>
        <v>100</v>
      </c>
      <c r="X41" s="3423"/>
      <c r="Y41" s="4128"/>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8"/>
      <c r="Q42" s="3539" t="str">
        <f t="shared" si="11"/>
        <v>单套建筑面积</v>
      </c>
      <c r="R42" s="3540" t="s">
        <v>8</v>
      </c>
      <c r="S42" s="3541">
        <f t="shared" si="12"/>
        <v>100</v>
      </c>
      <c r="T42" s="3540" t="s">
        <v>8</v>
      </c>
      <c r="U42" s="3541">
        <f t="shared" si="13"/>
        <v>100</v>
      </c>
      <c r="V42" s="3540" t="s">
        <v>8</v>
      </c>
      <c r="W42" s="3541">
        <f t="shared" si="14"/>
        <v>100</v>
      </c>
      <c r="X42" s="3542"/>
      <c r="Y42" s="4128"/>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8"/>
      <c r="Q43" s="3489" t="str">
        <f t="shared" si="11"/>
        <v>内部装修</v>
      </c>
      <c r="R43" s="3490" t="s">
        <v>8</v>
      </c>
      <c r="S43" s="3491">
        <f t="shared" si="12"/>
        <v>100</v>
      </c>
      <c r="T43" s="3490" t="s">
        <v>8</v>
      </c>
      <c r="U43" s="3491">
        <f t="shared" si="13"/>
        <v>100</v>
      </c>
      <c r="V43" s="3490" t="s">
        <v>8</v>
      </c>
      <c r="W43" s="3491">
        <f t="shared" si="14"/>
        <v>100</v>
      </c>
      <c r="X43" s="3423"/>
      <c r="Y43" s="4128"/>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8"/>
      <c r="Q44" s="3489" t="str">
        <f t="shared" si="11"/>
        <v>内部装修维护情况</v>
      </c>
      <c r="R44" s="3490" t="s">
        <v>8</v>
      </c>
      <c r="S44" s="3491">
        <f t="shared" si="12"/>
        <v>100</v>
      </c>
      <c r="T44" s="3490" t="s">
        <v>8</v>
      </c>
      <c r="U44" s="3491">
        <f t="shared" si="13"/>
        <v>100</v>
      </c>
      <c r="V44" s="3490" t="s">
        <v>8</v>
      </c>
      <c r="W44" s="3491">
        <f t="shared" si="14"/>
        <v>100</v>
      </c>
      <c r="X44" s="3423"/>
      <c r="Y44" s="4128"/>
      <c r="Z44" s="3492" t="str">
        <f t="shared" si="15"/>
        <v>内部装修维护情况</v>
      </c>
      <c r="AA44" s="3492">
        <f t="shared" si="3"/>
        <v>1</v>
      </c>
      <c r="AB44" s="3492">
        <f t="shared" si="4"/>
        <v>1</v>
      </c>
      <c r="AC44" s="3492">
        <f t="shared" si="5"/>
        <v>1</v>
      </c>
    </row>
    <row r="45" spans="1:29" s="3442" customFormat="1" ht="15">
      <c r="A45" s="3550"/>
      <c r="B45" s="3523">
        <v>111</v>
      </c>
      <c r="C45" s="3536"/>
      <c r="D45" s="3456">
        <v>100</v>
      </c>
      <c r="E45" s="3470"/>
      <c r="F45" s="3520">
        <f>SUMIF(127:127,E45,128:128)-SUMIF(127:127,C45,128:128)+100</f>
        <v>100</v>
      </c>
      <c r="G45" s="3470"/>
      <c r="H45" s="3456">
        <f>SUMIF(127:127,G45,128:128)-SUMIF(127:127,C45,128:128)+100</f>
        <v>100</v>
      </c>
      <c r="I45" s="3470"/>
      <c r="J45" s="3456">
        <f>SUMIF(127:127,I45,128:128)-SUMIF(127:127,C45,128:128)+100</f>
        <v>100</v>
      </c>
      <c r="K45" s="3474"/>
      <c r="L45" s="3436"/>
      <c r="M45" s="3437"/>
      <c r="N45" s="3437"/>
      <c r="O45" s="3437"/>
      <c r="P45" s="4128"/>
      <c r="Q45" s="3453">
        <f t="shared" si="11"/>
        <v>111</v>
      </c>
      <c r="R45" s="3438" t="s">
        <v>8</v>
      </c>
      <c r="S45" s="3439">
        <f t="shared" si="12"/>
        <v>100</v>
      </c>
      <c r="T45" s="3438" t="s">
        <v>8</v>
      </c>
      <c r="U45" s="3439">
        <f t="shared" si="13"/>
        <v>100</v>
      </c>
      <c r="V45" s="3438" t="s">
        <v>8</v>
      </c>
      <c r="W45" s="3439">
        <f t="shared" si="14"/>
        <v>100</v>
      </c>
      <c r="X45" s="3440"/>
      <c r="Y45" s="4128"/>
      <c r="Z45" s="3441">
        <f t="shared" si="15"/>
        <v>111</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8"/>
      <c r="Q46" s="3489">
        <f t="shared" si="11"/>
        <v>111</v>
      </c>
      <c r="R46" s="3490" t="s">
        <v>8</v>
      </c>
      <c r="S46" s="3491">
        <f t="shared" si="12"/>
        <v>100</v>
      </c>
      <c r="T46" s="3490" t="s">
        <v>8</v>
      </c>
      <c r="U46" s="3491">
        <f t="shared" si="13"/>
        <v>100</v>
      </c>
      <c r="V46" s="3490" t="s">
        <v>8</v>
      </c>
      <c r="W46" s="3491">
        <f t="shared" si="14"/>
        <v>100</v>
      </c>
      <c r="X46" s="3423"/>
      <c r="Y46" s="4128"/>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9"/>
      <c r="Q47" s="3489">
        <f t="shared" si="11"/>
        <v>111</v>
      </c>
      <c r="R47" s="3490" t="s">
        <v>8</v>
      </c>
      <c r="S47" s="3491">
        <f t="shared" si="12"/>
        <v>100</v>
      </c>
      <c r="T47" s="3490" t="s">
        <v>8</v>
      </c>
      <c r="U47" s="3491">
        <f t="shared" si="13"/>
        <v>100</v>
      </c>
      <c r="V47" s="3490" t="s">
        <v>8</v>
      </c>
      <c r="W47" s="3491">
        <f t="shared" si="14"/>
        <v>100</v>
      </c>
      <c r="X47" s="3423"/>
      <c r="Y47" s="4129"/>
      <c r="Z47" s="3492">
        <f t="shared" si="15"/>
        <v>111</v>
      </c>
      <c r="AA47" s="3492">
        <f t="shared" si="3"/>
        <v>1</v>
      </c>
      <c r="AB47" s="3492">
        <f t="shared" si="4"/>
        <v>1</v>
      </c>
      <c r="AC47" s="3492">
        <f t="shared" si="5"/>
        <v>1</v>
      </c>
    </row>
    <row r="48" spans="1:29" ht="15">
      <c r="A48" s="3556" t="s">
        <v>728</v>
      </c>
      <c r="B48" s="3557"/>
      <c r="C48" s="3558" t="s">
        <v>1</v>
      </c>
      <c r="D48" s="3559"/>
      <c r="E48" s="3560">
        <f>办公案例截图及地图!$A$2</f>
        <v>33000</v>
      </c>
      <c r="F48" s="3561"/>
      <c r="G48" s="3562">
        <f>办公案例截图及地图!$A$41</f>
        <v>37523</v>
      </c>
      <c r="H48" s="3563"/>
      <c r="I48" s="3560">
        <f>办公案例截图及地图!A87</f>
        <v>36800</v>
      </c>
      <c r="J48" s="3563"/>
      <c r="K48" s="3564"/>
      <c r="L48" s="3565"/>
      <c r="M48" s="3422"/>
      <c r="N48" s="3422"/>
      <c r="O48" s="3422"/>
      <c r="P48" s="4130" t="str">
        <f>A48</f>
        <v>成交单价（元/平方米）</v>
      </c>
      <c r="Q48" s="4123"/>
      <c r="R48" s="4119">
        <f>E48</f>
        <v>33000</v>
      </c>
      <c r="S48" s="4119"/>
      <c r="T48" s="4119">
        <f>G48</f>
        <v>37523</v>
      </c>
      <c r="U48" s="4119"/>
      <c r="V48" s="4119">
        <f>I48</f>
        <v>36800</v>
      </c>
      <c r="W48" s="4119"/>
      <c r="X48" s="3494"/>
      <c r="Y48" s="3566"/>
      <c r="Z48" s="3494"/>
      <c r="AA48" s="3494"/>
      <c r="AB48" s="3494"/>
      <c r="AC48" s="3494"/>
    </row>
    <row r="49" spans="1:29" ht="15.75" thickBot="1">
      <c r="A49" s="3567" t="s">
        <v>2671</v>
      </c>
      <c r="B49" s="3568"/>
      <c r="C49" s="3569">
        <f>R50</f>
        <v>29537</v>
      </c>
      <c r="D49" s="3570" t="s">
        <v>2963</v>
      </c>
      <c r="E49" s="3571">
        <f>R49</f>
        <v>29287</v>
      </c>
      <c r="F49" s="3572"/>
      <c r="G49" s="3569">
        <f>T49</f>
        <v>30776</v>
      </c>
      <c r="H49" s="3572"/>
      <c r="I49" s="3571">
        <f>V49</f>
        <v>28549</v>
      </c>
      <c r="J49" s="3572"/>
      <c r="K49" s="3573">
        <f>F49+H49+J49</f>
        <v>0</v>
      </c>
      <c r="L49" s="3565"/>
      <c r="M49" s="3422"/>
      <c r="N49" s="3422"/>
      <c r="O49" s="3422"/>
      <c r="P49" s="4130" t="str">
        <f>A49</f>
        <v>比较价格（元/平方米）</v>
      </c>
      <c r="Q49" s="4123"/>
      <c r="R49" s="4119">
        <f>IF(F1="售价",ROUND(PRODUCT(R48,AA7:AA47),0),ROUND(PRODUCT(R48,AA7:AA47),0))</f>
        <v>29287</v>
      </c>
      <c r="S49" s="4119"/>
      <c r="T49" s="4119">
        <f>IF(F1="售价",ROUND(PRODUCT(T48,AB7:AB47),0),ROUND(PRODUCT(T48,AB7:AB47),0))</f>
        <v>30776</v>
      </c>
      <c r="U49" s="4119"/>
      <c r="V49" s="4119">
        <f>IF(F1="售价",ROUND(PRODUCT(V48,AC7:AC47),0),ROUND(PRODUCT(V48,AC7:AC47),0))</f>
        <v>28549</v>
      </c>
      <c r="W49" s="4119"/>
      <c r="X49" s="3494"/>
      <c r="Y49" s="3494"/>
      <c r="Z49" s="3494"/>
      <c r="AA49" s="3494"/>
      <c r="AB49" s="3494"/>
      <c r="AC49" s="3494"/>
    </row>
    <row r="50" spans="1:29" ht="15.75" thickBot="1">
      <c r="A50" s="3574" t="s">
        <v>2898</v>
      </c>
      <c r="B50" s="3575"/>
      <c r="C50" s="3428">
        <f>R50</f>
        <v>29537</v>
      </c>
      <c r="D50" s="3428"/>
      <c r="E50" s="3428"/>
      <c r="F50" s="3428"/>
      <c r="G50" s="3428"/>
      <c r="H50" s="3428"/>
      <c r="I50" s="3428"/>
      <c r="J50" s="3428"/>
      <c r="K50" s="3576"/>
      <c r="L50" s="3565"/>
      <c r="M50" s="3422"/>
      <c r="N50" s="3422"/>
      <c r="O50" s="3422"/>
      <c r="P50" s="4131" t="str">
        <f>A50</f>
        <v>估价对象XX用房的比较价格（楼面单价，元/平方米）</v>
      </c>
      <c r="Q50" s="4130"/>
      <c r="R50" s="4132">
        <f>IF(F1="售价",ROUND(IF(D49="简单平均",AVERAGE(R49:V49),R49*F49+T49*H49+V49*J49),0),ROUND(IF(D49="简单平均",AVERAGE(R49:V49),R49*F49+T49*H49+V49*J49),0))</f>
        <v>29537</v>
      </c>
      <c r="S50" s="4132"/>
      <c r="T50" s="4132"/>
      <c r="U50" s="4132"/>
      <c r="V50" s="4132"/>
      <c r="W50" s="4132"/>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0.12677979991122346</v>
      </c>
      <c r="F53" s="3584" t="str">
        <f>IF(OR(E53&gt;=0.3,E53&lt;=-0.3),"超过30%","")</f>
        <v/>
      </c>
      <c r="G53" s="3583">
        <f>IF(G48&lt;G49,G49/G48-1,G48/G49-1)</f>
        <v>0.21922926956069655</v>
      </c>
      <c r="H53" s="3584" t="str">
        <f>IF(OR(G53&gt;=0.3,G53&lt;=-0.3),"超过30%","")</f>
        <v/>
      </c>
      <c r="I53" s="3583">
        <f>IF(I48&lt;I49,I49/I48-1,I48/I49-1)</f>
        <v>0.28901187432134234</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5.0841670365691316E-2</v>
      </c>
      <c r="F54" s="3584" t="str">
        <f>IF(OR(E54&gt;=0.2,E54&lt;=-0.2),"超过20%","")</f>
        <v/>
      </c>
      <c r="G54" s="3583">
        <f>IF(G49&lt;I49,I49/G49-1,G49/I49-1)</f>
        <v>7.8006234894392179E-2</v>
      </c>
      <c r="H54" s="3584" t="str">
        <f>IF(OR(G54&gt;=0.2,G54&lt;=-0.2),"超过20%","")</f>
        <v/>
      </c>
      <c r="I54" s="3583">
        <f>IF(I49&lt;E49,E49/I49-1,I49/E49-1)</f>
        <v>2.5850292479596471E-2</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0.1370606060606061</v>
      </c>
      <c r="F55" s="3584" t="str">
        <f>IF(OR(E55&gt;=0.3,E55&lt;=-0.3),"超过30%","")</f>
        <v/>
      </c>
      <c r="G55" s="3583">
        <f>IF(G48&lt;I48,I48/G48-1,G48/I48-1)</f>
        <v>1.9646739130434687E-2</v>
      </c>
      <c r="H55" s="3584" t="str">
        <f>IF(OR(G55&gt;=0.3,G55&lt;=-0.3),"超过30%","")</f>
        <v/>
      </c>
      <c r="I55" s="3583">
        <f>IF(I48&lt;E48,E48/I48-1,I48/E48-1)</f>
        <v>0.11515151515151523</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115</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v>
      </c>
      <c r="G67" s="3647">
        <f>F67-$K10</f>
        <v>98</v>
      </c>
      <c r="H67" s="3647">
        <f>G67-$K10</f>
        <v>97</v>
      </c>
      <c r="I67" s="3647">
        <f>H67-$K10</f>
        <v>96</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v>
      </c>
      <c r="G68" s="3650" t="str">
        <f t="shared" si="17"/>
        <v>（含）-</v>
      </c>
      <c r="H68" s="3650" t="str">
        <f t="shared" si="17"/>
        <v>（含）-</v>
      </c>
      <c r="I68" s="3650" t="str">
        <f t="shared" si="17"/>
        <v>（含）-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c r="H69" s="3652"/>
      <c r="I69" s="3652"/>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100</v>
      </c>
      <c r="E70" s="3647">
        <f t="shared" si="18"/>
        <v>100</v>
      </c>
      <c r="F70" s="3647">
        <f t="shared" si="18"/>
        <v>100</v>
      </c>
      <c r="G70" s="3647">
        <f t="shared" si="18"/>
        <v>100</v>
      </c>
      <c r="H70" s="3647">
        <f t="shared" si="18"/>
        <v>100</v>
      </c>
      <c r="I70" s="3647">
        <f t="shared" si="18"/>
        <v>100</v>
      </c>
      <c r="J70" s="3647">
        <f t="shared" si="18"/>
        <v>100</v>
      </c>
      <c r="K70" s="3647">
        <f t="shared" si="18"/>
        <v>100</v>
      </c>
      <c r="L70" s="3647">
        <f t="shared" si="18"/>
        <v>100</v>
      </c>
      <c r="M70" s="3648">
        <f t="shared" si="18"/>
        <v>100</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99</v>
      </c>
      <c r="E78" s="3647">
        <f>D78-$K15</f>
        <v>98</v>
      </c>
      <c r="F78" s="3647">
        <f>E78-$K15</f>
        <v>97</v>
      </c>
      <c r="G78" s="3647">
        <f>F78-$K15</f>
        <v>96</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57"/>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98</v>
      </c>
      <c r="E88" s="3647">
        <f t="shared" si="19"/>
        <v>96</v>
      </c>
      <c r="F88" s="3647">
        <f t="shared" si="19"/>
        <v>94</v>
      </c>
      <c r="G88" s="3647">
        <f t="shared" si="19"/>
        <v>92</v>
      </c>
      <c r="H88" s="3647">
        <f t="shared" si="19"/>
        <v>90</v>
      </c>
      <c r="I88" s="3647">
        <f t="shared" si="19"/>
        <v>88</v>
      </c>
      <c r="J88" s="3647">
        <f t="shared" si="19"/>
        <v>86</v>
      </c>
      <c r="K88" s="3647">
        <f t="shared" si="19"/>
        <v>84</v>
      </c>
      <c r="L88" s="3647">
        <f t="shared" si="19"/>
        <v>82</v>
      </c>
      <c r="M88" s="3647">
        <f t="shared" si="19"/>
        <v>80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v>
      </c>
      <c r="H103" s="3681" t="str">
        <f t="shared" si="23"/>
        <v>(含)-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f>B45</f>
        <v>111</v>
      </c>
      <c r="C127" s="3657"/>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ColWidth="9" defaultRowHeight="13.5"/>
  <cols>
    <col min="1" max="16384" width="9" style="3361"/>
  </cols>
  <sheetData>
    <row r="1" spans="1:1">
      <c r="A1" s="3361" t="s">
        <v>3217</v>
      </c>
    </row>
    <row r="2" spans="1:1">
      <c r="A2" s="3361">
        <v>33000</v>
      </c>
    </row>
    <row r="40" spans="1:1">
      <c r="A40" s="3361" t="s">
        <v>3218</v>
      </c>
    </row>
    <row r="41" spans="1:1">
      <c r="A41" s="3361">
        <v>37523</v>
      </c>
    </row>
    <row r="86" spans="1:1">
      <c r="A86" s="3361" t="s">
        <v>3219</v>
      </c>
    </row>
    <row r="87" spans="1:1">
      <c r="A87" s="3361">
        <v>36800</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1124008</v>
      </c>
      <c r="C2" s="3251"/>
      <c r="D2" s="3252"/>
      <c r="E2" s="3253"/>
      <c r="F2" s="3253"/>
      <c r="G2" s="3247"/>
      <c r="H2" s="1938"/>
      <c r="I2" s="1938"/>
      <c r="J2" s="1938"/>
      <c r="K2" s="1939"/>
      <c r="L2" s="1938"/>
      <c r="M2" s="1938"/>
    </row>
    <row r="3" spans="1:33" ht="18" customHeight="1" thickBot="1">
      <c r="A3" s="820" t="s">
        <v>1715</v>
      </c>
      <c r="B3" s="821">
        <f ca="1">IF(ISERROR(B2*10000/F43),0,ROUND(B2*10000/F43,0))</f>
        <v>36720</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66449</v>
      </c>
      <c r="D5" s="2347" t="s">
        <v>2440</v>
      </c>
      <c r="E5" s="2341"/>
      <c r="F5" s="2342"/>
      <c r="G5" s="1943"/>
      <c r="H5" s="769">
        <v>1</v>
      </c>
      <c r="I5" s="770" t="s">
        <v>2437</v>
      </c>
      <c r="J5" s="54">
        <f ca="1">J6+J10+J12</f>
        <v>0</v>
      </c>
      <c r="K5" s="2347" t="s">
        <v>2440</v>
      </c>
      <c r="L5" s="2341"/>
      <c r="M5" s="2342"/>
    </row>
    <row r="6" spans="1:33" ht="18" customHeight="1">
      <c r="A6" s="1743" t="s">
        <v>1812</v>
      </c>
      <c r="B6" s="4064" t="s">
        <v>2442</v>
      </c>
      <c r="C6" s="771">
        <f ca="1">ROUND(F6*F8*F7*(1-F9)/10000,0)</f>
        <v>66366</v>
      </c>
      <c r="D6" s="2348" t="s">
        <v>2441</v>
      </c>
      <c r="E6" s="772" t="s">
        <v>1726</v>
      </c>
      <c r="F6" s="773">
        <f ca="1">INDIRECT("'数据-取费表'!u"&amp;$G$1)</f>
        <v>6.6</v>
      </c>
      <c r="G6" s="1943"/>
      <c r="H6" s="2355" t="s">
        <v>2447</v>
      </c>
      <c r="I6" s="4064" t="s">
        <v>2442</v>
      </c>
      <c r="J6" s="771">
        <f ca="1">ROUND(M6*M8*M7*(1-M9)/10000,0)</f>
        <v>0</v>
      </c>
      <c r="K6" s="337" t="s">
        <v>1725</v>
      </c>
      <c r="L6" s="772" t="s">
        <v>1726</v>
      </c>
      <c r="M6" s="773">
        <f ca="1">INDIRECT("'数据-取费表'!z"&amp;$G$1)</f>
        <v>0</v>
      </c>
    </row>
    <row r="7" spans="1:33" ht="18" customHeight="1">
      <c r="A7" s="2351"/>
      <c r="B7" s="4065"/>
      <c r="C7" s="776"/>
      <c r="D7" s="777"/>
      <c r="E7" s="772" t="s">
        <v>1727</v>
      </c>
      <c r="F7" s="3360">
        <f ca="1">IF(INDIRECT("'数据-取费表'!ah"&amp;$G$1)="",INDIRECT("'数据-取费表'!k"&amp;$G$1),INDIRECT("'数据-取费表'!ah"&amp;$G$1))</f>
        <v>306100</v>
      </c>
      <c r="G7" s="1943"/>
      <c r="H7" s="2340"/>
      <c r="I7" s="4065"/>
      <c r="J7" s="776"/>
      <c r="K7" s="777"/>
      <c r="L7" s="772" t="s">
        <v>1727</v>
      </c>
      <c r="M7" s="773">
        <f ca="1">F7</f>
        <v>306100</v>
      </c>
    </row>
    <row r="8" spans="1:33" ht="18" customHeight="1">
      <c r="A8" s="2344"/>
      <c r="B8" s="4066"/>
      <c r="C8" s="776"/>
      <c r="D8" s="777"/>
      <c r="E8" s="772" t="s">
        <v>1728</v>
      </c>
      <c r="F8" s="773">
        <f ca="1">INDIRECT("'数据-取费表'!ai"&amp;$G$1)</f>
        <v>365</v>
      </c>
      <c r="G8" s="1943"/>
      <c r="H8" s="2340"/>
      <c r="I8" s="4066"/>
      <c r="J8" s="776"/>
      <c r="K8" s="777"/>
      <c r="L8" s="772" t="s">
        <v>1728</v>
      </c>
      <c r="M8" s="773">
        <f ca="1">INDIRECT("'数据-取费表'!ai"&amp;$G$1)</f>
        <v>365</v>
      </c>
    </row>
    <row r="9" spans="1:33" ht="18" customHeight="1">
      <c r="A9" s="774"/>
      <c r="B9" s="4067"/>
      <c r="C9" s="776"/>
      <c r="D9" s="777"/>
      <c r="E9" s="772" t="s">
        <v>1729</v>
      </c>
      <c r="F9" s="782">
        <f ca="1">INDIRECT("'数据-取费表'!w"&amp;$G$1)</f>
        <v>0.1</v>
      </c>
      <c r="G9" s="1943"/>
      <c r="H9" s="2356"/>
      <c r="I9" s="4066"/>
      <c r="J9" s="776"/>
      <c r="K9" s="777"/>
      <c r="L9" s="783" t="s">
        <v>1729</v>
      </c>
      <c r="M9" s="784">
        <f ca="1">INDIRECT("'数据-取费表'!ab"&amp;$G$1)</f>
        <v>0</v>
      </c>
    </row>
    <row r="10" spans="1:33" ht="18" customHeight="1">
      <c r="A10" s="1743" t="s">
        <v>2445</v>
      </c>
      <c r="B10" s="2345" t="s">
        <v>2438</v>
      </c>
      <c r="C10" s="787">
        <f ca="1">ROUND(IF(F10="押一",C6/12*F11,IF(F10="押二",C6/12*2*F11,IF(F10="押三",C6/12*3*F11,C11*F11))),0)</f>
        <v>83</v>
      </c>
      <c r="D10" s="2352" t="s">
        <v>2933</v>
      </c>
      <c r="E10" s="2349" t="s">
        <v>2443</v>
      </c>
      <c r="F10" s="2463" t="s">
        <v>3162</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243093</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153050</v>
      </c>
      <c r="D14" s="1891" t="s">
        <v>1733</v>
      </c>
      <c r="E14" s="1892"/>
      <c r="F14" s="793"/>
      <c r="G14" s="1943"/>
      <c r="H14" s="1576" t="s">
        <v>1818</v>
      </c>
      <c r="I14" s="2109" t="s">
        <v>2803</v>
      </c>
      <c r="J14" s="52">
        <f ca="1">C29</f>
        <v>243093</v>
      </c>
      <c r="K14" s="25"/>
      <c r="L14" s="789"/>
      <c r="M14" s="790"/>
    </row>
    <row r="15" spans="1:33" s="1945" customFormat="1" ht="18" customHeight="1" thickBot="1">
      <c r="A15" s="1575" t="s">
        <v>1873</v>
      </c>
      <c r="B15" s="772" t="s">
        <v>639</v>
      </c>
      <c r="C15" s="52">
        <f ca="1">ROUND(C14*F15,0)</f>
        <v>4592</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3749</v>
      </c>
      <c r="K16" s="1734" t="s">
        <v>1738</v>
      </c>
      <c r="L16" s="2337"/>
      <c r="M16" s="2342"/>
    </row>
    <row r="17" spans="1:33" s="1945" customFormat="1" ht="18" customHeight="1">
      <c r="A17" s="1575" t="s">
        <v>1875</v>
      </c>
      <c r="B17" s="772" t="s">
        <v>645</v>
      </c>
      <c r="C17" s="52">
        <f ca="1">ROUND(F17*(F43+INDIRECT("'数据-取费表'!S"&amp;$G$1))/10000,0)</f>
        <v>6122</v>
      </c>
      <c r="D17" s="772" t="s">
        <v>1739</v>
      </c>
      <c r="E17" s="772" t="s">
        <v>1740</v>
      </c>
      <c r="F17" s="55">
        <f>'数据-取费表'!B35</f>
        <v>200</v>
      </c>
      <c r="G17" s="3248"/>
      <c r="H17" s="1576" t="s">
        <v>1818</v>
      </c>
      <c r="I17" s="772" t="s">
        <v>648</v>
      </c>
      <c r="J17" s="3008">
        <f ca="1">ROUND(IF(AND(项目基本情况!B11="自然人",项目基本情况!B10="北京市"),J6*M17/(1+'数据-取费表'!C42),J18+J19+J20),0)</f>
        <v>2047</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2296</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166060</v>
      </c>
      <c r="D19" s="257" t="s">
        <v>1745</v>
      </c>
      <c r="E19" s="1894"/>
      <c r="F19" s="55"/>
      <c r="G19" s="1943"/>
      <c r="H19" s="1575" t="s">
        <v>1873</v>
      </c>
      <c r="I19" s="772" t="s">
        <v>1746</v>
      </c>
      <c r="J19" s="52">
        <f ca="1">IF(K19="按租金收入计税",ROUND(J6*M19/(1+'数据-取费表'!C42),1),ROUND(C29*F33*0.7,1))</f>
        <v>2042</v>
      </c>
      <c r="K19" s="798" t="s">
        <v>657</v>
      </c>
      <c r="L19" s="772" t="s">
        <v>1735</v>
      </c>
      <c r="M19" s="797">
        <f>IF(K19="按租金收入计税",'数据-取费表'!B51,'数据-取费表'!B50)</f>
        <v>1.2E-2</v>
      </c>
    </row>
    <row r="20" spans="1:33" s="1945" customFormat="1" ht="18" customHeight="1">
      <c r="A20" s="1576" t="s">
        <v>1877</v>
      </c>
      <c r="B20" s="772" t="s">
        <v>658</v>
      </c>
      <c r="C20" s="52">
        <f ca="1">ROUND(C19*F20,0)</f>
        <v>3321</v>
      </c>
      <c r="D20" s="799" t="s">
        <v>1747</v>
      </c>
      <c r="E20" s="772" t="s">
        <v>1735</v>
      </c>
      <c r="F20" s="797">
        <f>'数据-取费表'!B37</f>
        <v>0.02</v>
      </c>
      <c r="G20" s="3248"/>
      <c r="H20" s="1578" t="s">
        <v>1868</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31806.67</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1702</v>
      </c>
      <c r="K22" s="2335" t="s">
        <v>1757</v>
      </c>
      <c r="L22" s="772" t="s">
        <v>1735</v>
      </c>
      <c r="M22" s="804">
        <f ca="1">INDIRECT("'数据-取费表'!Ak"&amp;$G$1)</f>
        <v>7.0000000000000001E-3</v>
      </c>
    </row>
    <row r="23" spans="1:33" s="1945" customFormat="1" ht="18" customHeight="1">
      <c r="A23" s="1575" t="s">
        <v>1819</v>
      </c>
      <c r="B23" s="772" t="s">
        <v>2514</v>
      </c>
      <c r="C23" s="52">
        <f ca="1">ROUND(IF('数据-取费表'!B22&lt;=1,(C19+C20)*F24*F23/2,(C19+C20)*(POWER((1+F24),F23/2)-1)),0)</f>
        <v>12211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8.0000000000000004E-4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8.0000000000000002E-3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-3749</v>
      </c>
      <c r="K25" s="2399" t="s">
        <v>1765</v>
      </c>
      <c r="L25" s="2400"/>
      <c r="M25" s="2401"/>
    </row>
    <row r="26" spans="1:33" ht="18" customHeight="1">
      <c r="A26" s="1575" t="s">
        <v>1819</v>
      </c>
      <c r="B26" s="772" t="s">
        <v>2419</v>
      </c>
      <c r="C26" s="52">
        <f ca="1">ROUND((C19+C20)*F26,0)</f>
        <v>42345</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243093</v>
      </c>
      <c r="D29" s="2396"/>
      <c r="E29" s="2397"/>
      <c r="F29" s="2398"/>
      <c r="G29" s="3248"/>
      <c r="H29" s="810" t="s">
        <v>1775</v>
      </c>
      <c r="I29" s="811" t="s">
        <v>1776</v>
      </c>
      <c r="J29" s="812">
        <f ca="1">ROUND(J26/(1+F40)^F41,0)</f>
        <v>0</v>
      </c>
      <c r="K29" s="813" t="s">
        <v>1777</v>
      </c>
      <c r="L29" s="814"/>
      <c r="M29" s="815">
        <f ca="1">INDIRECT("'数据-取费表'!k"&amp;$G$1)</f>
        <v>306100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7959</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5531</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3476.3</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2042</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12.2</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81070.106</v>
      </c>
      <c r="G35" s="1943"/>
      <c r="H35" s="1946"/>
      <c r="I35" s="824" t="s">
        <v>1802</v>
      </c>
      <c r="J35" s="825">
        <f ca="1">ROUND(C13*J36,0)</f>
        <v>0</v>
      </c>
      <c r="K35" s="1959"/>
      <c r="L35" s="1958"/>
      <c r="M35" s="1958"/>
    </row>
    <row r="36" spans="1:18" ht="18" customHeight="1">
      <c r="A36" s="1576" t="s">
        <v>1877</v>
      </c>
      <c r="B36" s="772" t="s">
        <v>1790</v>
      </c>
      <c r="C36" s="52">
        <f ca="1">ROUND(C29*F36,1)</f>
        <v>1701.7</v>
      </c>
      <c r="D36" s="1889" t="s">
        <v>1791</v>
      </c>
      <c r="E36" s="772" t="s">
        <v>1784</v>
      </c>
      <c r="F36" s="804">
        <f ca="1">INDIRECT("'数据-取费表'!Ak"&amp;$G$1)</f>
        <v>7.0000000000000001E-3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194.5</v>
      </c>
      <c r="D37" s="1889" t="s">
        <v>1792</v>
      </c>
      <c r="E37" s="772" t="s">
        <v>1784</v>
      </c>
      <c r="F37" s="805">
        <f ca="1">INDIRECT("'数据-取费表'!Al"&amp;$G$1)</f>
        <v>8.0000000000000004E-4</v>
      </c>
      <c r="G37" s="1943"/>
      <c r="H37" s="1958"/>
      <c r="I37" s="828" t="s">
        <v>1804</v>
      </c>
      <c r="J37" s="829"/>
      <c r="K37" s="1962"/>
      <c r="L37" s="1958"/>
      <c r="M37" s="1958"/>
    </row>
    <row r="38" spans="1:18" ht="18" customHeight="1" thickBot="1">
      <c r="A38" s="2402" t="s">
        <v>1879</v>
      </c>
      <c r="B38" s="2397" t="s">
        <v>658</v>
      </c>
      <c r="C38" s="2395">
        <f ca="1">ROUND(C5*F38,1)</f>
        <v>531.6</v>
      </c>
      <c r="D38" s="2396" t="s">
        <v>1793</v>
      </c>
      <c r="E38" s="2397" t="s">
        <v>1784</v>
      </c>
      <c r="F38" s="2393">
        <f ca="1">INDIRECT("'数据-取费表'!Am"&amp;$G$1)</f>
        <v>8.0000000000000002E-3</v>
      </c>
      <c r="G38" s="1943"/>
      <c r="H38" s="1958"/>
      <c r="I38" s="830" t="s">
        <v>1805</v>
      </c>
      <c r="J38" s="831"/>
      <c r="K38" s="1963"/>
      <c r="L38" s="1958"/>
      <c r="M38" s="1958"/>
    </row>
    <row r="39" spans="1:18" ht="24.6" customHeight="1" thickTop="1">
      <c r="A39" s="1742" t="s">
        <v>1882</v>
      </c>
      <c r="B39" s="2721" t="s">
        <v>2799</v>
      </c>
      <c r="C39" s="780">
        <f ca="1">C5-C30</f>
        <v>58490</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1124008</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0.216</v>
      </c>
      <c r="K42" s="1962"/>
      <c r="L42" s="1898"/>
      <c r="M42" s="1898"/>
    </row>
    <row r="43" spans="1:18" ht="18" customHeight="1" thickBot="1">
      <c r="A43" s="810" t="s">
        <v>1775</v>
      </c>
      <c r="B43" s="811" t="s">
        <v>1798</v>
      </c>
      <c r="C43" s="812">
        <f ca="1">ROUND(C40*10000/F43,0)</f>
        <v>36720</v>
      </c>
      <c r="D43" s="813" t="s">
        <v>1799</v>
      </c>
      <c r="E43" s="814" t="s">
        <v>1800</v>
      </c>
      <c r="F43" s="815">
        <f ca="1">INDIRECT("'数据-取费表'!k"&amp;$G$1)</f>
        <v>306100</v>
      </c>
      <c r="G43" s="1943"/>
      <c r="H43" s="1898"/>
      <c r="I43" s="834" t="s">
        <v>1810</v>
      </c>
      <c r="J43" s="835">
        <f ca="1">1-J42</f>
        <v>0.78400000000000003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-1199916</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1124008</v>
      </c>
      <c r="R48" s="2252" t="s">
        <v>2362</v>
      </c>
    </row>
    <row r="49" spans="1:18" s="1940" customFormat="1" ht="18" customHeight="1" thickBot="1">
      <c r="A49" s="774"/>
      <c r="B49" s="775"/>
      <c r="C49" s="776"/>
      <c r="D49" s="777"/>
      <c r="E49" s="772" t="s">
        <v>1727</v>
      </c>
      <c r="F49" s="773">
        <f ca="1">F7</f>
        <v>306100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243093</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3509400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42" t="s">
        <v>2926</v>
      </c>
      <c r="L53" s="4143"/>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1124008</v>
      </c>
      <c r="R54" s="2256" t="s">
        <v>2374</v>
      </c>
    </row>
    <row r="55" spans="1:18" s="1940" customFormat="1" ht="18" customHeight="1" thickTop="1" thickBot="1">
      <c r="A55" s="785">
        <v>2</v>
      </c>
      <c r="B55" s="786" t="s">
        <v>636</v>
      </c>
      <c r="C55" s="787">
        <f ca="1">C13</f>
        <v>243093</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243093</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3950</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1124008</v>
      </c>
      <c r="R57" s="2252" t="s">
        <v>2362</v>
      </c>
    </row>
    <row r="58" spans="1:18" s="1940" customFormat="1" ht="28.5" customHeight="1" thickBot="1">
      <c r="A58" s="1576" t="s">
        <v>1812</v>
      </c>
      <c r="B58" s="772" t="s">
        <v>648</v>
      </c>
      <c r="C58" s="3008">
        <f ca="1">ROUND(IF(AND(项目基本情况!B11="自然人",项目基本情况!B10="北京市"),C48*F58/(1+'数据-取费表'!C42),C59+C60+C61),0)</f>
        <v>2054</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2042</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1701.7</v>
      </c>
      <c r="D63" s="2479" t="s">
        <v>1791</v>
      </c>
      <c r="E63" s="772" t="s">
        <v>1735</v>
      </c>
      <c r="F63" s="804">
        <f t="shared" ca="1" si="0"/>
        <v>7.0000000000000001E-3</v>
      </c>
      <c r="I63" s="2822" t="s">
        <v>2352</v>
      </c>
      <c r="J63" s="2823">
        <v>70</v>
      </c>
      <c r="K63" s="2823">
        <v>50</v>
      </c>
      <c r="L63" s="2823">
        <v>80</v>
      </c>
      <c r="M63" s="2825">
        <v>0.02</v>
      </c>
      <c r="O63" s="2251" t="s">
        <v>2373</v>
      </c>
      <c r="P63" s="2252" t="s">
        <v>2390</v>
      </c>
      <c r="Q63" s="2253">
        <f ca="1">Q57+Q58</f>
        <v>1124008</v>
      </c>
      <c r="R63" s="2256" t="s">
        <v>2374</v>
      </c>
    </row>
    <row r="64" spans="1:18" s="1940" customFormat="1" ht="16.5" thickBot="1">
      <c r="A64" s="1576" t="s">
        <v>1878</v>
      </c>
      <c r="B64" s="772" t="s">
        <v>671</v>
      </c>
      <c r="C64" s="52">
        <f ca="1">ROUND(C55*F64,1)</f>
        <v>194.5</v>
      </c>
      <c r="D64" s="2479" t="s">
        <v>672</v>
      </c>
      <c r="E64" s="772" t="s">
        <v>1735</v>
      </c>
      <c r="F64" s="805">
        <f t="shared" ca="1" si="0"/>
        <v>8.0000000000000004E-4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8.0000000000000002E-3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-3950</v>
      </c>
      <c r="D66" s="2478" t="s">
        <v>692</v>
      </c>
      <c r="E66" s="2477"/>
      <c r="F66" s="807"/>
      <c r="K66" s="1966"/>
      <c r="O66" s="2251" t="s">
        <v>2361</v>
      </c>
      <c r="P66" s="2252" t="s">
        <v>2391</v>
      </c>
      <c r="Q66" s="2253">
        <f ca="1">C40+J29</f>
        <v>1124008</v>
      </c>
      <c r="R66" s="2252" t="s">
        <v>2362</v>
      </c>
    </row>
    <row r="67" spans="1:18" s="1940" customFormat="1" ht="20.25" thickBot="1">
      <c r="A67" s="769" t="s">
        <v>1768</v>
      </c>
      <c r="B67" s="2110" t="s">
        <v>2286</v>
      </c>
      <c r="C67" s="771">
        <f ca="1">ROUND(C66*(1-((1+F69)/(1+F67))^F68)/(F67-F69),0)</f>
        <v>-75908</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3509400</v>
      </c>
      <c r="R68" s="2259" t="s">
        <v>2398</v>
      </c>
    </row>
    <row r="69" spans="1:18" ht="20.25" thickBot="1">
      <c r="A69" s="778"/>
      <c r="B69" s="779"/>
      <c r="C69" s="780"/>
      <c r="D69" s="803"/>
      <c r="E69" s="772" t="s">
        <v>702</v>
      </c>
      <c r="F69" s="2224"/>
      <c r="O69" s="2254" t="s">
        <v>2366</v>
      </c>
      <c r="P69" s="2260" t="s">
        <v>2380</v>
      </c>
      <c r="Q69" s="2253">
        <f ca="1">ROUND(Q70-Q71*Q72,0)</f>
        <v>58490</v>
      </c>
      <c r="R69" s="2256"/>
    </row>
    <row r="70" spans="1:18" ht="15.75" thickBot="1">
      <c r="A70" s="810" t="s">
        <v>1775</v>
      </c>
      <c r="B70" s="811" t="s">
        <v>1798</v>
      </c>
      <c r="C70" s="812">
        <f ca="1">ROUND(C67*10000/F70,0)</f>
        <v>-2480</v>
      </c>
      <c r="D70" s="813" t="s">
        <v>1799</v>
      </c>
      <c r="E70" s="814" t="s">
        <v>1800</v>
      </c>
      <c r="F70" s="815">
        <f ca="1">F43</f>
        <v>306100</v>
      </c>
      <c r="O70" s="2254" t="s">
        <v>2381</v>
      </c>
      <c r="P70" s="2260" t="s">
        <v>2382</v>
      </c>
      <c r="Q70" s="2253">
        <f ca="1">C39</f>
        <v>58490</v>
      </c>
      <c r="R70" s="2252" t="s">
        <v>2362</v>
      </c>
    </row>
    <row r="71" spans="1:18" ht="15.75" thickBot="1">
      <c r="O71" s="2254" t="s">
        <v>2383</v>
      </c>
      <c r="P71" s="2260" t="s">
        <v>2384</v>
      </c>
      <c r="Q71" s="2253">
        <f ca="1">C13</f>
        <v>243093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1124008</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L42" sqref="L42"/>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6.6</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82" t="s">
        <v>514</v>
      </c>
      <c r="D4" s="3983"/>
      <c r="E4" s="4016" t="s">
        <v>515</v>
      </c>
      <c r="F4" s="4017"/>
      <c r="G4" s="3982" t="s">
        <v>516</v>
      </c>
      <c r="H4" s="3983"/>
      <c r="I4" s="3982" t="s">
        <v>517</v>
      </c>
      <c r="J4" s="3983"/>
      <c r="K4" s="506"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77" t="s">
        <v>516</v>
      </c>
      <c r="AC4" s="3979" t="s">
        <v>517</v>
      </c>
    </row>
    <row r="5" spans="1:29" ht="15">
      <c r="A5" s="507"/>
      <c r="B5" s="508"/>
      <c r="C5" s="3998" t="s">
        <v>2892</v>
      </c>
      <c r="D5" s="3999"/>
      <c r="E5" s="4018" t="str">
        <f>商业租金案例截图及地图!H1</f>
        <v>复兴里</v>
      </c>
      <c r="F5" s="4019"/>
      <c r="G5" s="3998" t="str">
        <f>商业租金案例截图及地图!H16</f>
        <v>格瑞雅居</v>
      </c>
      <c r="H5" s="3999"/>
      <c r="I5" s="4144" t="s">
        <v>3132</v>
      </c>
      <c r="J5" s="3999"/>
      <c r="K5" s="506"/>
      <c r="L5" s="2013"/>
      <c r="M5" s="2014"/>
      <c r="N5" s="2014"/>
      <c r="O5" s="2014"/>
      <c r="P5" s="3986"/>
      <c r="Q5" s="3987"/>
      <c r="R5" s="3992"/>
      <c r="S5" s="3993"/>
      <c r="T5" s="3992"/>
      <c r="U5" s="3993"/>
      <c r="V5" s="3977"/>
      <c r="W5" s="3977"/>
      <c r="X5" s="1500"/>
      <c r="Y5" s="3992"/>
      <c r="Z5" s="3993"/>
      <c r="AA5" s="3980"/>
      <c r="AB5" s="3977"/>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77"/>
      <c r="AC6" s="3981"/>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4007" t="s">
        <v>522</v>
      </c>
      <c r="Q7" s="4009"/>
      <c r="R7" s="1501" t="s">
        <v>8</v>
      </c>
      <c r="S7" s="1502">
        <f t="shared" ref="S7:S15" si="0">F7</f>
        <v>100</v>
      </c>
      <c r="T7" s="1501" t="s">
        <v>8</v>
      </c>
      <c r="U7" s="1502">
        <f t="shared" ref="U7:U15" si="1">H7</f>
        <v>100</v>
      </c>
      <c r="V7" s="1501" t="s">
        <v>8</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517" t="s">
        <v>3066</v>
      </c>
      <c r="F8" s="514">
        <f>SUMIF(61:61,E8,62:62)-SUMIF(61:61,C8,62:62)+100</f>
        <v>100</v>
      </c>
      <c r="G8" s="517" t="s">
        <v>3066</v>
      </c>
      <c r="H8" s="512">
        <f>SUMIF(61:61,G8,62:62)-SUMIF(61:61,C8,62:62)+100</f>
        <v>100</v>
      </c>
      <c r="I8" s="517" t="s">
        <v>3066</v>
      </c>
      <c r="J8" s="512">
        <f>SUMIF(61:61,I8,62:62)-SUMIF(61:61,C8,62:62)+100</f>
        <v>100</v>
      </c>
      <c r="K8" s="516"/>
      <c r="L8" s="2015"/>
      <c r="M8" s="2016"/>
      <c r="N8" s="2016"/>
      <c r="O8" s="2016"/>
      <c r="P8" s="4007" t="s">
        <v>525</v>
      </c>
      <c r="Q8" s="4008"/>
      <c r="R8" s="1501" t="s">
        <v>8</v>
      </c>
      <c r="S8" s="1502">
        <f t="shared" si="0"/>
        <v>100</v>
      </c>
      <c r="T8" s="1501" t="s">
        <v>8</v>
      </c>
      <c r="U8" s="1502">
        <f t="shared" si="1"/>
        <v>100</v>
      </c>
      <c r="V8" s="1501" t="s">
        <v>8</v>
      </c>
      <c r="W8" s="1502">
        <f t="shared" si="2"/>
        <v>100</v>
      </c>
      <c r="X8" s="1503"/>
      <c r="Y8" s="4007" t="s">
        <v>525</v>
      </c>
      <c r="Z8" s="4008"/>
      <c r="AA8" s="1504">
        <f t="shared" ref="AA8:AA46" si="3">D8/F8</f>
        <v>1</v>
      </c>
      <c r="AB8" s="1504">
        <f t="shared" ref="AB8:AB46" si="4">D8/H8</f>
        <v>1</v>
      </c>
      <c r="AC8" s="1504">
        <f t="shared" ref="AC8:AC46" si="5">D8/J8</f>
        <v>1</v>
      </c>
    </row>
    <row r="9" spans="1:29" s="1201" customFormat="1" ht="15">
      <c r="A9" s="2629"/>
      <c r="B9" s="2636" t="s">
        <v>2734</v>
      </c>
      <c r="C9" s="3325" t="s">
        <v>3086</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3124</v>
      </c>
      <c r="D10" s="251">
        <v>100</v>
      </c>
      <c r="E10" s="848" t="s">
        <v>3125</v>
      </c>
      <c r="F10" s="251">
        <f>SUMIF(65:65,E10,66:66)-SUMIF(65:65,C10,66:66)+100</f>
        <v>98</v>
      </c>
      <c r="G10" s="849" t="s">
        <v>3125</v>
      </c>
      <c r="H10" s="251">
        <f>SUMIF(65:65,G10,66:66)-SUMIF(65:65,C10,66:66)+100</f>
        <v>98</v>
      </c>
      <c r="I10" s="848" t="s">
        <v>3124</v>
      </c>
      <c r="J10" s="251">
        <f>SUMIF(65:65,I10,66:66)-SUMIF(65:65,C10,66:66)+100</f>
        <v>100</v>
      </c>
      <c r="K10" s="576">
        <v>2</v>
      </c>
      <c r="L10" s="2018"/>
      <c r="M10" s="2057"/>
      <c r="N10" s="2057"/>
      <c r="O10" s="2019"/>
      <c r="P10" s="3976"/>
      <c r="Q10" s="1132" t="str">
        <f t="shared" si="6"/>
        <v>土地使用年限（年）</v>
      </c>
      <c r="R10" s="1501" t="s">
        <v>8</v>
      </c>
      <c r="S10" s="1502">
        <f t="shared" si="0"/>
        <v>98</v>
      </c>
      <c r="T10" s="1501" t="s">
        <v>8</v>
      </c>
      <c r="U10" s="1502">
        <f t="shared" si="1"/>
        <v>98</v>
      </c>
      <c r="V10" s="1501" t="s">
        <v>8</v>
      </c>
      <c r="W10" s="1502">
        <f t="shared" si="2"/>
        <v>100</v>
      </c>
      <c r="X10" s="1503"/>
      <c r="Y10" s="3922"/>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76"/>
      <c r="Q11" s="1132" t="str">
        <f t="shared" si="6"/>
        <v>容积率</v>
      </c>
      <c r="R11" s="1501" t="s">
        <v>8</v>
      </c>
      <c r="S11" s="1502">
        <f t="shared" si="0"/>
        <v>100</v>
      </c>
      <c r="T11" s="1501" t="s">
        <v>8</v>
      </c>
      <c r="U11" s="1502">
        <f t="shared" si="1"/>
        <v>100</v>
      </c>
      <c r="V11" s="1501" t="s">
        <v>8</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10" t="s">
        <v>532</v>
      </c>
      <c r="Q15" s="1505" t="str">
        <f t="shared" si="6"/>
        <v>商业繁华度</v>
      </c>
      <c r="R15" s="1506" t="s">
        <v>8</v>
      </c>
      <c r="S15" s="1507">
        <f t="shared" si="0"/>
        <v>100</v>
      </c>
      <c r="T15" s="1506" t="s">
        <v>8</v>
      </c>
      <c r="U15" s="1507">
        <f t="shared" si="1"/>
        <v>100</v>
      </c>
      <c r="V15" s="1506" t="s">
        <v>8</v>
      </c>
      <c r="W15" s="1507">
        <f t="shared" si="2"/>
        <v>100</v>
      </c>
      <c r="X15" s="1500"/>
      <c r="Y15" s="4010" t="s">
        <v>532</v>
      </c>
      <c r="Z15" s="1508" t="str">
        <f t="shared" si="7"/>
        <v>商业繁华度</v>
      </c>
      <c r="AA15" s="1509">
        <f t="shared" si="3"/>
        <v>1</v>
      </c>
      <c r="AB15" s="1509">
        <f t="shared" si="4"/>
        <v>1</v>
      </c>
      <c r="AC15" s="1509">
        <f t="shared" si="5"/>
        <v>1</v>
      </c>
    </row>
    <row r="16" spans="1:29" ht="15">
      <c r="A16" s="524"/>
      <c r="B16" s="856"/>
      <c r="C16" s="568" t="s">
        <v>3071</v>
      </c>
      <c r="D16" s="547"/>
      <c r="E16" s="568" t="s">
        <v>3071</v>
      </c>
      <c r="F16" s="549"/>
      <c r="G16" s="568" t="s">
        <v>3071</v>
      </c>
      <c r="H16" s="551"/>
      <c r="I16" s="568" t="s">
        <v>3071</v>
      </c>
      <c r="J16" s="547"/>
      <c r="K16" s="886"/>
      <c r="L16" s="2022"/>
      <c r="M16" s="2014"/>
      <c r="N16" s="2014"/>
      <c r="O16" s="2021"/>
      <c r="P16" s="4011"/>
      <c r="Q16" s="1505"/>
      <c r="R16" s="1506"/>
      <c r="S16" s="1507"/>
      <c r="T16" s="1506"/>
      <c r="U16" s="1507"/>
      <c r="V16" s="1506"/>
      <c r="W16" s="1507"/>
      <c r="X16" s="1500"/>
      <c r="Y16" s="4011"/>
      <c r="Z16" s="1508"/>
      <c r="AA16" s="1509">
        <v>1</v>
      </c>
      <c r="AB16" s="1509">
        <v>1</v>
      </c>
      <c r="AC16" s="1509">
        <v>1</v>
      </c>
    </row>
    <row r="17" spans="1:29" ht="30" customHeight="1">
      <c r="A17" s="524"/>
      <c r="B17" s="858" t="s">
        <v>294</v>
      </c>
      <c r="C17" s="3378" t="str">
        <f>估价对象房地状况!C6</f>
        <v>周边有通322路、342路、589路、667路、804路、808路、通19路、通41路、通62路等多条公交线路通过，距地铁6号线（北运河西站）约1公里，综合评价交通便捷度较好</v>
      </c>
      <c r="D17" s="3373">
        <v>100</v>
      </c>
      <c r="E17" s="3375"/>
      <c r="F17" s="3379">
        <f>SUMIF(78:78,E18,79:79)-SUMIF(78:78,C18,79:79)+100</f>
        <v>102</v>
      </c>
      <c r="G17" s="3374"/>
      <c r="H17" s="3376">
        <f>SUMIF(78:78,G18,79:79)-SUMIF(78:78,C18,79:79)+100</f>
        <v>102</v>
      </c>
      <c r="I17" s="3375"/>
      <c r="J17" s="3376">
        <f>SUMIF(78:78,I18,79:79)-SUMIF(78:78,C18,79:79)+100</f>
        <v>102</v>
      </c>
      <c r="K17" s="3377">
        <v>2</v>
      </c>
      <c r="L17" s="2022"/>
      <c r="M17" s="2014"/>
      <c r="N17" s="2014"/>
      <c r="O17" s="2021"/>
      <c r="P17" s="4011"/>
      <c r="Q17" s="1505" t="str">
        <f>B17</f>
        <v>交通便捷度</v>
      </c>
      <c r="R17" s="1506" t="s">
        <v>8</v>
      </c>
      <c r="S17" s="1507">
        <f>F17</f>
        <v>102</v>
      </c>
      <c r="T17" s="1506" t="s">
        <v>8</v>
      </c>
      <c r="U17" s="1507">
        <f>H17</f>
        <v>102</v>
      </c>
      <c r="V17" s="1506" t="s">
        <v>8</v>
      </c>
      <c r="W17" s="1507">
        <f>J17</f>
        <v>102</v>
      </c>
      <c r="X17" s="1500"/>
      <c r="Y17" s="4011"/>
      <c r="Z17" s="1508" t="str">
        <f>Q17</f>
        <v>交通便捷度</v>
      </c>
      <c r="AA17" s="1509">
        <f t="shared" si="3"/>
        <v>0.98039215686274506</v>
      </c>
      <c r="AB17" s="1509">
        <f t="shared" si="4"/>
        <v>0.98039215686274506</v>
      </c>
      <c r="AC17" s="1509">
        <f t="shared" si="5"/>
        <v>0.98039215686274506</v>
      </c>
    </row>
    <row r="18" spans="1:29" ht="15">
      <c r="A18" s="524"/>
      <c r="B18" s="587"/>
      <c r="C18" s="860" t="s">
        <v>3070</v>
      </c>
      <c r="D18" s="551"/>
      <c r="E18" s="560" t="s">
        <v>3071</v>
      </c>
      <c r="F18" s="555"/>
      <c r="G18" s="561" t="s">
        <v>3071</v>
      </c>
      <c r="H18" s="547"/>
      <c r="I18" s="560" t="s">
        <v>3071</v>
      </c>
      <c r="J18" s="547"/>
      <c r="K18" s="886"/>
      <c r="L18" s="2022"/>
      <c r="M18" s="2014"/>
      <c r="N18" s="2014"/>
      <c r="O18" s="2021"/>
      <c r="P18" s="4011"/>
      <c r="Q18" s="1505"/>
      <c r="R18" s="1506"/>
      <c r="S18" s="1507"/>
      <c r="T18" s="1506"/>
      <c r="U18" s="1507"/>
      <c r="V18" s="1506"/>
      <c r="W18" s="1507"/>
      <c r="X18" s="1500"/>
      <c r="Y18" s="4011"/>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87"/>
      <c r="C20" s="568" t="s">
        <v>3071</v>
      </c>
      <c r="D20" s="547"/>
      <c r="E20" s="548" t="s">
        <v>3071</v>
      </c>
      <c r="F20" s="549"/>
      <c r="G20" s="550" t="s">
        <v>3071</v>
      </c>
      <c r="H20" s="547"/>
      <c r="I20" s="548" t="s">
        <v>3071</v>
      </c>
      <c r="J20" s="547"/>
      <c r="K20" s="886"/>
      <c r="L20" s="2022"/>
      <c r="M20" s="2014"/>
      <c r="N20" s="2014"/>
      <c r="O20" s="2021"/>
      <c r="P20" s="4011"/>
      <c r="Q20" s="1505"/>
      <c r="R20" s="1506"/>
      <c r="S20" s="1507"/>
      <c r="T20" s="1506"/>
      <c r="U20" s="1507"/>
      <c r="V20" s="1506"/>
      <c r="W20" s="1507"/>
      <c r="X20" s="1500"/>
      <c r="Y20" s="4011"/>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909"/>
      <c r="C22" s="860" t="s">
        <v>3078</v>
      </c>
      <c r="D22" s="547"/>
      <c r="E22" s="568" t="s">
        <v>3078</v>
      </c>
      <c r="F22" s="549"/>
      <c r="G22" s="568" t="s">
        <v>3078</v>
      </c>
      <c r="H22" s="547"/>
      <c r="I22" s="568" t="s">
        <v>3078</v>
      </c>
      <c r="J22" s="547"/>
      <c r="K22" s="2444"/>
      <c r="L22" s="2022"/>
      <c r="M22" s="2014"/>
      <c r="N22" s="2014"/>
      <c r="O22" s="2021"/>
      <c r="P22" s="4011"/>
      <c r="Q22" s="2427"/>
      <c r="R22" s="1506"/>
      <c r="S22" s="1507"/>
      <c r="T22" s="1506"/>
      <c r="U22" s="1507"/>
      <c r="V22" s="1506"/>
      <c r="W22" s="1507"/>
      <c r="X22" s="2429"/>
      <c r="Y22" s="4011"/>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98</v>
      </c>
      <c r="G23" s="556"/>
      <c r="H23" s="551">
        <f>SUMIF(84:84,G24,85:85)-SUMIF(84:84,C24,85:85)+100</f>
        <v>98</v>
      </c>
      <c r="I23" s="554"/>
      <c r="J23" s="551">
        <f>SUMIF(84:84,I24,85:85)-SUMIF(84:84,C24,85:85)+100</f>
        <v>99</v>
      </c>
      <c r="K23" s="885">
        <v>1</v>
      </c>
      <c r="L23" s="2022"/>
      <c r="M23" s="2014"/>
      <c r="N23" s="2014"/>
      <c r="O23" s="2021"/>
      <c r="P23" s="4011"/>
      <c r="Q23" s="1505" t="str">
        <f>B23</f>
        <v>自然及人文环境</v>
      </c>
      <c r="R23" s="1506" t="s">
        <v>8</v>
      </c>
      <c r="S23" s="1507">
        <f>F23</f>
        <v>98</v>
      </c>
      <c r="T23" s="1506" t="s">
        <v>8</v>
      </c>
      <c r="U23" s="1507">
        <f>H23</f>
        <v>98</v>
      </c>
      <c r="V23" s="1506" t="s">
        <v>8</v>
      </c>
      <c r="W23" s="1507">
        <f>J23</f>
        <v>99</v>
      </c>
      <c r="X23" s="1500"/>
      <c r="Y23" s="4011"/>
      <c r="Z23" s="1508" t="str">
        <f>Q23</f>
        <v>自然及人文环境</v>
      </c>
      <c r="AA23" s="1509">
        <f t="shared" si="3"/>
        <v>1.0204081632653061</v>
      </c>
      <c r="AB23" s="1509">
        <f t="shared" si="4"/>
        <v>1.0204081632653061</v>
      </c>
      <c r="AC23" s="1509">
        <f t="shared" si="5"/>
        <v>1.0101010101010102</v>
      </c>
    </row>
    <row r="24" spans="1:29" ht="15">
      <c r="A24" s="524"/>
      <c r="B24" s="587"/>
      <c r="C24" s="568" t="s">
        <v>3077</v>
      </c>
      <c r="D24" s="547"/>
      <c r="E24" s="548" t="s">
        <v>3070</v>
      </c>
      <c r="F24" s="549"/>
      <c r="G24" s="550" t="s">
        <v>3070</v>
      </c>
      <c r="H24" s="547"/>
      <c r="I24" s="548" t="s">
        <v>3071</v>
      </c>
      <c r="J24" s="547"/>
      <c r="K24" s="886"/>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24"/>
      <c r="B25" s="519" t="s">
        <v>539</v>
      </c>
      <c r="C25" s="575" t="s">
        <v>3081</v>
      </c>
      <c r="D25" s="532">
        <v>100</v>
      </c>
      <c r="E25" s="575" t="s">
        <v>3083</v>
      </c>
      <c r="F25" s="567">
        <f>SUMIF(86:86,E25,87:87)-SUMIF(86:86,C25,87:87)+100</f>
        <v>98</v>
      </c>
      <c r="G25" s="575" t="s">
        <v>3083</v>
      </c>
      <c r="H25" s="532">
        <f>SUMIF(86:86,G25,87:87)-SUMIF(86:86,C25,87:87)+100</f>
        <v>98</v>
      </c>
      <c r="I25" s="575" t="s">
        <v>3081</v>
      </c>
      <c r="J25" s="532">
        <f>SUMIF(86:86,I25,87:87)-SUMIF(86:86,C25,87:87)+100</f>
        <v>100</v>
      </c>
      <c r="K25" s="576">
        <v>2</v>
      </c>
      <c r="L25" s="2022"/>
      <c r="M25" s="2014"/>
      <c r="N25" s="2014"/>
      <c r="O25" s="2021"/>
      <c r="P25" s="4011"/>
      <c r="Q25" s="1505" t="str">
        <f t="shared" ref="Q25:Q46" si="11">B25</f>
        <v>临街状况</v>
      </c>
      <c r="R25" s="1506" t="s">
        <v>8</v>
      </c>
      <c r="S25" s="1507">
        <f>F25</f>
        <v>98</v>
      </c>
      <c r="T25" s="1506" t="s">
        <v>8</v>
      </c>
      <c r="U25" s="1507">
        <f>H25</f>
        <v>98</v>
      </c>
      <c r="V25" s="1506" t="s">
        <v>8</v>
      </c>
      <c r="W25" s="1507">
        <f>J25</f>
        <v>100</v>
      </c>
      <c r="X25" s="1500"/>
      <c r="Y25" s="4011"/>
      <c r="Z25" s="1508" t="str">
        <f>Q25</f>
        <v>临街状况</v>
      </c>
      <c r="AA25" s="1509">
        <f t="shared" si="3"/>
        <v>1.0204081632653061</v>
      </c>
      <c r="AB25" s="1509">
        <f t="shared" si="4"/>
        <v>1.0204081632653061</v>
      </c>
      <c r="AC25" s="1509">
        <f t="shared" si="5"/>
        <v>1</v>
      </c>
    </row>
    <row r="26" spans="1:29" ht="15">
      <c r="A26" s="524"/>
      <c r="B26" s="864" t="s">
        <v>750</v>
      </c>
      <c r="C26" s="3337" t="s">
        <v>3087</v>
      </c>
      <c r="D26" s="532">
        <v>100</v>
      </c>
      <c r="E26" s="3337" t="s">
        <v>3087</v>
      </c>
      <c r="F26" s="567">
        <f>SUMIF(88:88,E26,89:89)-SUMIF(88:88,C26,89:89)+100</f>
        <v>100</v>
      </c>
      <c r="G26" s="3337" t="s">
        <v>3087</v>
      </c>
      <c r="H26" s="532">
        <f>SUMIF(88:88,G26,89:89)-SUMIF(88:88,C26,89:89)+100</f>
        <v>100</v>
      </c>
      <c r="I26" s="3337" t="s">
        <v>3087</v>
      </c>
      <c r="J26" s="532">
        <f>SUMIF(88:88,I26,89:89)-SUMIF(88:88,C26,89:89)+100</f>
        <v>100</v>
      </c>
      <c r="K26" s="573"/>
      <c r="L26" s="2022"/>
      <c r="M26" s="2014"/>
      <c r="N26" s="2014"/>
      <c r="O26" s="2021"/>
      <c r="P26" s="4011"/>
      <c r="Q26" s="1505" t="str">
        <f t="shared" si="11"/>
        <v>平面位置/可视性</v>
      </c>
      <c r="R26" s="1506" t="s">
        <v>8</v>
      </c>
      <c r="S26" s="1507">
        <f>F26</f>
        <v>100</v>
      </c>
      <c r="T26" s="1506" t="s">
        <v>8</v>
      </c>
      <c r="U26" s="1507">
        <f>H26</f>
        <v>100</v>
      </c>
      <c r="V26" s="1506" t="s">
        <v>8</v>
      </c>
      <c r="W26" s="1507">
        <f>J26</f>
        <v>100</v>
      </c>
      <c r="X26" s="1500"/>
      <c r="Y26" s="4011"/>
      <c r="Z26" s="1508" t="str">
        <f>Q26</f>
        <v>平面位置/可视性</v>
      </c>
      <c r="AA26" s="1509">
        <f t="shared" si="3"/>
        <v>1</v>
      </c>
      <c r="AB26" s="1509">
        <f t="shared" si="4"/>
        <v>1</v>
      </c>
      <c r="AC26" s="1509">
        <f t="shared" si="5"/>
        <v>1</v>
      </c>
    </row>
    <row r="27" spans="1:29" s="1201" customFormat="1" ht="15.75" thickBot="1">
      <c r="A27" s="528"/>
      <c r="B27" s="858" t="s">
        <v>751</v>
      </c>
      <c r="C27" s="3338" t="s">
        <v>3089</v>
      </c>
      <c r="D27" s="862">
        <v>100</v>
      </c>
      <c r="E27" s="888" t="s">
        <v>3095</v>
      </c>
      <c r="F27" s="863">
        <f>SUMIF(90:90,E27,91:91)-SUMIF(90:90,C27,91:91)+100</f>
        <v>98</v>
      </c>
      <c r="G27" s="888" t="s">
        <v>3095</v>
      </c>
      <c r="H27" s="862">
        <f>SUMIF(90:90,G27,91:91)-SUMIF(90:90,C27,91:91)+100</f>
        <v>98</v>
      </c>
      <c r="I27" s="888" t="s">
        <v>3088</v>
      </c>
      <c r="J27" s="862">
        <f>SUMIF(90:90,I27,91:91)-SUMIF(90:90,C27,91:91)+100</f>
        <v>100</v>
      </c>
      <c r="K27" s="576">
        <v>2</v>
      </c>
      <c r="L27" s="2015"/>
      <c r="M27" s="2016"/>
      <c r="N27" s="2016"/>
      <c r="O27" s="2017"/>
      <c r="P27" s="4011"/>
      <c r="Q27" s="1132" t="str">
        <f t="shared" si="11"/>
        <v>人流量</v>
      </c>
      <c r="R27" s="1501" t="s">
        <v>8</v>
      </c>
      <c r="S27" s="1502">
        <f>F27</f>
        <v>98</v>
      </c>
      <c r="T27" s="1501" t="s">
        <v>8</v>
      </c>
      <c r="U27" s="1502">
        <f>H27</f>
        <v>98</v>
      </c>
      <c r="V27" s="1501" t="s">
        <v>8</v>
      </c>
      <c r="W27" s="1502">
        <f>J27</f>
        <v>100</v>
      </c>
      <c r="X27" s="1503"/>
      <c r="Y27" s="4011"/>
      <c r="Z27" s="1131" t="str">
        <f>Q27</f>
        <v>人流量</v>
      </c>
      <c r="AA27" s="1509">
        <f>D27/F27</f>
        <v>1.0204081632653061</v>
      </c>
      <c r="AB27" s="1509">
        <f>D27/H27</f>
        <v>1.0204081632653061</v>
      </c>
      <c r="AC27" s="1509">
        <f>D27/J27</f>
        <v>1</v>
      </c>
    </row>
    <row r="28" spans="1:29" ht="15" hidden="1">
      <c r="A28" s="524"/>
      <c r="B28" s="519" t="s">
        <v>753</v>
      </c>
      <c r="C28" s="575" t="s">
        <v>3090</v>
      </c>
      <c r="D28" s="532">
        <v>100</v>
      </c>
      <c r="E28" s="575" t="s">
        <v>3100</v>
      </c>
      <c r="F28" s="567">
        <f>SUMIF(92:92,E28,93:93)-SUMIF(92:92,C28,93:93)+100</f>
        <v>100</v>
      </c>
      <c r="G28" s="575" t="s">
        <v>3100</v>
      </c>
      <c r="H28" s="532">
        <f>SUMIF(92:92,G28,93:93)-SUMIF(92:92,C28,93:93)+100</f>
        <v>100</v>
      </c>
      <c r="I28" s="575" t="s">
        <v>3100</v>
      </c>
      <c r="J28" s="532">
        <f>SUMIF(92:92,I28,93:93)-SUMIF(92:92,C28,93:93)+100</f>
        <v>100</v>
      </c>
      <c r="K28" s="573"/>
      <c r="L28" s="2022"/>
      <c r="M28" s="2014"/>
      <c r="N28" s="2014"/>
      <c r="O28" s="2021"/>
      <c r="P28" s="401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11"/>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11"/>
      <c r="Q29" s="1505">
        <f t="shared" si="11"/>
        <v>111</v>
      </c>
      <c r="R29" s="1506" t="s">
        <v>8</v>
      </c>
      <c r="S29" s="1507">
        <f t="shared" si="12"/>
        <v>100</v>
      </c>
      <c r="T29" s="1506" t="s">
        <v>8</v>
      </c>
      <c r="U29" s="1507">
        <f t="shared" si="13"/>
        <v>100</v>
      </c>
      <c r="V29" s="1506" t="s">
        <v>8</v>
      </c>
      <c r="W29" s="1507">
        <f t="shared" si="14"/>
        <v>100</v>
      </c>
      <c r="X29" s="1500"/>
      <c r="Y29" s="4011"/>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11"/>
      <c r="Q30" s="1505">
        <f t="shared" si="11"/>
        <v>111</v>
      </c>
      <c r="R30" s="1506" t="s">
        <v>8</v>
      </c>
      <c r="S30" s="1507">
        <f t="shared" si="12"/>
        <v>100</v>
      </c>
      <c r="T30" s="1506" t="s">
        <v>8</v>
      </c>
      <c r="U30" s="1507">
        <f t="shared" si="13"/>
        <v>100</v>
      </c>
      <c r="V30" s="1506" t="s">
        <v>8</v>
      </c>
      <c r="W30" s="1507">
        <f t="shared" si="14"/>
        <v>100</v>
      </c>
      <c r="X30" s="1500"/>
      <c r="Y30" s="4011"/>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11"/>
      <c r="Q31" s="1505">
        <f t="shared" si="11"/>
        <v>111</v>
      </c>
      <c r="R31" s="1506" t="s">
        <v>8</v>
      </c>
      <c r="S31" s="1507">
        <f t="shared" si="12"/>
        <v>100</v>
      </c>
      <c r="T31" s="1506" t="s">
        <v>8</v>
      </c>
      <c r="U31" s="1507">
        <f t="shared" si="13"/>
        <v>100</v>
      </c>
      <c r="V31" s="1506" t="s">
        <v>8</v>
      </c>
      <c r="W31" s="1507">
        <f t="shared" si="14"/>
        <v>100</v>
      </c>
      <c r="X31" s="1500"/>
      <c r="Y31" s="4011"/>
      <c r="Z31" s="1508">
        <f t="shared" si="15"/>
        <v>111</v>
      </c>
      <c r="AA31" s="1509">
        <f t="shared" si="3"/>
        <v>1</v>
      </c>
      <c r="AB31" s="1509">
        <f t="shared" si="4"/>
        <v>1</v>
      </c>
      <c r="AC31" s="1509">
        <f t="shared" si="5"/>
        <v>1</v>
      </c>
    </row>
    <row r="32" spans="1:29" ht="27">
      <c r="A32" s="2622" t="s">
        <v>2733</v>
      </c>
      <c r="B32" s="169" t="s">
        <v>754</v>
      </c>
      <c r="C32" s="865" t="s">
        <v>3152</v>
      </c>
      <c r="D32" s="589">
        <v>100</v>
      </c>
      <c r="E32" s="865" t="s">
        <v>3105</v>
      </c>
      <c r="F32" s="567">
        <f>SUMIF(100:100,E32,101:101)-SUMIF(100:100,C32,101:101)+100</f>
        <v>99</v>
      </c>
      <c r="G32" s="865" t="s">
        <v>3105</v>
      </c>
      <c r="H32" s="532">
        <f>SUMIF(100:100,G32,101:101)-SUMIF(100:100,C32,101:101)+100</f>
        <v>99</v>
      </c>
      <c r="I32" s="865" t="s">
        <v>3101</v>
      </c>
      <c r="J32" s="589">
        <f>SUMIF(100:100,I32,101:101)-SUMIF(100:100,C32,101:101)+100</f>
        <v>102</v>
      </c>
      <c r="K32" s="576">
        <v>1</v>
      </c>
      <c r="L32" s="2022"/>
      <c r="M32" s="2014"/>
      <c r="N32" s="2014"/>
      <c r="O32" s="2021"/>
      <c r="P32" s="4012" t="s">
        <v>542</v>
      </c>
      <c r="Q32" s="1505" t="str">
        <f t="shared" si="11"/>
        <v>商业类型</v>
      </c>
      <c r="R32" s="1506" t="s">
        <v>8</v>
      </c>
      <c r="S32" s="1507">
        <f t="shared" si="12"/>
        <v>99</v>
      </c>
      <c r="T32" s="1506" t="s">
        <v>8</v>
      </c>
      <c r="U32" s="1507">
        <f t="shared" si="13"/>
        <v>99</v>
      </c>
      <c r="V32" s="1506" t="s">
        <v>8</v>
      </c>
      <c r="W32" s="1507">
        <f t="shared" si="14"/>
        <v>102</v>
      </c>
      <c r="X32" s="1500"/>
      <c r="Y32" s="4013" t="s">
        <v>542</v>
      </c>
      <c r="Z32" s="1508" t="str">
        <f t="shared" si="15"/>
        <v>商业类型</v>
      </c>
      <c r="AA32" s="1509">
        <f t="shared" si="3"/>
        <v>1.0101010101010102</v>
      </c>
      <c r="AB32" s="1509">
        <f t="shared" si="4"/>
        <v>1.0101010101010102</v>
      </c>
      <c r="AC32" s="1509">
        <f t="shared" si="5"/>
        <v>0.98039215686274506</v>
      </c>
    </row>
    <row r="33" spans="1:29" s="1291" customFormat="1" ht="15">
      <c r="A33" s="595"/>
      <c r="B33" s="519" t="s">
        <v>718</v>
      </c>
      <c r="C33" s="867">
        <f>剩余法商业!C9</f>
        <v>306100</v>
      </c>
      <c r="D33" s="251">
        <v>100</v>
      </c>
      <c r="E33" s="526">
        <v>3500</v>
      </c>
      <c r="F33" s="850">
        <f>LOOKUP(E33,103:103,104:104)-LOOKUP(C33,103:103,104:104)+100</f>
        <v>110</v>
      </c>
      <c r="G33" s="525">
        <v>60</v>
      </c>
      <c r="H33" s="251">
        <f>LOOKUP(G33,103:103,104:104)-LOOKUP(C33,103:103,104:104)+100</f>
        <v>110</v>
      </c>
      <c r="I33" s="525">
        <v>90</v>
      </c>
      <c r="J33" s="251">
        <f>LOOKUP(I33,103:103,104:104)-LOOKUP(C33,103:103,104:104)+100</f>
        <v>110</v>
      </c>
      <c r="K33" s="573"/>
      <c r="L33" s="2020"/>
      <c r="M33" s="2050"/>
      <c r="N33" s="2050"/>
      <c r="O33" s="2023"/>
      <c r="P33" s="4013"/>
      <c r="Q33" s="1534" t="str">
        <f t="shared" si="11"/>
        <v>项目建筑规模</v>
      </c>
      <c r="R33" s="1510" t="s">
        <v>8</v>
      </c>
      <c r="S33" s="1511">
        <f t="shared" si="12"/>
        <v>110</v>
      </c>
      <c r="T33" s="1510" t="s">
        <v>8</v>
      </c>
      <c r="U33" s="1511">
        <f t="shared" si="13"/>
        <v>110</v>
      </c>
      <c r="V33" s="1510" t="s">
        <v>8</v>
      </c>
      <c r="W33" s="1511">
        <f t="shared" si="14"/>
        <v>110</v>
      </c>
      <c r="X33" s="1512"/>
      <c r="Y33" s="4013"/>
      <c r="Z33" s="1513" t="str">
        <f t="shared" si="15"/>
        <v>项目建筑规模</v>
      </c>
      <c r="AA33" s="1509">
        <f t="shared" si="3"/>
        <v>0.90909090909090906</v>
      </c>
      <c r="AB33" s="1509">
        <f t="shared" si="4"/>
        <v>0.90909090909090906</v>
      </c>
      <c r="AC33" s="1509">
        <f t="shared" si="5"/>
        <v>0.90909090909090906</v>
      </c>
    </row>
    <row r="34" spans="1:29" ht="15">
      <c r="A34" s="586"/>
      <c r="B34" s="519" t="s">
        <v>719</v>
      </c>
      <c r="C34" s="868" t="s">
        <v>3076</v>
      </c>
      <c r="D34" s="532">
        <v>100</v>
      </c>
      <c r="E34" s="3342" t="s">
        <v>3126</v>
      </c>
      <c r="F34" s="567">
        <f>SUMIF(105:105,E34,106:106)-SUMIF(105:105,C34,106:106)+100</f>
        <v>100</v>
      </c>
      <c r="G34" s="3343" t="s">
        <v>3128</v>
      </c>
      <c r="H34" s="532">
        <f>SUMIF(105:105,G34,106:106)-SUMIF(105:105,C34,106:106)+100</f>
        <v>100</v>
      </c>
      <c r="I34" s="3343" t="s">
        <v>3107</v>
      </c>
      <c r="J34" s="532">
        <f>SUMIF(105:105,I34,106:106)-SUMIF(105:105,C34,106:106)+100</f>
        <v>100</v>
      </c>
      <c r="K34" s="576"/>
      <c r="L34" s="2022"/>
      <c r="M34" s="2014"/>
      <c r="N34" s="2014"/>
      <c r="O34" s="2021"/>
      <c r="P34" s="4013"/>
      <c r="Q34" s="1505" t="str">
        <f t="shared" si="11"/>
        <v>建筑结构</v>
      </c>
      <c r="R34" s="1506" t="s">
        <v>8</v>
      </c>
      <c r="S34" s="1507">
        <f t="shared" si="12"/>
        <v>100</v>
      </c>
      <c r="T34" s="1506" t="s">
        <v>8</v>
      </c>
      <c r="U34" s="1507">
        <f t="shared" si="13"/>
        <v>100</v>
      </c>
      <c r="V34" s="1506" t="s">
        <v>8</v>
      </c>
      <c r="W34" s="1507">
        <f t="shared" si="14"/>
        <v>100</v>
      </c>
      <c r="X34" s="1500"/>
      <c r="Y34" s="4013"/>
      <c r="Z34" s="1508" t="str">
        <f t="shared" si="15"/>
        <v>建筑结构</v>
      </c>
      <c r="AA34" s="1509">
        <f t="shared" si="3"/>
        <v>1</v>
      </c>
      <c r="AB34" s="1509">
        <f t="shared" si="4"/>
        <v>1</v>
      </c>
      <c r="AC34" s="1509">
        <f t="shared" si="5"/>
        <v>1</v>
      </c>
    </row>
    <row r="35" spans="1:29" s="3359" customFormat="1" ht="15">
      <c r="A35" s="3344"/>
      <c r="B35" s="3345" t="s">
        <v>755</v>
      </c>
      <c r="C35" s="3346" t="s">
        <v>3109</v>
      </c>
      <c r="D35" s="3347">
        <v>100</v>
      </c>
      <c r="E35" s="3346" t="s">
        <v>3109</v>
      </c>
      <c r="F35" s="3348">
        <f>SUMIF(107:107,E35,108:108)-SUMIF(107:107,C35,108:108)+100</f>
        <v>100</v>
      </c>
      <c r="G35" s="3346" t="s">
        <v>3109</v>
      </c>
      <c r="H35" s="3347">
        <f>SUMIF(107:107,G35,108:108)-SUMIF(107:107,C35,108:108)+100</f>
        <v>100</v>
      </c>
      <c r="I35" s="3346" t="s">
        <v>3109</v>
      </c>
      <c r="J35" s="3347">
        <f>SUMIF(107:107,I35,108:108)-SUMIF(107:107,C35,108:108)+100</f>
        <v>100</v>
      </c>
      <c r="K35" s="3349"/>
      <c r="L35" s="3350"/>
      <c r="M35" s="3351"/>
      <c r="N35" s="3351"/>
      <c r="O35" s="3352"/>
      <c r="P35" s="4013"/>
      <c r="Q35" s="3353" t="str">
        <f t="shared" si="11"/>
        <v>公共部分装修</v>
      </c>
      <c r="R35" s="3354" t="s">
        <v>8</v>
      </c>
      <c r="S35" s="3355">
        <f t="shared" si="12"/>
        <v>100</v>
      </c>
      <c r="T35" s="3354" t="s">
        <v>8</v>
      </c>
      <c r="U35" s="3355">
        <f t="shared" si="13"/>
        <v>100</v>
      </c>
      <c r="V35" s="3354" t="s">
        <v>8</v>
      </c>
      <c r="W35" s="3355">
        <f t="shared" si="14"/>
        <v>100</v>
      </c>
      <c r="X35" s="3356"/>
      <c r="Y35" s="4013"/>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13"/>
      <c r="Q36" s="1505" t="str">
        <f t="shared" si="11"/>
        <v>成新度</v>
      </c>
      <c r="R36" s="1506" t="s">
        <v>8</v>
      </c>
      <c r="S36" s="1507">
        <f t="shared" si="12"/>
        <v>98</v>
      </c>
      <c r="T36" s="1506" t="s">
        <v>8</v>
      </c>
      <c r="U36" s="1507">
        <f t="shared" si="13"/>
        <v>98</v>
      </c>
      <c r="V36" s="1506" t="s">
        <v>8</v>
      </c>
      <c r="W36" s="1507">
        <f t="shared" si="14"/>
        <v>99</v>
      </c>
      <c r="X36" s="1500"/>
      <c r="Y36" s="4013"/>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3078</v>
      </c>
      <c r="D37" s="251">
        <v>100</v>
      </c>
      <c r="E37" s="591" t="s">
        <v>3078</v>
      </c>
      <c r="F37" s="567">
        <f>SUMIF(112:112,E37,113:113)-SUMIF(112:112,C37,113:113)+100</f>
        <v>100</v>
      </c>
      <c r="G37" s="591" t="s">
        <v>3078</v>
      </c>
      <c r="H37" s="532">
        <f>SUMIF(112:112,G37,113:113)-SUMIF(112:112,C37,113:113)+100</f>
        <v>100</v>
      </c>
      <c r="I37" s="591" t="s">
        <v>3078</v>
      </c>
      <c r="J37" s="532">
        <f>SUMIF(112:112,I37,113:113)-SUMIF(112:112,C37,113:113)+100</f>
        <v>100</v>
      </c>
      <c r="K37" s="576">
        <v>1</v>
      </c>
      <c r="L37" s="2015"/>
      <c r="M37" s="2016"/>
      <c r="N37" s="2016"/>
      <c r="O37" s="2017"/>
      <c r="P37" s="4013"/>
      <c r="Q37" s="1132" t="str">
        <f t="shared" si="11"/>
        <v>市政基础设施</v>
      </c>
      <c r="R37" s="1501" t="s">
        <v>8</v>
      </c>
      <c r="S37" s="1502">
        <f t="shared" si="12"/>
        <v>100</v>
      </c>
      <c r="T37" s="1501" t="s">
        <v>8</v>
      </c>
      <c r="U37" s="1502">
        <f t="shared" si="13"/>
        <v>100</v>
      </c>
      <c r="V37" s="1501" t="s">
        <v>8</v>
      </c>
      <c r="W37" s="1502">
        <f t="shared" si="14"/>
        <v>100</v>
      </c>
      <c r="X37" s="1503"/>
      <c r="Y37" s="4013"/>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13" t="s">
        <v>758</v>
      </c>
      <c r="Q38" s="1505" t="str">
        <f t="shared" si="11"/>
        <v>业态</v>
      </c>
      <c r="R38" s="1506" t="s">
        <v>8</v>
      </c>
      <c r="S38" s="1507">
        <f t="shared" si="12"/>
        <v>100</v>
      </c>
      <c r="T38" s="1506" t="s">
        <v>8</v>
      </c>
      <c r="U38" s="1507">
        <f t="shared" si="13"/>
        <v>100</v>
      </c>
      <c r="V38" s="1506" t="s">
        <v>8</v>
      </c>
      <c r="W38" s="1507">
        <f t="shared" si="14"/>
        <v>100</v>
      </c>
      <c r="X38" s="1500"/>
      <c r="Y38" s="4013" t="s">
        <v>758</v>
      </c>
      <c r="Z38" s="1508" t="str">
        <f t="shared" si="15"/>
        <v>业态</v>
      </c>
      <c r="AA38" s="1509">
        <f t="shared" si="3"/>
        <v>1</v>
      </c>
      <c r="AB38" s="1509">
        <f t="shared" si="4"/>
        <v>1</v>
      </c>
      <c r="AC38" s="1509">
        <f t="shared" si="5"/>
        <v>1</v>
      </c>
    </row>
    <row r="39" spans="1:29" ht="15">
      <c r="A39" s="586"/>
      <c r="B39" s="519" t="s">
        <v>759</v>
      </c>
      <c r="C39" s="591" t="s">
        <v>3122</v>
      </c>
      <c r="D39" s="532">
        <v>100</v>
      </c>
      <c r="E39" s="591" t="s">
        <v>3122</v>
      </c>
      <c r="F39" s="567">
        <f>SUMIF(116:116,E39,117:117)-SUMIF(116:116,C39,117:117)+100</f>
        <v>100</v>
      </c>
      <c r="G39" s="591" t="s">
        <v>3122</v>
      </c>
      <c r="H39" s="532">
        <f>SUMIF(116:116,G39,117:117)-SUMIF(116:116,C39,117:117)+100</f>
        <v>100</v>
      </c>
      <c r="I39" s="591" t="s">
        <v>3122</v>
      </c>
      <c r="J39" s="532">
        <f>SUMIF(116:116,I39,117:117)-SUMIF(116:116,C39,117:117)+100</f>
        <v>100</v>
      </c>
      <c r="K39" s="576"/>
      <c r="L39" s="2022"/>
      <c r="M39" s="2014"/>
      <c r="N39" s="2014"/>
      <c r="O39" s="2021"/>
      <c r="P39" s="4013"/>
      <c r="Q39" s="1505" t="str">
        <f t="shared" si="11"/>
        <v>层高</v>
      </c>
      <c r="R39" s="1506" t="s">
        <v>8</v>
      </c>
      <c r="S39" s="1507">
        <f t="shared" si="12"/>
        <v>100</v>
      </c>
      <c r="T39" s="1506" t="s">
        <v>8</v>
      </c>
      <c r="U39" s="1507">
        <f t="shared" si="13"/>
        <v>100</v>
      </c>
      <c r="V39" s="1506" t="s">
        <v>8</v>
      </c>
      <c r="W39" s="1507">
        <f t="shared" si="14"/>
        <v>100</v>
      </c>
      <c r="X39" s="1500"/>
      <c r="Y39" s="4013"/>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13"/>
      <c r="Q40" s="1505" t="str">
        <f t="shared" si="11"/>
        <v>单套建筑面积</v>
      </c>
      <c r="R40" s="1506" t="s">
        <v>8</v>
      </c>
      <c r="S40" s="1507">
        <f t="shared" si="12"/>
        <v>100</v>
      </c>
      <c r="T40" s="1506" t="s">
        <v>8</v>
      </c>
      <c r="U40" s="1507">
        <f t="shared" si="13"/>
        <v>100</v>
      </c>
      <c r="V40" s="1506" t="s">
        <v>8</v>
      </c>
      <c r="W40" s="1507">
        <f t="shared" si="14"/>
        <v>100</v>
      </c>
      <c r="X40" s="1500"/>
      <c r="Y40" s="4013"/>
      <c r="Z40" s="1508" t="str">
        <f t="shared" si="15"/>
        <v>单套建筑面积</v>
      </c>
      <c r="AA40" s="1509">
        <f t="shared" si="3"/>
        <v>1</v>
      </c>
      <c r="AB40" s="1509">
        <f t="shared" si="4"/>
        <v>1</v>
      </c>
      <c r="AC40" s="1509">
        <f t="shared" si="5"/>
        <v>1</v>
      </c>
    </row>
    <row r="41" spans="1:29" s="1291" customFormat="1" ht="15">
      <c r="A41" s="595"/>
      <c r="B41" s="891" t="s">
        <v>761</v>
      </c>
      <c r="C41" s="575" t="s">
        <v>3071</v>
      </c>
      <c r="D41" s="532">
        <v>100</v>
      </c>
      <c r="E41" s="575" t="s">
        <v>3071</v>
      </c>
      <c r="F41" s="567">
        <f>SUMIF(120:120,E41,121:121)-SUMIF(120:120,C41,121:121)+100</f>
        <v>100</v>
      </c>
      <c r="G41" s="575" t="s">
        <v>3071</v>
      </c>
      <c r="H41" s="532">
        <f>SUMIF(120:120,G41,121:121)-SUMIF(120:120,C41,121:121)+100</f>
        <v>100</v>
      </c>
      <c r="I41" s="575" t="s">
        <v>3071</v>
      </c>
      <c r="J41" s="532">
        <f>SUMIF(120:120,I41,121:121)-SUMIF(120:120,C41,121:121)+100</f>
        <v>100</v>
      </c>
      <c r="K41" s="576"/>
      <c r="L41" s="2020"/>
      <c r="M41" s="2050"/>
      <c r="N41" s="2050"/>
      <c r="O41" s="2023"/>
      <c r="P41" s="4013"/>
      <c r="Q41" s="1534" t="str">
        <f t="shared" si="11"/>
        <v>进深比</v>
      </c>
      <c r="R41" s="1510" t="s">
        <v>8</v>
      </c>
      <c r="S41" s="1511">
        <f t="shared" si="12"/>
        <v>100</v>
      </c>
      <c r="T41" s="1510" t="s">
        <v>8</v>
      </c>
      <c r="U41" s="1511">
        <f t="shared" si="13"/>
        <v>100</v>
      </c>
      <c r="V41" s="1510" t="s">
        <v>8</v>
      </c>
      <c r="W41" s="1511">
        <f t="shared" si="14"/>
        <v>100</v>
      </c>
      <c r="X41" s="1512"/>
      <c r="Y41" s="4013"/>
      <c r="Z41" s="1513" t="str">
        <f t="shared" si="15"/>
        <v>进深比</v>
      </c>
      <c r="AA41" s="1509">
        <f t="shared" si="3"/>
        <v>1</v>
      </c>
      <c r="AB41" s="1509">
        <f t="shared" si="4"/>
        <v>1</v>
      </c>
      <c r="AC41" s="1509">
        <f t="shared" si="5"/>
        <v>1</v>
      </c>
    </row>
    <row r="42" spans="1:29" ht="15.75" thickBot="1">
      <c r="A42" s="586"/>
      <c r="B42" s="519" t="s">
        <v>762</v>
      </c>
      <c r="C42" s="591" t="s">
        <v>3114</v>
      </c>
      <c r="D42" s="532">
        <v>100</v>
      </c>
      <c r="E42" s="591" t="s">
        <v>3109</v>
      </c>
      <c r="F42" s="567">
        <f>SUMIF(122:122,E42,123:123)-SUMIF(122:122,C42,123:123)+100</f>
        <v>109</v>
      </c>
      <c r="G42" s="591" t="s">
        <v>3109</v>
      </c>
      <c r="H42" s="532">
        <f>SUMIF(122:122,G42,123:123)-SUMIF(122:122,C42,123:123)+100</f>
        <v>109</v>
      </c>
      <c r="I42" s="591" t="s">
        <v>3114</v>
      </c>
      <c r="J42" s="532">
        <f>SUMIF(122:122,I42,123:123)-SUMIF(122:122,C42,123:123)+100</f>
        <v>100</v>
      </c>
      <c r="K42" s="576">
        <v>3</v>
      </c>
      <c r="L42" s="2022"/>
      <c r="M42" s="2014"/>
      <c r="N42" s="2014"/>
      <c r="O42" s="2021"/>
      <c r="P42" s="4013"/>
      <c r="Q42" s="1505" t="str">
        <f t="shared" si="11"/>
        <v>内部装修</v>
      </c>
      <c r="R42" s="1506" t="s">
        <v>8</v>
      </c>
      <c r="S42" s="1507">
        <f t="shared" si="12"/>
        <v>109</v>
      </c>
      <c r="T42" s="1506" t="s">
        <v>8</v>
      </c>
      <c r="U42" s="1507">
        <f t="shared" si="13"/>
        <v>109</v>
      </c>
      <c r="V42" s="1506" t="s">
        <v>8</v>
      </c>
      <c r="W42" s="1507">
        <f t="shared" si="14"/>
        <v>100</v>
      </c>
      <c r="X42" s="1500"/>
      <c r="Y42" s="4013"/>
      <c r="Z42" s="1508" t="str">
        <f t="shared" si="15"/>
        <v>内部装修</v>
      </c>
      <c r="AA42" s="1509">
        <f t="shared" si="3"/>
        <v>0.91743119266055051</v>
      </c>
      <c r="AB42" s="1509">
        <f t="shared" si="4"/>
        <v>0.91743119266055051</v>
      </c>
      <c r="AC42" s="1509">
        <f t="shared" si="5"/>
        <v>1</v>
      </c>
    </row>
    <row r="43" spans="1:29" ht="27.75" hidden="1" thickBot="1">
      <c r="A43" s="586"/>
      <c r="B43" s="519" t="s">
        <v>727</v>
      </c>
      <c r="C43" s="591" t="s">
        <v>3071</v>
      </c>
      <c r="D43" s="532">
        <v>100</v>
      </c>
      <c r="E43" s="591" t="s">
        <v>3071</v>
      </c>
      <c r="F43" s="567">
        <f>SUMIF(124:124,E43,125:125)-SUMIF(124:124,C43,125:125)+100</f>
        <v>100</v>
      </c>
      <c r="G43" s="591" t="s">
        <v>3071</v>
      </c>
      <c r="H43" s="532">
        <f>SUMIF(124:124,G43,125:125)-SUMIF(124:124,C43,125:125)+100</f>
        <v>100</v>
      </c>
      <c r="I43" s="591" t="s">
        <v>3071</v>
      </c>
      <c r="J43" s="532">
        <f>SUMIF(124:124,I43,125:125)-SUMIF(124:124,C43,125:125)+100</f>
        <v>100</v>
      </c>
      <c r="K43" s="576">
        <v>1</v>
      </c>
      <c r="L43" s="2022"/>
      <c r="M43" s="2014"/>
      <c r="N43" s="2014"/>
      <c r="O43" s="2021"/>
      <c r="P43" s="4013"/>
      <c r="Q43" s="1505" t="str">
        <f t="shared" si="11"/>
        <v>内部装修维护情况</v>
      </c>
      <c r="R43" s="1506" t="s">
        <v>8</v>
      </c>
      <c r="S43" s="1507">
        <f t="shared" si="12"/>
        <v>100</v>
      </c>
      <c r="T43" s="1506" t="s">
        <v>8</v>
      </c>
      <c r="U43" s="1507">
        <f t="shared" si="13"/>
        <v>100</v>
      </c>
      <c r="V43" s="1506" t="s">
        <v>8</v>
      </c>
      <c r="W43" s="1507">
        <f t="shared" si="14"/>
        <v>100</v>
      </c>
      <c r="X43" s="1500"/>
      <c r="Y43" s="4013"/>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13"/>
      <c r="Q44" s="1132">
        <f t="shared" si="11"/>
        <v>111</v>
      </c>
      <c r="R44" s="1501" t="s">
        <v>8</v>
      </c>
      <c r="S44" s="1502">
        <f t="shared" si="12"/>
        <v>100</v>
      </c>
      <c r="T44" s="1501" t="s">
        <v>8</v>
      </c>
      <c r="U44" s="1502">
        <f t="shared" si="13"/>
        <v>100</v>
      </c>
      <c r="V44" s="1501" t="s">
        <v>8</v>
      </c>
      <c r="W44" s="1502">
        <f t="shared" si="14"/>
        <v>100</v>
      </c>
      <c r="X44" s="1503"/>
      <c r="Y44" s="4013"/>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13"/>
      <c r="Q45" s="1505">
        <f t="shared" si="11"/>
        <v>111</v>
      </c>
      <c r="R45" s="1506" t="s">
        <v>8</v>
      </c>
      <c r="S45" s="1507">
        <f t="shared" si="12"/>
        <v>100</v>
      </c>
      <c r="T45" s="1506" t="s">
        <v>8</v>
      </c>
      <c r="U45" s="1507">
        <f t="shared" si="13"/>
        <v>100</v>
      </c>
      <c r="V45" s="1506" t="s">
        <v>8</v>
      </c>
      <c r="W45" s="1507">
        <f t="shared" si="14"/>
        <v>100</v>
      </c>
      <c r="X45" s="1500"/>
      <c r="Y45" s="4013"/>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135"/>
      <c r="Q46" s="1505">
        <f t="shared" si="11"/>
        <v>111</v>
      </c>
      <c r="R46" s="1506" t="s">
        <v>8</v>
      </c>
      <c r="S46" s="1507">
        <f t="shared" si="12"/>
        <v>100</v>
      </c>
      <c r="T46" s="1506" t="s">
        <v>8</v>
      </c>
      <c r="U46" s="1507">
        <f t="shared" si="13"/>
        <v>100</v>
      </c>
      <c r="V46" s="1506" t="s">
        <v>8</v>
      </c>
      <c r="W46" s="1507">
        <f t="shared" si="14"/>
        <v>100</v>
      </c>
      <c r="X46" s="1500"/>
      <c r="Y46" s="4135"/>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8</v>
      </c>
      <c r="H47" s="2473"/>
      <c r="I47" s="2470">
        <v>7.1</v>
      </c>
      <c r="J47" s="2473"/>
      <c r="K47" s="1539"/>
      <c r="L47" s="2024"/>
      <c r="M47" s="2025"/>
      <c r="N47" s="2014"/>
      <c r="O47" s="2025"/>
      <c r="P47" s="3976" t="str">
        <f>A47</f>
        <v>成交单价（元/平方米）</v>
      </c>
      <c r="Q47" s="3976"/>
      <c r="R47" s="4134">
        <f>E47</f>
        <v>6.76</v>
      </c>
      <c r="S47" s="4134"/>
      <c r="T47" s="4134">
        <f>G47</f>
        <v>8</v>
      </c>
      <c r="U47" s="4134"/>
      <c r="V47" s="4134">
        <f>I47</f>
        <v>7.1</v>
      </c>
      <c r="W47" s="4134"/>
      <c r="X47" s="1495"/>
      <c r="Y47" s="1514"/>
      <c r="Z47" s="1495"/>
      <c r="AA47" s="1495"/>
      <c r="AB47" s="1495"/>
      <c r="AC47" s="1495"/>
    </row>
    <row r="48" spans="1:29" ht="26.25" thickBot="1">
      <c r="A48" s="607" t="s">
        <v>2738</v>
      </c>
      <c r="B48" s="875"/>
      <c r="C48" s="2474">
        <f>R49</f>
        <v>6.6</v>
      </c>
      <c r="D48" s="3003" t="s">
        <v>2963</v>
      </c>
      <c r="E48" s="2475">
        <f>R48</f>
        <v>6.2</v>
      </c>
      <c r="F48" s="3004"/>
      <c r="G48" s="2474">
        <f>T48</f>
        <v>7.3</v>
      </c>
      <c r="H48" s="3004"/>
      <c r="I48" s="2475">
        <f>V48</f>
        <v>6.3</v>
      </c>
      <c r="J48" s="3004"/>
      <c r="K48" s="3012">
        <f>F48+H48+J48</f>
        <v>0</v>
      </c>
      <c r="L48" s="2024"/>
      <c r="M48" s="2025"/>
      <c r="N48" s="2014"/>
      <c r="O48" s="2025"/>
      <c r="P48" s="3976" t="str">
        <f>A48</f>
        <v>比较价格（元/平方米）</v>
      </c>
      <c r="Q48" s="3976"/>
      <c r="R48" s="4134">
        <f>IF(F1="售价",ROUND(PRODUCT(R47,AA7:AA46),0),ROUND(PRODUCT(R47,AA7:AA46),1))</f>
        <v>6.2</v>
      </c>
      <c r="S48" s="4134"/>
      <c r="T48" s="4134">
        <f>IF(F1="售价",ROUND(PRODUCT(T47,AB7:AB46),0),ROUND(PRODUCT(T47,AB7:AB46),1))</f>
        <v>7.3</v>
      </c>
      <c r="U48" s="4134"/>
      <c r="V48" s="4134">
        <f>IF(F1="售价",ROUND(PRODUCT(V47,AC7:AC46),0),ROUND(PRODUCT(V47,AC7:AC46),1))</f>
        <v>6.3</v>
      </c>
      <c r="W48" s="4134"/>
      <c r="X48" s="1495"/>
      <c r="Y48" s="1495"/>
      <c r="Z48" s="1495"/>
      <c r="AA48" s="1495"/>
      <c r="AB48" s="1495"/>
      <c r="AC48" s="1495"/>
    </row>
    <row r="49" spans="1:29" ht="15.75" thickBot="1">
      <c r="A49" s="611" t="s">
        <v>2898</v>
      </c>
      <c r="B49" s="612"/>
      <c r="C49" s="2476">
        <f>R49</f>
        <v>6.6</v>
      </c>
      <c r="D49" s="2476"/>
      <c r="E49" s="2476"/>
      <c r="F49" s="2476"/>
      <c r="G49" s="2476"/>
      <c r="H49" s="2476"/>
      <c r="I49" s="2476"/>
      <c r="J49" s="2476"/>
      <c r="K49" s="1540"/>
      <c r="L49" s="2024"/>
      <c r="M49" s="2025"/>
      <c r="N49" s="2014"/>
      <c r="O49" s="2025"/>
      <c r="P49" s="3973" t="str">
        <f>A49</f>
        <v>估价对象XX用房的比较价格（楼面单价，元/平方米）</v>
      </c>
      <c r="Q49" s="3974"/>
      <c r="R49" s="4133">
        <f>IF(F1="售价",ROUND(IF(D48="简单平均",AVERAGE(R48:V48),R48*F48+T48*H48+V48*J48),0),ROUND(IF(D48="简单平均",AVERAGE(R48:V48),R48*F48+T48*H48+V48*J48),1))</f>
        <v>6.6</v>
      </c>
      <c r="S49" s="4133"/>
      <c r="T49" s="4133"/>
      <c r="U49" s="4133"/>
      <c r="V49" s="4133"/>
      <c r="W49" s="4133"/>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9.0322580645161299E-2</v>
      </c>
      <c r="F52" s="617" t="str">
        <f>IF(OR(E52&gt;=0.3,E52&lt;=-0.3),"超过30%","")</f>
        <v/>
      </c>
      <c r="G52" s="616">
        <f>IF(G47&lt;G48,G48/G47-1,G47/G48-1)</f>
        <v>9.5890410958904049E-2</v>
      </c>
      <c r="H52" s="617" t="str">
        <f>IF(OR(G52&gt;=0.3,G52&lt;=-0.3),"超过30%","")</f>
        <v/>
      </c>
      <c r="I52" s="616">
        <f>IF(I47&lt;I48,I48/I47-1,I47/I48-1)</f>
        <v>0.12698412698412698</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0.17741935483870952</v>
      </c>
      <c r="F53" s="617" t="str">
        <f>IF(OR(E53&gt;=0.2,E53&lt;=-0.2),"超过20%","")</f>
        <v/>
      </c>
      <c r="G53" s="616">
        <f>IF(G48&lt;I48,I48/G48-1,G48/I48-1)</f>
        <v>0.15873015873015883</v>
      </c>
      <c r="H53" s="617" t="str">
        <f>IF(OR(G53&gt;=0.2,G53&lt;=-0.2),"超过20%","")</f>
        <v/>
      </c>
      <c r="I53" s="616">
        <f>IF(I48&lt;E48,E48/I48-1,I48/E48-1)</f>
        <v>1.6129032258064502E-2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0.18343195266272194</v>
      </c>
      <c r="F54" s="617" t="str">
        <f>IF(OR(E54&gt;=0.3,E54&lt;=-0.3),"超过30%","")</f>
        <v/>
      </c>
      <c r="G54" s="616">
        <f>IF(G47&lt;I47,I47/G47-1,G47/I47-1)</f>
        <v>0.12676056338028174</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3086</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99</v>
      </c>
      <c r="E85" s="669">
        <f>D85-$K23</f>
        <v>98</v>
      </c>
      <c r="F85" s="669">
        <f>E85-$K23</f>
        <v>97</v>
      </c>
      <c r="G85" s="669">
        <f>F85-$K23</f>
        <v>96</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3079</v>
      </c>
      <c r="D86" s="3335" t="s">
        <v>3080</v>
      </c>
      <c r="E86" s="3335" t="s">
        <v>3082</v>
      </c>
      <c r="F86" s="3335" t="s">
        <v>3084</v>
      </c>
      <c r="G86" s="3335" t="s">
        <v>3085</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3087</v>
      </c>
      <c r="D88" s="3335" t="s">
        <v>3091</v>
      </c>
      <c r="E88" s="3335" t="s">
        <v>3092</v>
      </c>
      <c r="F88" s="3339" t="s">
        <v>3093</v>
      </c>
      <c r="G88" s="3335" t="s">
        <v>3094</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3089</v>
      </c>
      <c r="D90" s="3335" t="s">
        <v>3096</v>
      </c>
      <c r="E90" s="3335" t="s">
        <v>3092</v>
      </c>
      <c r="F90" s="3335" t="s">
        <v>3097</v>
      </c>
      <c r="G90" s="3335" t="s">
        <v>3098</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3099</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3133</v>
      </c>
      <c r="D100" s="3340" t="s">
        <v>3102</v>
      </c>
      <c r="E100" s="3340" t="s">
        <v>3103</v>
      </c>
      <c r="F100" s="3340" t="s">
        <v>3104</v>
      </c>
      <c r="G100" s="3340" t="s">
        <v>3106</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3107</v>
      </c>
      <c r="D105" s="3335" t="s">
        <v>3108</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3110</v>
      </c>
      <c r="D107" s="3335" t="s">
        <v>3112</v>
      </c>
      <c r="E107" s="3335" t="s">
        <v>3113</v>
      </c>
      <c r="F107" s="3341" t="s">
        <v>3115</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3116</v>
      </c>
      <c r="D112" s="3335" t="s">
        <v>3117</v>
      </c>
      <c r="E112" s="3335" t="s">
        <v>3118</v>
      </c>
      <c r="F112" s="3335" t="s">
        <v>3119</v>
      </c>
      <c r="G112" s="3335" t="s">
        <v>3120</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3121</v>
      </c>
      <c r="D116" s="3335" t="s">
        <v>3123</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3091</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3110</v>
      </c>
      <c r="D122" s="3335" t="s">
        <v>3112</v>
      </c>
      <c r="E122" s="3335" t="s">
        <v>3113</v>
      </c>
      <c r="F122" s="3341" t="s">
        <v>3115</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01" t="s">
        <v>2024</v>
      </c>
      <c r="B1" s="3801"/>
      <c r="C1" s="3801"/>
      <c r="D1" s="3801"/>
      <c r="E1" s="3801"/>
      <c r="F1" s="3801"/>
      <c r="G1" s="3801"/>
      <c r="H1" s="3801"/>
      <c r="I1" s="3801"/>
      <c r="J1" s="3801"/>
      <c r="K1" s="3801"/>
      <c r="L1" s="3801"/>
      <c r="M1" s="3801"/>
      <c r="N1" s="3801"/>
      <c r="O1" s="3801"/>
      <c r="P1" s="3801"/>
      <c r="Q1" s="3801"/>
      <c r="R1" s="3801"/>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802" t="s">
        <v>2015</v>
      </c>
      <c r="B3" s="3802" t="s">
        <v>2709</v>
      </c>
      <c r="C3" s="3803" t="s">
        <v>2016</v>
      </c>
      <c r="D3" s="3802" t="s">
        <v>2713</v>
      </c>
      <c r="E3" s="3797" t="s">
        <v>2017</v>
      </c>
      <c r="F3" s="3797"/>
      <c r="G3" s="3797"/>
      <c r="H3" s="3797" t="s">
        <v>2018</v>
      </c>
      <c r="I3" s="3797"/>
      <c r="J3" s="3797"/>
      <c r="K3" s="3803" t="s">
        <v>2019</v>
      </c>
      <c r="L3" s="3803" t="s">
        <v>2020</v>
      </c>
      <c r="M3" s="3802" t="s">
        <v>2710</v>
      </c>
      <c r="N3" s="3804" t="str">
        <f>"（分摊）"&amp;项目基本情况!B16&amp;"国有建设用地使用权面积/㎡"</f>
        <v>（分摊）储备国有建设用地使用权面积/㎡</v>
      </c>
      <c r="O3" s="3802" t="s">
        <v>2049</v>
      </c>
      <c r="P3" s="3803" t="s">
        <v>2029</v>
      </c>
      <c r="Q3" s="3803" t="s">
        <v>2050</v>
      </c>
      <c r="R3" s="3803" t="s">
        <v>2021</v>
      </c>
    </row>
    <row r="4" spans="1:18" ht="36.75" customHeight="1">
      <c r="A4" s="3802"/>
      <c r="B4" s="3802"/>
      <c r="C4" s="3803"/>
      <c r="D4" s="3802"/>
      <c r="E4" s="2489" t="s">
        <v>2028</v>
      </c>
      <c r="F4" s="2489" t="s">
        <v>2722</v>
      </c>
      <c r="G4" s="2489" t="s">
        <v>2022</v>
      </c>
      <c r="H4" s="2489" t="s">
        <v>2023</v>
      </c>
      <c r="I4" s="2489" t="s">
        <v>2723</v>
      </c>
      <c r="J4" s="2489" t="s">
        <v>2022</v>
      </c>
      <c r="K4" s="3803"/>
      <c r="L4" s="3803"/>
      <c r="M4" s="3802"/>
      <c r="N4" s="3804"/>
      <c r="O4" s="3802"/>
      <c r="P4" s="3803"/>
      <c r="Q4" s="3803"/>
      <c r="R4" s="3803"/>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81070.11</v>
      </c>
      <c r="O5" s="1723">
        <f>项目基本情况!C21</f>
        <v>780200</v>
      </c>
      <c r="P5" s="1723">
        <f ca="1">结果表!E42</f>
        <v>51331</v>
      </c>
      <c r="Q5" s="1723">
        <f ca="1">结果表!D42</f>
        <v>5334</v>
      </c>
      <c r="R5" s="1724">
        <f ca="1">结果表!C42</f>
        <v>416139</v>
      </c>
    </row>
    <row r="6" spans="1:18">
      <c r="A6" s="3798" t="str">
        <f>IF(项目基本情况!B9="市场价格","——","抵押价格")</f>
        <v>抵押价格</v>
      </c>
      <c r="B6" s="3799"/>
      <c r="C6" s="3799"/>
      <c r="D6" s="3799"/>
      <c r="E6" s="3799"/>
      <c r="F6" s="3799"/>
      <c r="G6" s="3799"/>
      <c r="H6" s="3799"/>
      <c r="I6" s="3799"/>
      <c r="J6" s="3799"/>
      <c r="K6" s="3799"/>
      <c r="L6" s="3799"/>
      <c r="M6" s="3799"/>
      <c r="N6" s="3799"/>
      <c r="O6" s="3799"/>
      <c r="P6" s="3799"/>
      <c r="Q6" s="3800"/>
      <c r="R6" s="1725" t="str">
        <f>结果表!O39</f>
        <v>——</v>
      </c>
    </row>
    <row r="7" spans="1:18">
      <c r="A7" s="3798" t="str">
        <f>IF(项目基本情况!B9="市场价格","——",IF(项目基本情况!E8="已注销及未注销","抵押担保权已注销时的抵押价格","——"))</f>
        <v>——</v>
      </c>
      <c r="B7" s="3799"/>
      <c r="C7" s="3799"/>
      <c r="D7" s="3799"/>
      <c r="E7" s="3799"/>
      <c r="F7" s="3799"/>
      <c r="G7" s="3799"/>
      <c r="H7" s="3799"/>
      <c r="I7" s="3799"/>
      <c r="J7" s="3799"/>
      <c r="K7" s="3799"/>
      <c r="L7" s="3799"/>
      <c r="M7" s="3799"/>
      <c r="N7" s="3799"/>
      <c r="O7" s="3799"/>
      <c r="P7" s="3799"/>
      <c r="Q7" s="3800"/>
      <c r="R7" s="1725" t="str">
        <f>结果表!O40</f>
        <v>——</v>
      </c>
    </row>
    <row r="8" spans="1:18">
      <c r="A8" s="3798">
        <f>IF(项目基本情况!B9="市场价格","——",项目基本情况!E9)</f>
        <v>0</v>
      </c>
      <c r="B8" s="3799"/>
      <c r="C8" s="3799"/>
      <c r="D8" s="3799"/>
      <c r="E8" s="3799"/>
      <c r="F8" s="3799"/>
      <c r="G8" s="3799"/>
      <c r="H8" s="3799"/>
      <c r="I8" s="3799"/>
      <c r="J8" s="3799"/>
      <c r="K8" s="3799"/>
      <c r="L8" s="3799"/>
      <c r="M8" s="3799"/>
      <c r="N8" s="3799"/>
      <c r="O8" s="3799"/>
      <c r="P8" s="3799"/>
      <c r="Q8" s="3800"/>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workbookViewId="0">
      <selection activeCell="R23" sqref="R23"/>
    </sheetView>
  </sheetViews>
  <sheetFormatPr defaultRowHeight="13.5"/>
  <sheetData>
    <row r="1" spans="8:10">
      <c r="H1" s="3235" t="s">
        <v>3172</v>
      </c>
      <c r="J1">
        <v>6.76</v>
      </c>
    </row>
    <row r="16" spans="8:10">
      <c r="H16" s="3235" t="s">
        <v>3127</v>
      </c>
      <c r="I16">
        <v>8</v>
      </c>
    </row>
    <row r="32" spans="8:8">
      <c r="H32" s="3235" t="s">
        <v>3145</v>
      </c>
    </row>
    <row r="33" spans="9:9">
      <c r="I33">
        <v>7.1</v>
      </c>
    </row>
    <row r="51" spans="2:17">
      <c r="B51">
        <v>6.5</v>
      </c>
      <c r="I51">
        <v>6</v>
      </c>
      <c r="Q51">
        <v>9.17</v>
      </c>
    </row>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6"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877498</v>
      </c>
      <c r="C2" s="3251"/>
      <c r="D2" s="3252"/>
      <c r="E2" s="3253"/>
      <c r="F2" s="3253"/>
      <c r="G2" s="3247"/>
      <c r="H2" s="1938"/>
      <c r="I2" s="1938"/>
      <c r="J2" s="1938"/>
      <c r="K2" s="1939"/>
      <c r="L2" s="1938"/>
      <c r="M2" s="1938"/>
    </row>
    <row r="3" spans="1:33" ht="18" customHeight="1" thickBot="1">
      <c r="A3" s="820" t="s">
        <v>1715</v>
      </c>
      <c r="B3" s="821">
        <f ca="1">IF(ISERROR(B2*10000/F43),0,ROUND(B2*10000/F43,0))</f>
        <v>28667</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42509</v>
      </c>
      <c r="D5" s="2347" t="s">
        <v>2440</v>
      </c>
      <c r="E5" s="2341"/>
      <c r="F5" s="2342"/>
      <c r="G5" s="1943"/>
      <c r="H5" s="769">
        <v>1</v>
      </c>
      <c r="I5" s="770" t="s">
        <v>2437</v>
      </c>
      <c r="J5" s="54">
        <f ca="1">J6+J10+J12</f>
        <v>0</v>
      </c>
      <c r="K5" s="2347" t="s">
        <v>2440</v>
      </c>
      <c r="L5" s="2341"/>
      <c r="M5" s="2342"/>
    </row>
    <row r="6" spans="1:33" ht="18" customHeight="1">
      <c r="A6" s="1743" t="s">
        <v>1812</v>
      </c>
      <c r="B6" s="4064" t="s">
        <v>2442</v>
      </c>
      <c r="C6" s="771">
        <f ca="1">ROUND(F6*F8*F7*(1-F9)/10000,0)</f>
        <v>42456</v>
      </c>
      <c r="D6" s="2348" t="s">
        <v>2441</v>
      </c>
      <c r="E6" s="772" t="s">
        <v>629</v>
      </c>
      <c r="F6" s="773">
        <f ca="1">INDIRECT("'数据-取费表'!u"&amp;$G$1)</f>
        <v>4</v>
      </c>
      <c r="G6" s="1943"/>
      <c r="H6" s="2355" t="s">
        <v>1812</v>
      </c>
      <c r="I6" s="4064" t="s">
        <v>2442</v>
      </c>
      <c r="J6" s="771">
        <f ca="1">ROUND(M6*M8*M7*(1-M9)/10000,0)</f>
        <v>0</v>
      </c>
      <c r="K6" s="337" t="s">
        <v>1725</v>
      </c>
      <c r="L6" s="772" t="s">
        <v>629</v>
      </c>
      <c r="M6" s="773">
        <f ca="1">INDIRECT("'数据-取费表'!z"&amp;$G$1)</f>
        <v>0</v>
      </c>
    </row>
    <row r="7" spans="1:33" ht="18" customHeight="1">
      <c r="A7" s="2351"/>
      <c r="B7" s="4065"/>
      <c r="C7" s="776"/>
      <c r="D7" s="777"/>
      <c r="E7" s="772" t="s">
        <v>630</v>
      </c>
      <c r="F7" s="3360">
        <f ca="1">IF(INDIRECT("'数据-取费表'!ah"&amp;$G$1)="",INDIRECT("'数据-取费表'!k"&amp;$G$1),INDIRECT("'数据-取费表'!ah"&amp;$G$1))</f>
        <v>306100</v>
      </c>
      <c r="G7" s="1943"/>
      <c r="H7" s="2340"/>
      <c r="I7" s="4065"/>
      <c r="J7" s="776"/>
      <c r="K7" s="777"/>
      <c r="L7" s="772" t="s">
        <v>630</v>
      </c>
      <c r="M7" s="773">
        <f ca="1">F7</f>
        <v>306100</v>
      </c>
    </row>
    <row r="8" spans="1:33" ht="18" customHeight="1">
      <c r="A8" s="2344"/>
      <c r="B8" s="4066"/>
      <c r="C8" s="776"/>
      <c r="D8" s="777"/>
      <c r="E8" s="772" t="s">
        <v>1728</v>
      </c>
      <c r="F8" s="773">
        <f ca="1">INDIRECT("'数据-取费表'!ai"&amp;$G$1)</f>
        <v>365</v>
      </c>
      <c r="G8" s="1943"/>
      <c r="H8" s="2340"/>
      <c r="I8" s="4066"/>
      <c r="J8" s="776"/>
      <c r="K8" s="777"/>
      <c r="L8" s="772" t="s">
        <v>1728</v>
      </c>
      <c r="M8" s="773">
        <f ca="1">INDIRECT("'数据-取费表'!ai"&amp;$G$1)</f>
        <v>365</v>
      </c>
    </row>
    <row r="9" spans="1:33" ht="18" customHeight="1">
      <c r="A9" s="774"/>
      <c r="B9" s="4067"/>
      <c r="C9" s="776"/>
      <c r="D9" s="777"/>
      <c r="E9" s="772" t="s">
        <v>632</v>
      </c>
      <c r="F9" s="782">
        <f ca="1">INDIRECT("'数据-取费表'!w"&amp;$G$1)</f>
        <v>0.05</v>
      </c>
      <c r="G9" s="1943"/>
      <c r="H9" s="2356"/>
      <c r="I9" s="4066"/>
      <c r="J9" s="776"/>
      <c r="K9" s="777"/>
      <c r="L9" s="783" t="s">
        <v>632</v>
      </c>
      <c r="M9" s="784">
        <f ca="1">INDIRECT("'数据-取费表'!ab"&amp;$G$1)</f>
        <v>0</v>
      </c>
    </row>
    <row r="10" spans="1:33" ht="18" customHeight="1">
      <c r="A10" s="1743" t="s">
        <v>1813</v>
      </c>
      <c r="B10" s="2345" t="s">
        <v>2438</v>
      </c>
      <c r="C10" s="787">
        <f ca="1">ROUND(IF(F10="押一",C6/12*F11,IF(F10="押二",C6/12*2*F11,IF(F10="押三",C6/12*3*F11,C11*F11))),0)</f>
        <v>53</v>
      </c>
      <c r="D10" s="2352" t="s">
        <v>2933</v>
      </c>
      <c r="E10" s="2349" t="s">
        <v>2443</v>
      </c>
      <c r="F10" s="2463" t="s">
        <v>3162</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233646</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153050</v>
      </c>
      <c r="D14" s="3327" t="s">
        <v>1733</v>
      </c>
      <c r="E14" s="3328"/>
      <c r="F14" s="793"/>
      <c r="G14" s="1943"/>
      <c r="H14" s="1576" t="s">
        <v>1812</v>
      </c>
      <c r="I14" s="2109" t="s">
        <v>2802</v>
      </c>
      <c r="J14" s="52">
        <f ca="1">C29</f>
        <v>233646</v>
      </c>
      <c r="K14" s="25"/>
      <c r="L14" s="789"/>
      <c r="M14" s="790"/>
    </row>
    <row r="15" spans="1:33" s="1945" customFormat="1" ht="18" customHeight="1" thickBot="1">
      <c r="A15" s="1575" t="s">
        <v>1820</v>
      </c>
      <c r="B15" s="772" t="s">
        <v>639</v>
      </c>
      <c r="C15" s="52">
        <f ca="1">ROUND(C14*F15,0)</f>
        <v>4592</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2669</v>
      </c>
      <c r="K16" s="1734" t="s">
        <v>644</v>
      </c>
      <c r="L16" s="3329"/>
      <c r="M16" s="2342"/>
    </row>
    <row r="17" spans="1:33" s="1945" customFormat="1" ht="18" customHeight="1">
      <c r="A17" s="1575" t="s">
        <v>1875</v>
      </c>
      <c r="B17" s="772" t="s">
        <v>645</v>
      </c>
      <c r="C17" s="52">
        <f ca="1">ROUND(F17*(F43+INDIRECT("'数据-取费表'!S"&amp;$G$1))/10000,0)</f>
        <v>6122</v>
      </c>
      <c r="D17" s="772" t="s">
        <v>646</v>
      </c>
      <c r="E17" s="772" t="s">
        <v>647</v>
      </c>
      <c r="F17" s="55">
        <f>'数据-取费表'!B35</f>
        <v>200</v>
      </c>
      <c r="G17" s="3248"/>
      <c r="H17" s="1576" t="s">
        <v>1812</v>
      </c>
      <c r="I17" s="772" t="s">
        <v>648</v>
      </c>
      <c r="J17" s="3008">
        <f ca="1">ROUND(IF(AND(项目基本情况!B11="自然人",项目基本情况!B10="北京市"),J6*M17/(1+'数据-取费表'!C42),J18+J19+J20),0)</f>
        <v>1968</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2296</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166060</v>
      </c>
      <c r="D19" s="257" t="s">
        <v>655</v>
      </c>
      <c r="E19" s="3331"/>
      <c r="F19" s="55"/>
      <c r="G19" s="1943"/>
      <c r="H19" s="1575" t="s">
        <v>1820</v>
      </c>
      <c r="I19" s="772" t="s">
        <v>1746</v>
      </c>
      <c r="J19" s="52">
        <f ca="1">IF(K19="按租金收入计税",ROUND(J6*M19/(1+'数据-取费表'!C42),1),ROUND(C29*F33*0.7,1))</f>
        <v>1962.6</v>
      </c>
      <c r="K19" s="798" t="s">
        <v>657</v>
      </c>
      <c r="L19" s="772" t="s">
        <v>641</v>
      </c>
      <c r="M19" s="797">
        <f>IF(K19="按租金收入计税",'数据-取费表'!B51,'数据-取费表'!B50)</f>
        <v>1.2E-2</v>
      </c>
    </row>
    <row r="20" spans="1:33" s="1945" customFormat="1" ht="18" customHeight="1">
      <c r="A20" s="1576" t="s">
        <v>1877</v>
      </c>
      <c r="B20" s="772" t="s">
        <v>658</v>
      </c>
      <c r="C20" s="52">
        <f ca="1">ROUND(C19*F20,0)</f>
        <v>3321</v>
      </c>
      <c r="D20" s="799" t="s">
        <v>659</v>
      </c>
      <c r="E20" s="772" t="s">
        <v>641</v>
      </c>
      <c r="F20" s="3385">
        <f>剩余法办公!F23</f>
        <v>0.02</v>
      </c>
      <c r="G20" s="3248"/>
      <c r="H20" s="1578" t="s">
        <v>1821</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5">
        <f>剩余法办公!F24</f>
        <v>0.02</v>
      </c>
      <c r="G21" s="3248"/>
      <c r="H21" s="2357"/>
      <c r="I21" s="781"/>
      <c r="J21" s="68"/>
      <c r="K21" s="803"/>
      <c r="L21" s="772" t="s">
        <v>666</v>
      </c>
      <c r="M21" s="773">
        <f ca="1">INDIRECT("'数据-取费表'!r"&amp;$G$1)</f>
        <v>31806.67</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701</v>
      </c>
      <c r="K22" s="3326" t="s">
        <v>1757</v>
      </c>
      <c r="L22" s="772" t="s">
        <v>641</v>
      </c>
      <c r="M22" s="804">
        <f ca="1">INDIRECT("'数据-取费表'!Ak"&amp;$G$1)</f>
        <v>3.0000000000000001E-3</v>
      </c>
    </row>
    <row r="23" spans="1:33" s="1945" customFormat="1" ht="18" customHeight="1">
      <c r="A23" s="1575" t="s">
        <v>1819</v>
      </c>
      <c r="B23" s="772" t="s">
        <v>2418</v>
      </c>
      <c r="C23" s="52">
        <f ca="1">ROUND(IF('数据-取费表'!B22&lt;=1,(C19+C20)*F24*F23/2,(C19+C20)*(POWER((1+F24),F23/2)-1)),0)</f>
        <v>12211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2.9999999999999997E-4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3.0000000000000001E-3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-2669</v>
      </c>
      <c r="K25" s="2399" t="s">
        <v>1765</v>
      </c>
      <c r="L25" s="2400"/>
      <c r="M25" s="2401"/>
    </row>
    <row r="26" spans="1:33" ht="18" customHeight="1">
      <c r="A26" s="1575" t="s">
        <v>1819</v>
      </c>
      <c r="B26" s="772" t="s">
        <v>2419</v>
      </c>
      <c r="C26" s="52">
        <f ca="1">ROUND((C19+C20)*F26,0)</f>
        <v>33876</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233646</v>
      </c>
      <c r="D29" s="2396"/>
      <c r="E29" s="2397"/>
      <c r="F29" s="2398"/>
      <c r="G29" s="3248"/>
      <c r="H29" s="810" t="s">
        <v>1775</v>
      </c>
      <c r="I29" s="811" t="s">
        <v>1776</v>
      </c>
      <c r="J29" s="812">
        <f ca="1">ROUND(J26/(1+F40)^F41,0)</f>
        <v>0</v>
      </c>
      <c r="K29" s="813" t="s">
        <v>1777</v>
      </c>
      <c r="L29" s="814"/>
      <c r="M29" s="815">
        <f ca="1">INDIRECT("'数据-取费表'!k"&amp;$G$1)</f>
        <v>306100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5098</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4199</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2223.9</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1962.6</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12.2</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81070.106</v>
      </c>
      <c r="G35" s="1943"/>
      <c r="H35" s="1946"/>
      <c r="I35" s="824" t="s">
        <v>1802</v>
      </c>
      <c r="J35" s="825">
        <f ca="1">ROUND(C13*J36,0)</f>
        <v>0</v>
      </c>
      <c r="K35" s="1959"/>
      <c r="L35" s="1958"/>
      <c r="M35" s="1958"/>
    </row>
    <row r="36" spans="1:18" ht="18" customHeight="1">
      <c r="A36" s="1576" t="s">
        <v>1877</v>
      </c>
      <c r="B36" s="772" t="s">
        <v>668</v>
      </c>
      <c r="C36" s="52">
        <f ca="1">ROUND(C29*F36,1)</f>
        <v>700.9</v>
      </c>
      <c r="D36" s="3326" t="s">
        <v>1791</v>
      </c>
      <c r="E36" s="772" t="s">
        <v>641</v>
      </c>
      <c r="F36" s="804">
        <f ca="1">INDIRECT("'数据-取费表'!Ak"&amp;$G$1)</f>
        <v>3.0000000000000001E-3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70.099999999999994</v>
      </c>
      <c r="D37" s="3326" t="s">
        <v>1759</v>
      </c>
      <c r="E37" s="772" t="s">
        <v>641</v>
      </c>
      <c r="F37" s="805">
        <f ca="1">INDIRECT("'数据-取费表'!Al"&amp;$G$1)</f>
        <v>2.9999999999999997E-4</v>
      </c>
      <c r="G37" s="1943"/>
      <c r="H37" s="1958"/>
      <c r="I37" s="828" t="s">
        <v>1804</v>
      </c>
      <c r="J37" s="829"/>
      <c r="K37" s="1962"/>
      <c r="L37" s="1958"/>
      <c r="M37" s="1958"/>
    </row>
    <row r="38" spans="1:18" ht="18" customHeight="1" thickBot="1">
      <c r="A38" s="2402" t="s">
        <v>1879</v>
      </c>
      <c r="B38" s="2397" t="s">
        <v>658</v>
      </c>
      <c r="C38" s="2395">
        <f ca="1">ROUND(C5*F38,1)</f>
        <v>127.5</v>
      </c>
      <c r="D38" s="2396" t="s">
        <v>1762</v>
      </c>
      <c r="E38" s="2397" t="s">
        <v>641</v>
      </c>
      <c r="F38" s="2393">
        <f ca="1">INDIRECT("'数据-取费表'!Am"&amp;$G$1)</f>
        <v>3.0000000000000001E-3</v>
      </c>
      <c r="G38" s="1943"/>
      <c r="H38" s="1958"/>
      <c r="I38" s="830" t="s">
        <v>1805</v>
      </c>
      <c r="J38" s="831"/>
      <c r="K38" s="1963"/>
      <c r="L38" s="1958"/>
      <c r="M38" s="1958"/>
    </row>
    <row r="39" spans="1:18" ht="24.6" customHeight="1" thickTop="1">
      <c r="A39" s="1742" t="s">
        <v>1764</v>
      </c>
      <c r="B39" s="2721" t="s">
        <v>2799</v>
      </c>
      <c r="C39" s="780">
        <f ca="1">C5-C30</f>
        <v>37411</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877498</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0.26600000000000001</v>
      </c>
      <c r="K42" s="1962"/>
      <c r="L42" s="1898"/>
      <c r="M42" s="1898"/>
    </row>
    <row r="43" spans="1:18" ht="18" customHeight="1" thickBot="1">
      <c r="A43" s="810" t="s">
        <v>1775</v>
      </c>
      <c r="B43" s="811" t="s">
        <v>1798</v>
      </c>
      <c r="C43" s="812">
        <f ca="1">ROUND(C40*10000/F43,0)</f>
        <v>28667</v>
      </c>
      <c r="D43" s="813" t="s">
        <v>1799</v>
      </c>
      <c r="E43" s="814" t="s">
        <v>1800</v>
      </c>
      <c r="F43" s="815">
        <f ca="1">INDIRECT("'数据-取费表'!k"&amp;$G$1)</f>
        <v>306100</v>
      </c>
      <c r="G43" s="1943"/>
      <c r="H43" s="1898"/>
      <c r="I43" s="834" t="s">
        <v>1810</v>
      </c>
      <c r="J43" s="835">
        <f ca="1">1-J42</f>
        <v>0.73399999999999999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-941907</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877498</v>
      </c>
      <c r="R48" s="2252" t="s">
        <v>2362</v>
      </c>
    </row>
    <row r="49" spans="1:18" s="1940" customFormat="1" ht="18" customHeight="1" thickBot="1">
      <c r="A49" s="774"/>
      <c r="B49" s="775"/>
      <c r="C49" s="776"/>
      <c r="D49" s="777"/>
      <c r="E49" s="772" t="s">
        <v>630</v>
      </c>
      <c r="F49" s="773">
        <f ca="1">F7</f>
        <v>306100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233646</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2244660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42" t="s">
        <v>2926</v>
      </c>
      <c r="L53" s="4143"/>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877498</v>
      </c>
      <c r="R54" s="2256" t="s">
        <v>2374</v>
      </c>
    </row>
    <row r="55" spans="1:18" s="1940" customFormat="1" ht="18" customHeight="1" thickTop="1" thickBot="1">
      <c r="A55" s="785">
        <v>2</v>
      </c>
      <c r="B55" s="786" t="s">
        <v>636</v>
      </c>
      <c r="C55" s="787">
        <f ca="1">C13</f>
        <v>233646</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233646</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2746</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877498</v>
      </c>
      <c r="R57" s="2252" t="s">
        <v>2362</v>
      </c>
    </row>
    <row r="58" spans="1:18" s="1940" customFormat="1" ht="28.5" customHeight="1" thickBot="1">
      <c r="A58" s="1576" t="s">
        <v>1812</v>
      </c>
      <c r="B58" s="772" t="s">
        <v>648</v>
      </c>
      <c r="C58" s="3008">
        <f ca="1">ROUND(IF(AND(项目基本情况!B11="自然人",项目基本情况!B10="北京市"),C48*F58/(1+'数据-取费表'!C42),C59+C60+C61),0)</f>
        <v>1975</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1962.6</v>
      </c>
      <c r="D60" s="3326"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700.9</v>
      </c>
      <c r="D63" s="3326" t="s">
        <v>1791</v>
      </c>
      <c r="E63" s="772" t="s">
        <v>641</v>
      </c>
      <c r="F63" s="804">
        <f t="shared" ca="1" si="0"/>
        <v>3.0000000000000001E-3</v>
      </c>
      <c r="I63" s="2822" t="s">
        <v>2352</v>
      </c>
      <c r="J63" s="2823">
        <v>70</v>
      </c>
      <c r="K63" s="2823">
        <v>50</v>
      </c>
      <c r="L63" s="2823">
        <v>80</v>
      </c>
      <c r="M63" s="2825">
        <v>0.02</v>
      </c>
      <c r="O63" s="2251" t="s">
        <v>2373</v>
      </c>
      <c r="P63" s="2252" t="s">
        <v>2390</v>
      </c>
      <c r="Q63" s="2253">
        <f ca="1">Q57+Q58</f>
        <v>877498</v>
      </c>
      <c r="R63" s="2256" t="s">
        <v>2374</v>
      </c>
    </row>
    <row r="64" spans="1:18" s="1940" customFormat="1" ht="16.5" thickBot="1">
      <c r="A64" s="1576" t="s">
        <v>1878</v>
      </c>
      <c r="B64" s="772" t="s">
        <v>671</v>
      </c>
      <c r="C64" s="52">
        <f ca="1">ROUND(C55*F64,1)</f>
        <v>70.099999999999994</v>
      </c>
      <c r="D64" s="3326" t="s">
        <v>672</v>
      </c>
      <c r="E64" s="772" t="s">
        <v>641</v>
      </c>
      <c r="F64" s="805">
        <f t="shared" ca="1" si="0"/>
        <v>2.9999999999999997E-4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3.0000000000000001E-3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-2746</v>
      </c>
      <c r="D66" s="3327" t="s">
        <v>692</v>
      </c>
      <c r="E66" s="3330"/>
      <c r="F66" s="807"/>
      <c r="K66" s="1966"/>
      <c r="O66" s="2251" t="s">
        <v>2361</v>
      </c>
      <c r="P66" s="2252" t="s">
        <v>2387</v>
      </c>
      <c r="Q66" s="2253">
        <f ca="1">C40+J29</f>
        <v>877498</v>
      </c>
      <c r="R66" s="2252" t="s">
        <v>2362</v>
      </c>
    </row>
    <row r="67" spans="1:18" s="1940" customFormat="1" ht="20.25" thickBot="1">
      <c r="A67" s="769" t="s">
        <v>1768</v>
      </c>
      <c r="B67" s="2110" t="s">
        <v>2286</v>
      </c>
      <c r="C67" s="771">
        <f ca="1">ROUND(C66*(1-((1+F69)/(1+F67))^F68)/(F67-F69),0)</f>
        <v>-64409</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2244660</v>
      </c>
      <c r="R68" s="2259" t="s">
        <v>2398</v>
      </c>
    </row>
    <row r="69" spans="1:18" ht="20.25" thickBot="1">
      <c r="A69" s="778"/>
      <c r="B69" s="779"/>
      <c r="C69" s="780"/>
      <c r="D69" s="803"/>
      <c r="E69" s="772" t="s">
        <v>702</v>
      </c>
      <c r="F69" s="2224"/>
      <c r="O69" s="2254" t="s">
        <v>2366</v>
      </c>
      <c r="P69" s="2260" t="s">
        <v>2380</v>
      </c>
      <c r="Q69" s="2253">
        <f ca="1">ROUND(Q70-Q71*Q72,0)</f>
        <v>37411</v>
      </c>
      <c r="R69" s="2256"/>
    </row>
    <row r="70" spans="1:18" ht="15.75" thickBot="1">
      <c r="A70" s="810" t="s">
        <v>1775</v>
      </c>
      <c r="B70" s="811" t="s">
        <v>1798</v>
      </c>
      <c r="C70" s="812">
        <f ca="1">ROUND(C67*10000/F70,0)</f>
        <v>-2104</v>
      </c>
      <c r="D70" s="813" t="s">
        <v>1799</v>
      </c>
      <c r="E70" s="814" t="s">
        <v>1800</v>
      </c>
      <c r="F70" s="815">
        <f ca="1">F43</f>
        <v>306100</v>
      </c>
      <c r="O70" s="2254" t="s">
        <v>2381</v>
      </c>
      <c r="P70" s="2260" t="s">
        <v>2382</v>
      </c>
      <c r="Q70" s="2253">
        <f ca="1">C39</f>
        <v>37411</v>
      </c>
      <c r="R70" s="2252" t="s">
        <v>2362</v>
      </c>
    </row>
    <row r="71" spans="1:18" ht="15.75" thickBot="1">
      <c r="O71" s="2254" t="s">
        <v>2383</v>
      </c>
      <c r="P71" s="2260" t="s">
        <v>2384</v>
      </c>
      <c r="Q71" s="2253">
        <f ca="1">C13</f>
        <v>233646</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877498</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2" zoomScale="90" zoomScaleNormal="60" zoomScaleSheetLayoutView="90" workbookViewId="0">
      <selection activeCell="I35" sqref="I3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4</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82" t="s">
        <v>514</v>
      </c>
      <c r="D4" s="3983"/>
      <c r="E4" s="4016" t="s">
        <v>515</v>
      </c>
      <c r="F4" s="4017"/>
      <c r="G4" s="3982" t="s">
        <v>516</v>
      </c>
      <c r="H4" s="3983"/>
      <c r="I4" s="3982" t="s">
        <v>517</v>
      </c>
      <c r="J4" s="3983"/>
      <c r="K4" s="506" t="s">
        <v>518</v>
      </c>
      <c r="L4" s="2013"/>
      <c r="M4" s="2014"/>
      <c r="N4" s="2014"/>
      <c r="O4" s="2014"/>
      <c r="P4" s="4146" t="s">
        <v>519</v>
      </c>
      <c r="Q4" s="3985"/>
      <c r="R4" s="3990" t="s">
        <v>515</v>
      </c>
      <c r="S4" s="3991"/>
      <c r="T4" s="3990" t="s">
        <v>516</v>
      </c>
      <c r="U4" s="3991"/>
      <c r="V4" s="3977" t="s">
        <v>517</v>
      </c>
      <c r="W4" s="3977"/>
      <c r="X4" s="1500"/>
      <c r="Y4" s="3990" t="s">
        <v>519</v>
      </c>
      <c r="Z4" s="3991"/>
      <c r="AA4" s="3979" t="s">
        <v>515</v>
      </c>
      <c r="AB4" s="3979" t="s">
        <v>516</v>
      </c>
      <c r="AC4" s="3979" t="s">
        <v>517</v>
      </c>
    </row>
    <row r="5" spans="1:29" ht="15">
      <c r="A5" s="507"/>
      <c r="B5" s="508"/>
      <c r="C5" s="3998" t="s">
        <v>2892</v>
      </c>
      <c r="D5" s="3999"/>
      <c r="E5" s="4018" t="str">
        <f>办公租金案例截图及地图!A1</f>
        <v>绿地中央广场</v>
      </c>
      <c r="F5" s="4019"/>
      <c r="G5" s="4144" t="s">
        <v>3163</v>
      </c>
      <c r="H5" s="3999"/>
      <c r="I5" s="4144" t="s">
        <v>3164</v>
      </c>
      <c r="J5" s="3999"/>
      <c r="K5" s="506"/>
      <c r="L5" s="2013"/>
      <c r="M5" s="2014"/>
      <c r="N5" s="2014"/>
      <c r="O5" s="2014"/>
      <c r="P5" s="4147"/>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414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4009" t="s">
        <v>522</v>
      </c>
      <c r="Q7" s="4009"/>
      <c r="R7" s="1501" t="s">
        <v>8</v>
      </c>
      <c r="S7" s="1502">
        <f t="shared" ref="S7:S15" si="0">F7</f>
        <v>100</v>
      </c>
      <c r="T7" s="1501" t="s">
        <v>8</v>
      </c>
      <c r="U7" s="1502">
        <f t="shared" ref="U7:U15" si="1">H7</f>
        <v>100</v>
      </c>
      <c r="V7" s="1501" t="s">
        <v>8</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517" t="s">
        <v>3066</v>
      </c>
      <c r="F8" s="514">
        <f>SUMIF(62:62,E8,63:63)-SUMIF(62:62,C8,63:63)+100</f>
        <v>100</v>
      </c>
      <c r="G8" s="517" t="s">
        <v>3066</v>
      </c>
      <c r="H8" s="512">
        <f>SUMIF(62:62,G8,63:63)-SUMIF(62:62,C8,63:63)+100</f>
        <v>100</v>
      </c>
      <c r="I8" s="517" t="s">
        <v>3066</v>
      </c>
      <c r="J8" s="512">
        <f>SUMIF(62:62,I8,63:63)-SUMIF(62:62,C8,63:63)+100</f>
        <v>100</v>
      </c>
      <c r="K8" s="516"/>
      <c r="L8" s="2015"/>
      <c r="M8" s="2016"/>
      <c r="N8" s="2016"/>
      <c r="O8" s="2016"/>
      <c r="P8" s="4009" t="s">
        <v>525</v>
      </c>
      <c r="Q8" s="4008"/>
      <c r="R8" s="1501" t="s">
        <v>8</v>
      </c>
      <c r="S8" s="1502">
        <f t="shared" si="0"/>
        <v>100</v>
      </c>
      <c r="T8" s="1501" t="s">
        <v>8</v>
      </c>
      <c r="U8" s="1502">
        <f t="shared" si="1"/>
        <v>100</v>
      </c>
      <c r="V8" s="1501" t="s">
        <v>8</v>
      </c>
      <c r="W8" s="1502">
        <f t="shared" si="2"/>
        <v>100</v>
      </c>
      <c r="X8" s="1503"/>
      <c r="Y8" s="4007" t="s">
        <v>525</v>
      </c>
      <c r="Z8" s="4008"/>
      <c r="AA8" s="1504">
        <f t="shared" ref="AA8:AA47" si="3">D8/F8</f>
        <v>1</v>
      </c>
      <c r="AB8" s="1504">
        <f t="shared" ref="AB8:AB47" si="4">D8/H8</f>
        <v>1</v>
      </c>
      <c r="AC8" s="1504">
        <f t="shared" ref="AC8:AC47" si="5">D8/J8</f>
        <v>1</v>
      </c>
    </row>
    <row r="9" spans="1:29" s="1201" customFormat="1" ht="15">
      <c r="A9" s="2629"/>
      <c r="B9" s="2636" t="s">
        <v>2734</v>
      </c>
      <c r="C9" s="3325" t="s">
        <v>3129</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3130</v>
      </c>
      <c r="F10" s="251">
        <f>SUMIF(66:66,E10,67:67)-SUMIF(66:66,C10,67:67)+100</f>
        <v>100</v>
      </c>
      <c r="G10" s="849" t="s">
        <v>3130</v>
      </c>
      <c r="H10" s="251">
        <f>SUMIF(66:66,G10,67:67)-SUMIF(66:66,C10,67:67)+100</f>
        <v>100</v>
      </c>
      <c r="I10" s="848" t="s">
        <v>3130</v>
      </c>
      <c r="J10" s="251">
        <f>SUMIF(66:66,I10,67:67)-SUMIF(66:66,C10,67:67)+100</f>
        <v>100</v>
      </c>
      <c r="K10" s="576"/>
      <c r="L10" s="2018"/>
      <c r="M10" s="2057"/>
      <c r="N10" s="2057"/>
      <c r="O10" s="2057"/>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76"/>
      <c r="Q11" s="1132" t="str">
        <f t="shared" si="6"/>
        <v>容积率</v>
      </c>
      <c r="R11" s="1501" t="s">
        <v>8</v>
      </c>
      <c r="S11" s="1502">
        <f t="shared" si="0"/>
        <v>100</v>
      </c>
      <c r="T11" s="1501" t="s">
        <v>8</v>
      </c>
      <c r="U11" s="1502">
        <f t="shared" si="1"/>
        <v>100</v>
      </c>
      <c r="V11" s="1501" t="s">
        <v>8</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100</v>
      </c>
      <c r="K15" s="885">
        <v>2</v>
      </c>
      <c r="L15" s="2022"/>
      <c r="M15" s="2014"/>
      <c r="N15" s="2014"/>
      <c r="O15" s="2014"/>
      <c r="P15" s="4010" t="s">
        <v>532</v>
      </c>
      <c r="Q15" s="1505" t="str">
        <f t="shared" si="6"/>
        <v>办公集聚程度</v>
      </c>
      <c r="R15" s="1506" t="s">
        <v>8</v>
      </c>
      <c r="S15" s="1507">
        <f t="shared" si="0"/>
        <v>100</v>
      </c>
      <c r="T15" s="1506" t="s">
        <v>8</v>
      </c>
      <c r="U15" s="1507">
        <f t="shared" si="1"/>
        <v>100</v>
      </c>
      <c r="V15" s="1506" t="s">
        <v>8</v>
      </c>
      <c r="W15" s="1507">
        <f t="shared" si="2"/>
        <v>100</v>
      </c>
      <c r="X15" s="1500"/>
      <c r="Y15" s="4010" t="s">
        <v>532</v>
      </c>
      <c r="Z15" s="1508" t="str">
        <f t="shared" si="7"/>
        <v>办公集聚程度</v>
      </c>
      <c r="AA15" s="1509">
        <f t="shared" si="3"/>
        <v>1</v>
      </c>
      <c r="AB15" s="1509">
        <f t="shared" si="4"/>
        <v>1</v>
      </c>
      <c r="AC15" s="1509">
        <f t="shared" si="5"/>
        <v>1</v>
      </c>
    </row>
    <row r="16" spans="1:29" ht="15">
      <c r="A16" s="524"/>
      <c r="B16" s="545"/>
      <c r="C16" s="546" t="s">
        <v>3071</v>
      </c>
      <c r="D16" s="547"/>
      <c r="E16" s="568" t="s">
        <v>3071</v>
      </c>
      <c r="F16" s="547"/>
      <c r="G16" s="546" t="s">
        <v>3071</v>
      </c>
      <c r="H16" s="551"/>
      <c r="I16" s="568" t="s">
        <v>3071</v>
      </c>
      <c r="J16" s="547"/>
      <c r="K16" s="886"/>
      <c r="L16" s="2022"/>
      <c r="M16" s="2014"/>
      <c r="N16" s="2014"/>
      <c r="O16" s="2014"/>
      <c r="P16" s="4011"/>
      <c r="Q16" s="1505"/>
      <c r="R16" s="1506"/>
      <c r="S16" s="1507"/>
      <c r="T16" s="1506"/>
      <c r="U16" s="1507"/>
      <c r="V16" s="1506"/>
      <c r="W16" s="1507"/>
      <c r="X16" s="1500"/>
      <c r="Y16" s="4011"/>
      <c r="Z16" s="1508"/>
      <c r="AA16" s="1509">
        <v>1</v>
      </c>
      <c r="AB16" s="1509">
        <v>1</v>
      </c>
      <c r="AC16" s="1509">
        <v>1</v>
      </c>
    </row>
    <row r="17" spans="1:29" ht="87" customHeight="1">
      <c r="A17" s="524"/>
      <c r="B17" s="552" t="s">
        <v>294</v>
      </c>
      <c r="C17" s="3372" t="str">
        <f>估价对象房地状况!C6</f>
        <v>周边有通322路、342路、589路、667路、804路、808路、通19路、通41路、通62路等多条公交线路通过，距地铁6号线（北运河西站）约1公里，综合评价交通便捷度较好</v>
      </c>
      <c r="D17" s="3373">
        <v>100</v>
      </c>
      <c r="E17" s="3374"/>
      <c r="F17" s="3373">
        <f>SUMIF(79:79,E18,80:80)-SUMIF(79:79,C18,80:80)+100</f>
        <v>102</v>
      </c>
      <c r="G17" s="3375"/>
      <c r="H17" s="3376">
        <f>SUMIF(79:79,G18,80:80)-SUMIF(79:79,C18,80:80)+100</f>
        <v>102</v>
      </c>
      <c r="I17" s="3375"/>
      <c r="J17" s="3376">
        <f>SUMIF(79:79,I18,80:80)-SUMIF(79:79,C18,80:80)+100</f>
        <v>102</v>
      </c>
      <c r="K17" s="3377">
        <v>2</v>
      </c>
      <c r="L17" s="2022"/>
      <c r="M17" s="2014"/>
      <c r="N17" s="2014"/>
      <c r="O17" s="2014"/>
      <c r="P17" s="4011"/>
      <c r="Q17" s="1505" t="str">
        <f>B17</f>
        <v>交通便捷度</v>
      </c>
      <c r="R17" s="1506" t="s">
        <v>8</v>
      </c>
      <c r="S17" s="1507">
        <f>F17</f>
        <v>102</v>
      </c>
      <c r="T17" s="1506" t="s">
        <v>8</v>
      </c>
      <c r="U17" s="1507">
        <f>H17</f>
        <v>102</v>
      </c>
      <c r="V17" s="1506" t="s">
        <v>8</v>
      </c>
      <c r="W17" s="1507">
        <f>J17</f>
        <v>102</v>
      </c>
      <c r="X17" s="1500"/>
      <c r="Y17" s="4011"/>
      <c r="Z17" s="1508" t="str">
        <f>Q17</f>
        <v>交通便捷度</v>
      </c>
      <c r="AA17" s="1509">
        <f t="shared" si="3"/>
        <v>0.98039215686274506</v>
      </c>
      <c r="AB17" s="1509">
        <f t="shared" si="4"/>
        <v>0.98039215686274506</v>
      </c>
      <c r="AC17" s="1509">
        <f t="shared" si="5"/>
        <v>0.98039215686274506</v>
      </c>
    </row>
    <row r="18" spans="1:29" ht="15">
      <c r="A18" s="524"/>
      <c r="B18" s="558"/>
      <c r="C18" s="559" t="s">
        <v>3070</v>
      </c>
      <c r="D18" s="551"/>
      <c r="E18" s="561" t="s">
        <v>3071</v>
      </c>
      <c r="F18" s="551"/>
      <c r="G18" s="560" t="s">
        <v>3071</v>
      </c>
      <c r="H18" s="547"/>
      <c r="I18" s="560" t="s">
        <v>3071</v>
      </c>
      <c r="J18" s="547"/>
      <c r="K18" s="886"/>
      <c r="L18" s="2022"/>
      <c r="M18" s="2014"/>
      <c r="N18" s="2014"/>
      <c r="O18" s="2014"/>
      <c r="P18" s="4011"/>
      <c r="Q18" s="1505"/>
      <c r="R18" s="1506"/>
      <c r="S18" s="1507"/>
      <c r="T18" s="1506"/>
      <c r="U18" s="1507"/>
      <c r="V18" s="1506"/>
      <c r="W18" s="1507"/>
      <c r="X18" s="1500"/>
      <c r="Y18" s="4011"/>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58"/>
      <c r="C20" s="546" t="s">
        <v>3071</v>
      </c>
      <c r="D20" s="547"/>
      <c r="E20" s="550" t="s">
        <v>3071</v>
      </c>
      <c r="F20" s="547"/>
      <c r="G20" s="548" t="s">
        <v>3071</v>
      </c>
      <c r="H20" s="547"/>
      <c r="I20" s="548" t="s">
        <v>3071</v>
      </c>
      <c r="J20" s="547"/>
      <c r="K20" s="886"/>
      <c r="L20" s="2022"/>
      <c r="M20" s="2014"/>
      <c r="N20" s="2014"/>
      <c r="O20" s="2014"/>
      <c r="P20" s="4011"/>
      <c r="Q20" s="1505"/>
      <c r="R20" s="1506"/>
      <c r="S20" s="1507"/>
      <c r="T20" s="1506"/>
      <c r="U20" s="1507"/>
      <c r="V20" s="1506"/>
      <c r="W20" s="1507"/>
      <c r="X20" s="1500"/>
      <c r="Y20" s="4011"/>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570"/>
      <c r="C22" s="559" t="s">
        <v>3078</v>
      </c>
      <c r="D22" s="547"/>
      <c r="E22" s="568" t="s">
        <v>3078</v>
      </c>
      <c r="F22" s="547"/>
      <c r="G22" s="546" t="s">
        <v>3078</v>
      </c>
      <c r="H22" s="547"/>
      <c r="I22" s="546" t="s">
        <v>3078</v>
      </c>
      <c r="J22" s="547"/>
      <c r="K22" s="2444"/>
      <c r="L22" s="2022"/>
      <c r="M22" s="2014"/>
      <c r="N22" s="2014"/>
      <c r="O22" s="2014"/>
      <c r="P22" s="4011"/>
      <c r="Q22" s="2427"/>
      <c r="R22" s="1506"/>
      <c r="S22" s="1507"/>
      <c r="T22" s="1506"/>
      <c r="U22" s="1507"/>
      <c r="V22" s="1506"/>
      <c r="W22" s="1507"/>
      <c r="X22" s="2429"/>
      <c r="Y22" s="4011"/>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4011"/>
      <c r="Q23" s="1505" t="str">
        <f>B23</f>
        <v>环境质量</v>
      </c>
      <c r="R23" s="1506" t="s">
        <v>8</v>
      </c>
      <c r="S23" s="1507">
        <f>F23</f>
        <v>98</v>
      </c>
      <c r="T23" s="1506" t="s">
        <v>8</v>
      </c>
      <c r="U23" s="1507">
        <f>H23</f>
        <v>98</v>
      </c>
      <c r="V23" s="1506" t="s">
        <v>8</v>
      </c>
      <c r="W23" s="1507">
        <f>J23</f>
        <v>98</v>
      </c>
      <c r="X23" s="1500"/>
      <c r="Y23" s="4011"/>
      <c r="Z23" s="1508" t="str">
        <f>Q23</f>
        <v>环境质量</v>
      </c>
      <c r="AA23" s="1509">
        <f t="shared" si="3"/>
        <v>1.0204081632653061</v>
      </c>
      <c r="AB23" s="1509">
        <f t="shared" si="4"/>
        <v>1.0204081632653061</v>
      </c>
      <c r="AC23" s="1509">
        <f t="shared" si="5"/>
        <v>1.0204081632653061</v>
      </c>
    </row>
    <row r="24" spans="1:29" ht="15">
      <c r="A24" s="524"/>
      <c r="B24" s="570"/>
      <c r="C24" s="546" t="s">
        <v>3077</v>
      </c>
      <c r="D24" s="547"/>
      <c r="E24" s="550" t="s">
        <v>3071</v>
      </c>
      <c r="F24" s="547"/>
      <c r="G24" s="548" t="s">
        <v>3071</v>
      </c>
      <c r="H24" s="547"/>
      <c r="I24" s="548" t="s">
        <v>3071</v>
      </c>
      <c r="J24" s="547"/>
      <c r="K24" s="886"/>
      <c r="L24" s="2022"/>
      <c r="M24" s="2014"/>
      <c r="N24" s="2014"/>
      <c r="O24" s="2014"/>
      <c r="P24" s="4011"/>
      <c r="Q24" s="1505"/>
      <c r="R24" s="1506"/>
      <c r="S24" s="1507"/>
      <c r="T24" s="1506"/>
      <c r="U24" s="1507"/>
      <c r="V24" s="1506"/>
      <c r="W24" s="1507"/>
      <c r="X24" s="1500"/>
      <c r="Y24" s="4011"/>
      <c r="Z24" s="1508"/>
      <c r="AA24" s="1509">
        <v>1</v>
      </c>
      <c r="AB24" s="1509">
        <v>1</v>
      </c>
      <c r="AC24" s="1509">
        <v>1</v>
      </c>
    </row>
    <row r="25" spans="1:29" ht="27">
      <c r="A25" s="507"/>
      <c r="B25" s="552" t="s">
        <v>540</v>
      </c>
      <c r="C25" s="899"/>
      <c r="D25" s="532">
        <v>100</v>
      </c>
      <c r="E25" s="531"/>
      <c r="F25" s="532">
        <f>SUMIF(87:87,E26,88:88)-SUMIF(87:87,C26,88:88)+100</f>
        <v>100</v>
      </c>
      <c r="G25" s="899"/>
      <c r="H25" s="532">
        <f>SUMIF(87:87,G26,88:88)-SUMIF(87:87,C26,88:88)+100</f>
        <v>100</v>
      </c>
      <c r="I25" s="531"/>
      <c r="J25" s="532">
        <f>SUMIF(87:87,I26,88:88)-SUMIF(87:87,C26,88:88)+100</f>
        <v>100</v>
      </c>
      <c r="K25" s="885">
        <v>2</v>
      </c>
      <c r="L25" s="2022"/>
      <c r="M25" s="2014"/>
      <c r="N25" s="2014"/>
      <c r="O25" s="2014"/>
      <c r="P25" s="4011"/>
      <c r="Q25" s="1505" t="str">
        <f>B25</f>
        <v>毗邻道路的类型与等级</v>
      </c>
      <c r="R25" s="1506" t="s">
        <v>8</v>
      </c>
      <c r="S25" s="1507">
        <f>F25</f>
        <v>100</v>
      </c>
      <c r="T25" s="1506" t="s">
        <v>8</v>
      </c>
      <c r="U25" s="1507">
        <f>H25</f>
        <v>100</v>
      </c>
      <c r="V25" s="1506" t="s">
        <v>8</v>
      </c>
      <c r="W25" s="1507">
        <f>J25</f>
        <v>100</v>
      </c>
      <c r="X25" s="1500"/>
      <c r="Y25" s="4011"/>
      <c r="Z25" s="1508" t="str">
        <f>Q25</f>
        <v>毗邻道路的类型与等级</v>
      </c>
      <c r="AA25" s="1509">
        <f t="shared" si="3"/>
        <v>1</v>
      </c>
      <c r="AB25" s="1509">
        <f t="shared" si="4"/>
        <v>1</v>
      </c>
      <c r="AC25" s="1509">
        <f t="shared" si="5"/>
        <v>1</v>
      </c>
    </row>
    <row r="26" spans="1:29" ht="15">
      <c r="A26" s="507"/>
      <c r="B26" s="558"/>
      <c r="C26" s="572" t="s">
        <v>3081</v>
      </c>
      <c r="D26" s="532"/>
      <c r="E26" s="575" t="s">
        <v>3081</v>
      </c>
      <c r="F26" s="532"/>
      <c r="G26" s="572" t="s">
        <v>3081</v>
      </c>
      <c r="H26" s="532"/>
      <c r="I26" s="575" t="s">
        <v>3081</v>
      </c>
      <c r="J26" s="532"/>
      <c r="K26" s="886"/>
      <c r="L26" s="2022"/>
      <c r="M26" s="2014"/>
      <c r="N26" s="2014"/>
      <c r="O26" s="2014"/>
      <c r="P26" s="4011"/>
      <c r="Q26" s="1505"/>
      <c r="R26" s="1506"/>
      <c r="S26" s="1507"/>
      <c r="T26" s="1506"/>
      <c r="U26" s="1507"/>
      <c r="V26" s="1506"/>
      <c r="W26" s="1507"/>
      <c r="X26" s="1500"/>
      <c r="Y26" s="4011"/>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11"/>
      <c r="Q27" s="1505" t="str">
        <f t="shared" ref="Q27:Q47" si="11">B27</f>
        <v>楼层</v>
      </c>
      <c r="R27" s="1506" t="s">
        <v>8</v>
      </c>
      <c r="S27" s="1507">
        <f>F27</f>
        <v>100</v>
      </c>
      <c r="T27" s="1506" t="s">
        <v>8</v>
      </c>
      <c r="U27" s="1507">
        <f>H27</f>
        <v>100</v>
      </c>
      <c r="V27" s="1506" t="s">
        <v>8</v>
      </c>
      <c r="W27" s="1507">
        <f>J27</f>
        <v>100</v>
      </c>
      <c r="X27" s="1500"/>
      <c r="Y27" s="4011"/>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11"/>
      <c r="Q28" s="1132" t="str">
        <f t="shared" si="11"/>
        <v>朝向</v>
      </c>
      <c r="R28" s="1501" t="s">
        <v>8</v>
      </c>
      <c r="S28" s="1502">
        <f>F28</f>
        <v>100</v>
      </c>
      <c r="T28" s="1501" t="s">
        <v>8</v>
      </c>
      <c r="U28" s="1502">
        <f>H28</f>
        <v>100</v>
      </c>
      <c r="V28" s="1501" t="s">
        <v>8</v>
      </c>
      <c r="W28" s="1502">
        <f>J28</f>
        <v>100</v>
      </c>
      <c r="X28" s="1503"/>
      <c r="Y28" s="4011"/>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11"/>
      <c r="Q29" s="1505">
        <f t="shared" si="11"/>
        <v>111</v>
      </c>
      <c r="R29" s="1506" t="s">
        <v>8</v>
      </c>
      <c r="S29" s="1507">
        <f t="shared" ref="S29:S47" si="12">F29</f>
        <v>100</v>
      </c>
      <c r="T29" s="1506" t="s">
        <v>8</v>
      </c>
      <c r="U29" s="1507">
        <f t="shared" ref="U29:U47" si="13">H29</f>
        <v>100</v>
      </c>
      <c r="V29" s="1506" t="s">
        <v>8</v>
      </c>
      <c r="W29" s="1507">
        <f t="shared" ref="W29:W47" si="14">J29</f>
        <v>100</v>
      </c>
      <c r="X29" s="1500"/>
      <c r="Y29" s="4011"/>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11"/>
      <c r="Q30" s="1505">
        <f t="shared" si="11"/>
        <v>111</v>
      </c>
      <c r="R30" s="1506" t="s">
        <v>8</v>
      </c>
      <c r="S30" s="1507">
        <f t="shared" si="12"/>
        <v>100</v>
      </c>
      <c r="T30" s="1506" t="s">
        <v>8</v>
      </c>
      <c r="U30" s="1507">
        <f t="shared" si="13"/>
        <v>100</v>
      </c>
      <c r="V30" s="1506" t="s">
        <v>8</v>
      </c>
      <c r="W30" s="1507">
        <f t="shared" si="14"/>
        <v>100</v>
      </c>
      <c r="X30" s="1500"/>
      <c r="Y30" s="4011"/>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11"/>
      <c r="Q31" s="1505">
        <f t="shared" si="11"/>
        <v>111</v>
      </c>
      <c r="R31" s="1506" t="s">
        <v>8</v>
      </c>
      <c r="S31" s="1507">
        <f t="shared" si="12"/>
        <v>100</v>
      </c>
      <c r="T31" s="1506" t="s">
        <v>8</v>
      </c>
      <c r="U31" s="1507">
        <f t="shared" si="13"/>
        <v>100</v>
      </c>
      <c r="V31" s="1506" t="s">
        <v>8</v>
      </c>
      <c r="W31" s="1507">
        <f t="shared" si="14"/>
        <v>100</v>
      </c>
      <c r="X31" s="1500"/>
      <c r="Y31" s="4011"/>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11"/>
      <c r="Q32" s="1505">
        <f t="shared" si="11"/>
        <v>111</v>
      </c>
      <c r="R32" s="1506" t="s">
        <v>8</v>
      </c>
      <c r="S32" s="1507">
        <f t="shared" si="12"/>
        <v>100</v>
      </c>
      <c r="T32" s="1506" t="s">
        <v>8</v>
      </c>
      <c r="U32" s="1507">
        <f t="shared" si="13"/>
        <v>100</v>
      </c>
      <c r="V32" s="1506" t="s">
        <v>8</v>
      </c>
      <c r="W32" s="1507">
        <f t="shared" si="14"/>
        <v>100</v>
      </c>
      <c r="X32" s="1500"/>
      <c r="Y32" s="4011"/>
      <c r="Z32" s="1508">
        <f t="shared" si="15"/>
        <v>111</v>
      </c>
      <c r="AA32" s="1509">
        <f t="shared" si="3"/>
        <v>1</v>
      </c>
      <c r="AB32" s="1509">
        <f t="shared" si="4"/>
        <v>1</v>
      </c>
      <c r="AC32" s="1509">
        <f t="shared" si="5"/>
        <v>1</v>
      </c>
    </row>
    <row r="33" spans="1:29" ht="15">
      <c r="A33" s="2622" t="s">
        <v>2733</v>
      </c>
      <c r="B33" s="169" t="s">
        <v>772</v>
      </c>
      <c r="C33" s="903" t="s">
        <v>3140</v>
      </c>
      <c r="D33" s="589">
        <v>100</v>
      </c>
      <c r="E33" s="903" t="s">
        <v>3140</v>
      </c>
      <c r="F33" s="567">
        <f>SUMIF(101:101,E33,102:102)-SUMIF(101:101,C33,102:102)+100</f>
        <v>100</v>
      </c>
      <c r="G33" s="903" t="s">
        <v>3140</v>
      </c>
      <c r="H33" s="532">
        <f>SUMIF(101:101,G33,102:102)-SUMIF(101:101,C33,102:102)+100</f>
        <v>100</v>
      </c>
      <c r="I33" s="903" t="s">
        <v>3140</v>
      </c>
      <c r="J33" s="589">
        <f>SUMIF(101:101,I33,102:102)-SUMIF(101:101,C33,102:102)+100</f>
        <v>100</v>
      </c>
      <c r="K33" s="576">
        <v>2</v>
      </c>
      <c r="L33" s="2022"/>
      <c r="M33" s="2014"/>
      <c r="N33" s="2014"/>
      <c r="O33" s="2014"/>
      <c r="P33" s="4012" t="s">
        <v>542</v>
      </c>
      <c r="Q33" s="1505" t="str">
        <f t="shared" si="11"/>
        <v>建筑类型</v>
      </c>
      <c r="R33" s="1506" t="s">
        <v>8</v>
      </c>
      <c r="S33" s="1507">
        <f t="shared" si="12"/>
        <v>100</v>
      </c>
      <c r="T33" s="1506" t="s">
        <v>8</v>
      </c>
      <c r="U33" s="1507">
        <f t="shared" si="13"/>
        <v>100</v>
      </c>
      <c r="V33" s="1506" t="s">
        <v>8</v>
      </c>
      <c r="W33" s="1507">
        <f t="shared" si="14"/>
        <v>100</v>
      </c>
      <c r="X33" s="1500"/>
      <c r="Y33" s="4013"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306100</v>
      </c>
      <c r="D34" s="251">
        <v>100</v>
      </c>
      <c r="E34" s="526">
        <v>200000</v>
      </c>
      <c r="F34" s="850">
        <f>LOOKUP(E34,104:104,105:105)-LOOKUP(C34,104:104,105:105)+100</f>
        <v>100</v>
      </c>
      <c r="G34" s="525">
        <v>150000</v>
      </c>
      <c r="H34" s="251">
        <f>LOOKUP(G34,104:104,105:105)-LOOKUP(C34,104:104,105:105)+100</f>
        <v>101</v>
      </c>
      <c r="I34" s="525">
        <v>30000</v>
      </c>
      <c r="J34" s="251">
        <f>LOOKUP(I34,104:104,105:105)-LOOKUP(C34,104:104,105:105)+100</f>
        <v>103</v>
      </c>
      <c r="K34" s="573"/>
      <c r="L34" s="2020"/>
      <c r="M34" s="2050"/>
      <c r="N34" s="2050"/>
      <c r="O34" s="2050"/>
      <c r="P34" s="4013"/>
      <c r="Q34" s="1534" t="str">
        <f t="shared" si="11"/>
        <v>项目建筑规模</v>
      </c>
      <c r="R34" s="1510" t="s">
        <v>8</v>
      </c>
      <c r="S34" s="1511">
        <f t="shared" si="12"/>
        <v>100</v>
      </c>
      <c r="T34" s="1510" t="s">
        <v>8</v>
      </c>
      <c r="U34" s="1511">
        <f t="shared" si="13"/>
        <v>101</v>
      </c>
      <c r="V34" s="1510" t="s">
        <v>8</v>
      </c>
      <c r="W34" s="1511">
        <f t="shared" si="14"/>
        <v>103</v>
      </c>
      <c r="X34" s="1512"/>
      <c r="Y34" s="4013"/>
      <c r="Z34" s="1513" t="str">
        <f t="shared" si="15"/>
        <v>项目建筑规模</v>
      </c>
      <c r="AA34" s="1509">
        <f t="shared" si="3"/>
        <v>1</v>
      </c>
      <c r="AB34" s="1509">
        <f t="shared" si="4"/>
        <v>0.99009900990099009</v>
      </c>
      <c r="AC34" s="1509">
        <f t="shared" si="5"/>
        <v>0.970873786407767</v>
      </c>
    </row>
    <row r="35" spans="1:29" ht="15">
      <c r="A35" s="586"/>
      <c r="B35" s="519" t="s">
        <v>719</v>
      </c>
      <c r="C35" s="566" t="s">
        <v>3076</v>
      </c>
      <c r="D35" s="532">
        <v>100</v>
      </c>
      <c r="E35" s="566" t="s">
        <v>3076</v>
      </c>
      <c r="F35" s="567">
        <f>SUMIF(106:106,E35,107:107)-SUMIF(106:106,C35,107:107)+100</f>
        <v>100</v>
      </c>
      <c r="G35" s="566" t="s">
        <v>3076</v>
      </c>
      <c r="H35" s="532">
        <f>SUMIF(106:106,G35,107:107)-SUMIF(106:106,C35,107:107)+100</f>
        <v>100</v>
      </c>
      <c r="I35" s="566" t="s">
        <v>3076</v>
      </c>
      <c r="J35" s="532">
        <f>SUMIF(106:106,I35,107:107)-SUMIF(106:106,C35,107:107)+100</f>
        <v>100</v>
      </c>
      <c r="K35" s="576">
        <v>2</v>
      </c>
      <c r="L35" s="2022"/>
      <c r="M35" s="2014"/>
      <c r="N35" s="2014"/>
      <c r="O35" s="2014"/>
      <c r="P35" s="4013"/>
      <c r="Q35" s="1505" t="str">
        <f t="shared" si="11"/>
        <v>建筑结构</v>
      </c>
      <c r="R35" s="1506" t="s">
        <v>8</v>
      </c>
      <c r="S35" s="1507">
        <f t="shared" si="12"/>
        <v>100</v>
      </c>
      <c r="T35" s="1506" t="s">
        <v>8</v>
      </c>
      <c r="U35" s="1507">
        <f t="shared" si="13"/>
        <v>100</v>
      </c>
      <c r="V35" s="1506" t="s">
        <v>8</v>
      </c>
      <c r="W35" s="1507">
        <f t="shared" si="14"/>
        <v>100</v>
      </c>
      <c r="X35" s="1500"/>
      <c r="Y35" s="4013"/>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13"/>
      <c r="Q36" s="1505" t="str">
        <f t="shared" si="11"/>
        <v>公共部分装修</v>
      </c>
      <c r="R36" s="1506" t="s">
        <v>8</v>
      </c>
      <c r="S36" s="1507">
        <f t="shared" si="12"/>
        <v>100</v>
      </c>
      <c r="T36" s="1506" t="s">
        <v>8</v>
      </c>
      <c r="U36" s="1507">
        <f t="shared" si="13"/>
        <v>100</v>
      </c>
      <c r="V36" s="1506" t="s">
        <v>8</v>
      </c>
      <c r="W36" s="1507">
        <f t="shared" si="14"/>
        <v>100</v>
      </c>
      <c r="X36" s="1500"/>
      <c r="Y36" s="4013"/>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13"/>
      <c r="Q37" s="1505" t="str">
        <f t="shared" si="11"/>
        <v>成新度</v>
      </c>
      <c r="R37" s="1506" t="s">
        <v>8</v>
      </c>
      <c r="S37" s="1507">
        <f t="shared" si="12"/>
        <v>97</v>
      </c>
      <c r="T37" s="1506" t="s">
        <v>8</v>
      </c>
      <c r="U37" s="1507">
        <f t="shared" si="13"/>
        <v>97</v>
      </c>
      <c r="V37" s="1506" t="s">
        <v>8</v>
      </c>
      <c r="W37" s="1507">
        <f t="shared" si="14"/>
        <v>97</v>
      </c>
      <c r="X37" s="1500"/>
      <c r="Y37" s="4013"/>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13"/>
      <c r="Q38" s="1132" t="str">
        <f t="shared" si="11"/>
        <v>写字楼等级</v>
      </c>
      <c r="R38" s="1501" t="s">
        <v>8</v>
      </c>
      <c r="S38" s="1502">
        <f t="shared" si="12"/>
        <v>100</v>
      </c>
      <c r="T38" s="1501" t="s">
        <v>8</v>
      </c>
      <c r="U38" s="1502">
        <f t="shared" si="13"/>
        <v>100</v>
      </c>
      <c r="V38" s="1501" t="s">
        <v>8</v>
      </c>
      <c r="W38" s="1502">
        <f t="shared" si="14"/>
        <v>100</v>
      </c>
      <c r="X38" s="1503"/>
      <c r="Y38" s="4013"/>
      <c r="Z38" s="1131" t="str">
        <f t="shared" si="15"/>
        <v>写字楼等级</v>
      </c>
      <c r="AA38" s="1504">
        <f t="shared" si="3"/>
        <v>1</v>
      </c>
      <c r="AB38" s="1504">
        <f t="shared" si="4"/>
        <v>1</v>
      </c>
      <c r="AC38" s="1504">
        <f t="shared" si="5"/>
        <v>1</v>
      </c>
    </row>
    <row r="39" spans="1:29" ht="15">
      <c r="A39" s="586"/>
      <c r="B39" s="519" t="s">
        <v>774</v>
      </c>
      <c r="C39" s="566" t="s">
        <v>3143</v>
      </c>
      <c r="D39" s="532">
        <v>100</v>
      </c>
      <c r="E39" s="566" t="s">
        <v>3143</v>
      </c>
      <c r="F39" s="567">
        <f>SUMIF(115:115,E39,116:116)-SUMIF(115:115,C39,116:116)+100</f>
        <v>100</v>
      </c>
      <c r="G39" s="566" t="s">
        <v>3143</v>
      </c>
      <c r="H39" s="532">
        <f>SUMIF(115:115,G39,116:116)-SUMIF(115:115,C39,116:116)+100</f>
        <v>100</v>
      </c>
      <c r="I39" s="566" t="s">
        <v>3143</v>
      </c>
      <c r="J39" s="532">
        <f>SUMIF(115:115,I39,116:116)-SUMIF(115:115,C39,116:116)+100</f>
        <v>100</v>
      </c>
      <c r="K39" s="576">
        <v>2</v>
      </c>
      <c r="L39" s="2022"/>
      <c r="M39" s="2014"/>
      <c r="N39" s="2014"/>
      <c r="O39" s="2014"/>
      <c r="P39" s="4013" t="s">
        <v>542</v>
      </c>
      <c r="Q39" s="1505" t="str">
        <f t="shared" si="11"/>
        <v>物业管理</v>
      </c>
      <c r="R39" s="1506" t="s">
        <v>8</v>
      </c>
      <c r="S39" s="1507">
        <f t="shared" si="12"/>
        <v>100</v>
      </c>
      <c r="T39" s="1506" t="s">
        <v>8</v>
      </c>
      <c r="U39" s="1507">
        <f t="shared" si="13"/>
        <v>100</v>
      </c>
      <c r="V39" s="1506" t="s">
        <v>8</v>
      </c>
      <c r="W39" s="1507">
        <f t="shared" si="14"/>
        <v>100</v>
      </c>
      <c r="X39" s="1500"/>
      <c r="Y39" s="4013"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13"/>
      <c r="Q40" s="1505" t="str">
        <f t="shared" si="11"/>
        <v>市政基础设施</v>
      </c>
      <c r="R40" s="1506" t="s">
        <v>8</v>
      </c>
      <c r="S40" s="1507">
        <f t="shared" si="12"/>
        <v>100</v>
      </c>
      <c r="T40" s="1506" t="s">
        <v>8</v>
      </c>
      <c r="U40" s="1507">
        <f t="shared" si="13"/>
        <v>100</v>
      </c>
      <c r="V40" s="1506" t="s">
        <v>8</v>
      </c>
      <c r="W40" s="1507">
        <f t="shared" si="14"/>
        <v>100</v>
      </c>
      <c r="X40" s="1500"/>
      <c r="Y40" s="4013"/>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13"/>
      <c r="Q41" s="1505" t="str">
        <f t="shared" si="11"/>
        <v>层高</v>
      </c>
      <c r="R41" s="1506" t="s">
        <v>8</v>
      </c>
      <c r="S41" s="1507">
        <f t="shared" si="12"/>
        <v>100</v>
      </c>
      <c r="T41" s="1506" t="s">
        <v>8</v>
      </c>
      <c r="U41" s="1507">
        <f t="shared" si="13"/>
        <v>100</v>
      </c>
      <c r="V41" s="1506" t="s">
        <v>8</v>
      </c>
      <c r="W41" s="1507">
        <f t="shared" si="14"/>
        <v>100</v>
      </c>
      <c r="X41" s="1500"/>
      <c r="Y41" s="4013"/>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13"/>
      <c r="Q42" s="1534" t="str">
        <f t="shared" si="11"/>
        <v>单套建筑面积</v>
      </c>
      <c r="R42" s="1510" t="s">
        <v>8</v>
      </c>
      <c r="S42" s="1511">
        <f t="shared" si="12"/>
        <v>100</v>
      </c>
      <c r="T42" s="1510" t="s">
        <v>8</v>
      </c>
      <c r="U42" s="1511">
        <f t="shared" si="13"/>
        <v>100</v>
      </c>
      <c r="V42" s="1510" t="s">
        <v>8</v>
      </c>
      <c r="W42" s="1511">
        <f t="shared" si="14"/>
        <v>100</v>
      </c>
      <c r="X42" s="1512"/>
      <c r="Y42" s="4013"/>
      <c r="Z42" s="1513" t="str">
        <f t="shared" si="15"/>
        <v>单套建筑面积</v>
      </c>
      <c r="AA42" s="1509">
        <f t="shared" si="3"/>
        <v>1</v>
      </c>
      <c r="AB42" s="1509">
        <f t="shared" si="4"/>
        <v>1</v>
      </c>
      <c r="AC42" s="1509">
        <f t="shared" si="5"/>
        <v>1</v>
      </c>
    </row>
    <row r="43" spans="1:29" ht="15.75" thickBot="1">
      <c r="A43" s="586"/>
      <c r="B43" s="519" t="s">
        <v>762</v>
      </c>
      <c r="C43" s="566" t="s">
        <v>3111</v>
      </c>
      <c r="D43" s="532">
        <v>100</v>
      </c>
      <c r="E43" s="566" t="s">
        <v>3109</v>
      </c>
      <c r="F43" s="567">
        <f>SUMIF(123:123,E43,124:124)-SUMIF(123:123,C43,124:124)+100</f>
        <v>101</v>
      </c>
      <c r="G43" s="566" t="s">
        <v>3109</v>
      </c>
      <c r="H43" s="532">
        <f>SUMIF(123:123,G43,124:124)-SUMIF(123:123,C43,124:124)+100</f>
        <v>101</v>
      </c>
      <c r="I43" s="566" t="s">
        <v>3171</v>
      </c>
      <c r="J43" s="532">
        <f>SUMIF(123:123,I43,124:124)-SUMIF(123:123,C43,124:124)+100</f>
        <v>99</v>
      </c>
      <c r="K43" s="576">
        <v>1</v>
      </c>
      <c r="L43" s="2022"/>
      <c r="M43" s="2014"/>
      <c r="N43" s="2014"/>
      <c r="O43" s="2014"/>
      <c r="P43" s="4013"/>
      <c r="Q43" s="1505" t="str">
        <f t="shared" si="11"/>
        <v>内部装修</v>
      </c>
      <c r="R43" s="1506" t="s">
        <v>8</v>
      </c>
      <c r="S43" s="1507">
        <f t="shared" si="12"/>
        <v>101</v>
      </c>
      <c r="T43" s="1506" t="s">
        <v>8</v>
      </c>
      <c r="U43" s="1507">
        <f t="shared" si="13"/>
        <v>101</v>
      </c>
      <c r="V43" s="1506" t="s">
        <v>8</v>
      </c>
      <c r="W43" s="1507">
        <f t="shared" si="14"/>
        <v>99</v>
      </c>
      <c r="X43" s="1500"/>
      <c r="Y43" s="4013"/>
      <c r="Z43" s="1508" t="str">
        <f t="shared" si="15"/>
        <v>内部装修</v>
      </c>
      <c r="AA43" s="1509">
        <f t="shared" si="3"/>
        <v>0.99009900990099009</v>
      </c>
      <c r="AB43" s="1509">
        <f t="shared" si="4"/>
        <v>0.99009900990099009</v>
      </c>
      <c r="AC43" s="1509">
        <f t="shared" si="5"/>
        <v>1.0101010101010102</v>
      </c>
    </row>
    <row r="44" spans="1:29" ht="27" hidden="1">
      <c r="A44" s="586"/>
      <c r="B44" s="519" t="s">
        <v>727</v>
      </c>
      <c r="C44" s="566" t="s">
        <v>3077</v>
      </c>
      <c r="D44" s="532">
        <v>100</v>
      </c>
      <c r="E44" s="591" t="s">
        <v>3077</v>
      </c>
      <c r="F44" s="567">
        <f>SUMIF(125:125,E44,126:126)-SUMIF(125:125,C44,126:126)+100</f>
        <v>100</v>
      </c>
      <c r="G44" s="591" t="s">
        <v>3077</v>
      </c>
      <c r="H44" s="532">
        <f>SUMIF(125:125,G44,126:126)-SUMIF(125:125,C44,126:126)+100</f>
        <v>100</v>
      </c>
      <c r="I44" s="591" t="s">
        <v>3077</v>
      </c>
      <c r="J44" s="532">
        <f>SUMIF(125:125,I44,126:126)-SUMIF(125:125,C44,126:126)+100</f>
        <v>100</v>
      </c>
      <c r="K44" s="576"/>
      <c r="L44" s="2022"/>
      <c r="M44" s="2014"/>
      <c r="N44" s="2014"/>
      <c r="O44" s="2014"/>
      <c r="P44" s="4013"/>
      <c r="Q44" s="1505" t="str">
        <f t="shared" si="11"/>
        <v>内部装修维护情况</v>
      </c>
      <c r="R44" s="1506" t="s">
        <v>8</v>
      </c>
      <c r="S44" s="1507">
        <f t="shared" si="12"/>
        <v>100</v>
      </c>
      <c r="T44" s="1506" t="s">
        <v>8</v>
      </c>
      <c r="U44" s="1507">
        <f t="shared" si="13"/>
        <v>100</v>
      </c>
      <c r="V44" s="1506" t="s">
        <v>8</v>
      </c>
      <c r="W44" s="1507">
        <f t="shared" si="14"/>
        <v>100</v>
      </c>
      <c r="X44" s="1500"/>
      <c r="Y44" s="4013"/>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13"/>
      <c r="Q45" s="1132">
        <f t="shared" si="11"/>
        <v>111</v>
      </c>
      <c r="R45" s="1501" t="s">
        <v>8</v>
      </c>
      <c r="S45" s="1502">
        <f t="shared" si="12"/>
        <v>100</v>
      </c>
      <c r="T45" s="1501" t="s">
        <v>8</v>
      </c>
      <c r="U45" s="1502">
        <f t="shared" si="13"/>
        <v>100</v>
      </c>
      <c r="V45" s="1501" t="s">
        <v>8</v>
      </c>
      <c r="W45" s="1502">
        <f t="shared" si="14"/>
        <v>100</v>
      </c>
      <c r="X45" s="1503"/>
      <c r="Y45" s="4013"/>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13"/>
      <c r="Q46" s="1505">
        <f t="shared" si="11"/>
        <v>111</v>
      </c>
      <c r="R46" s="1506" t="s">
        <v>8</v>
      </c>
      <c r="S46" s="1507">
        <f t="shared" si="12"/>
        <v>100</v>
      </c>
      <c r="T46" s="1506" t="s">
        <v>8</v>
      </c>
      <c r="U46" s="1507">
        <f t="shared" si="13"/>
        <v>100</v>
      </c>
      <c r="V46" s="1506" t="s">
        <v>8</v>
      </c>
      <c r="W46" s="1507">
        <f t="shared" si="14"/>
        <v>100</v>
      </c>
      <c r="X46" s="1500"/>
      <c r="Y46" s="4013"/>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135"/>
      <c r="Q47" s="1505">
        <f t="shared" si="11"/>
        <v>111</v>
      </c>
      <c r="R47" s="1506" t="s">
        <v>8</v>
      </c>
      <c r="S47" s="1507">
        <f t="shared" si="12"/>
        <v>100</v>
      </c>
      <c r="T47" s="1506" t="s">
        <v>8</v>
      </c>
      <c r="U47" s="1507">
        <f t="shared" si="13"/>
        <v>100</v>
      </c>
      <c r="V47" s="1506" t="s">
        <v>8</v>
      </c>
      <c r="W47" s="1507">
        <f t="shared" si="14"/>
        <v>100</v>
      </c>
      <c r="X47" s="1500"/>
      <c r="Y47" s="4135"/>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74" t="str">
        <f>A48</f>
        <v>成交单价（元/平方米）</v>
      </c>
      <c r="Q48" s="3976"/>
      <c r="R48" s="4134">
        <f>E48</f>
        <v>3.5</v>
      </c>
      <c r="S48" s="4134"/>
      <c r="T48" s="4134">
        <f>G48</f>
        <v>4</v>
      </c>
      <c r="U48" s="4134"/>
      <c r="V48" s="4134">
        <f>I48</f>
        <v>4.3</v>
      </c>
      <c r="W48" s="4134"/>
      <c r="X48" s="1495"/>
      <c r="Y48" s="1514"/>
      <c r="Z48" s="1495"/>
      <c r="AA48" s="1495"/>
      <c r="AB48" s="1495"/>
      <c r="AC48" s="1495"/>
    </row>
    <row r="49" spans="1:29" ht="15.75" thickBot="1">
      <c r="A49" s="607" t="s">
        <v>2738</v>
      </c>
      <c r="B49" s="875"/>
      <c r="C49" s="2474">
        <f>R50</f>
        <v>4</v>
      </c>
      <c r="D49" s="3003" t="s">
        <v>2963</v>
      </c>
      <c r="E49" s="2475">
        <f>R49</f>
        <v>3.6</v>
      </c>
      <c r="F49" s="3004"/>
      <c r="G49" s="2474">
        <f>T49</f>
        <v>4</v>
      </c>
      <c r="H49" s="3004"/>
      <c r="I49" s="2475">
        <f>V49</f>
        <v>4.3</v>
      </c>
      <c r="J49" s="3004"/>
      <c r="K49" s="3012">
        <f>F49+H49+J49</f>
        <v>0</v>
      </c>
      <c r="L49" s="2024"/>
      <c r="M49" s="2014"/>
      <c r="N49" s="2014"/>
      <c r="O49" s="2014"/>
      <c r="P49" s="3974" t="str">
        <f>A49</f>
        <v>比较价格（元/平方米）</v>
      </c>
      <c r="Q49" s="3976"/>
      <c r="R49" s="4134">
        <f>IF(F1="售价",ROUND(PRODUCT(R48,AA7:AA47),0),ROUND(PRODUCT(R48,AA7:AA47),1))</f>
        <v>3.6</v>
      </c>
      <c r="S49" s="4134"/>
      <c r="T49" s="4134">
        <f>IF(F1="售价",ROUND(PRODUCT(T48,AB7:AB47),0),ROUND(PRODUCT(T48,AB7:AB47),1))</f>
        <v>4</v>
      </c>
      <c r="U49" s="4134"/>
      <c r="V49" s="4134">
        <f>IF(F1="售价",ROUND(PRODUCT(V48,AC7:AC47),0),ROUND(PRODUCT(V48,AC7:AC47),1))</f>
        <v>4.3</v>
      </c>
      <c r="W49" s="4134"/>
      <c r="X49" s="1495"/>
      <c r="Y49" s="1495"/>
      <c r="Z49" s="1495"/>
      <c r="AA49" s="1495"/>
      <c r="AB49" s="1495"/>
      <c r="AC49" s="1495"/>
    </row>
    <row r="50" spans="1:29" ht="15.75" thickBot="1">
      <c r="A50" s="611" t="s">
        <v>2898</v>
      </c>
      <c r="B50" s="612"/>
      <c r="C50" s="2476">
        <f>R50</f>
        <v>4</v>
      </c>
      <c r="D50" s="2476"/>
      <c r="E50" s="2476"/>
      <c r="F50" s="2476"/>
      <c r="G50" s="2476"/>
      <c r="H50" s="2476"/>
      <c r="I50" s="2476"/>
      <c r="J50" s="2476"/>
      <c r="K50" s="1540"/>
      <c r="L50" s="2024"/>
      <c r="M50" s="2014"/>
      <c r="N50" s="2014"/>
      <c r="O50" s="2014"/>
      <c r="P50" s="4145" t="str">
        <f>A50</f>
        <v>估价对象XX用房的比较价格（楼面单价，元/平方米）</v>
      </c>
      <c r="Q50" s="3974"/>
      <c r="R50" s="4133">
        <f>IF(F1="售价",ROUND(IF(D49="简单平均",AVERAGE(R49:V49),R49*F49+T49*H49+V49*J49),0),ROUND(IF(D49="简单平均",AVERAGE(R49:V49),R49*F49+T49*H49+V49*J49),1))</f>
        <v>4</v>
      </c>
      <c r="S50" s="4133"/>
      <c r="T50" s="4133"/>
      <c r="U50" s="4133"/>
      <c r="V50" s="4133"/>
      <c r="W50" s="4133"/>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2.8571428571428692E-2</v>
      </c>
      <c r="F53" s="617" t="str">
        <f>IF(OR(E53&gt;=0.3,E53&lt;=-0.3),"超过30%","")</f>
        <v/>
      </c>
      <c r="G53" s="616">
        <f>IF(G48&lt;G49,G49/G48-1,G48/G49-1)</f>
        <v>0</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0.11111111111111116</v>
      </c>
      <c r="F54" s="617" t="str">
        <f>IF(OR(E54&gt;=0.2,E54&lt;=-0.2),"超过20%","")</f>
        <v/>
      </c>
      <c r="G54" s="616">
        <f>IF(G49&lt;I49,I49/G49-1,G49/I49-1)</f>
        <v>7.4999999999999956E-2</v>
      </c>
      <c r="H54" s="617" t="str">
        <f>IF(OR(G54&gt;=0.2,G54&lt;=-0.2),"超过20%","")</f>
        <v/>
      </c>
      <c r="I54" s="616">
        <f>IF(I49&lt;E49,E49/I49-1,I49/E49-1)</f>
        <v>0.19444444444444442</v>
      </c>
      <c r="J54" s="617" t="str">
        <f>IF(OR(I54&gt;=0.2,I54&lt;=-0.2),"超过20%","")</f>
        <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3079</v>
      </c>
      <c r="D87" s="3335" t="s">
        <v>3080</v>
      </c>
      <c r="E87" s="3335" t="s">
        <v>3082</v>
      </c>
      <c r="F87" s="3335" t="s">
        <v>3084</v>
      </c>
      <c r="G87" s="3335" t="s">
        <v>3085</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3141</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400000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3131</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3110</v>
      </c>
      <c r="D108" s="3335" t="s">
        <v>3112</v>
      </c>
      <c r="E108" s="3335" t="s">
        <v>3113</v>
      </c>
      <c r="F108" s="3341" t="s">
        <v>3115</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3144</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3135</v>
      </c>
      <c r="D117" s="3335" t="s">
        <v>3136</v>
      </c>
      <c r="E117" s="3335" t="s">
        <v>3137</v>
      </c>
      <c r="F117" s="3335" t="s">
        <v>3138</v>
      </c>
      <c r="G117" s="3335" t="s">
        <v>3139</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3134</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3110</v>
      </c>
      <c r="D123" s="3335" t="s">
        <v>3112</v>
      </c>
      <c r="E123" s="3335" t="s">
        <v>3113</v>
      </c>
      <c r="F123" s="3341" t="s">
        <v>3115</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3142</v>
      </c>
    </row>
    <row r="38" spans="2:2">
      <c r="B38" s="3235" t="s">
        <v>3145</v>
      </c>
    </row>
    <row r="90" spans="1:1">
      <c r="A90" s="3235" t="s">
        <v>3169</v>
      </c>
    </row>
  </sheetData>
  <phoneticPr fontId="228"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82" t="s">
        <v>514</v>
      </c>
      <c r="D4" s="3983"/>
      <c r="E4" s="4016" t="s">
        <v>515</v>
      </c>
      <c r="F4" s="4017"/>
      <c r="G4" s="3982" t="s">
        <v>516</v>
      </c>
      <c r="H4" s="3983"/>
      <c r="I4" s="3982" t="s">
        <v>517</v>
      </c>
      <c r="J4" s="3983"/>
      <c r="K4" s="506"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80" t="s">
        <v>516</v>
      </c>
      <c r="AC4" s="3979" t="s">
        <v>517</v>
      </c>
    </row>
    <row r="5" spans="1:29" ht="15">
      <c r="A5" s="507"/>
      <c r="B5" s="508"/>
      <c r="C5" s="3998" t="s">
        <v>2892</v>
      </c>
      <c r="D5" s="3999"/>
      <c r="E5" s="4018" t="s">
        <v>2893</v>
      </c>
      <c r="F5" s="401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4007" t="s">
        <v>522</v>
      </c>
      <c r="Q7" s="4009"/>
      <c r="R7" s="1501" t="s">
        <v>8</v>
      </c>
      <c r="S7" s="1502">
        <f t="shared" ref="S7:S15" si="0">F7</f>
        <v>0</v>
      </c>
      <c r="T7" s="1501" t="s">
        <v>8</v>
      </c>
      <c r="U7" s="1502">
        <f t="shared" ref="U7:U15" si="1">H7</f>
        <v>0</v>
      </c>
      <c r="V7" s="1501" t="s">
        <v>8</v>
      </c>
      <c r="W7" s="1502">
        <f t="shared" ref="W7:W15"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76"/>
      <c r="Q11" s="1132" t="str">
        <f t="shared" si="6"/>
        <v>容积率</v>
      </c>
      <c r="R11" s="1501" t="s">
        <v>8</v>
      </c>
      <c r="S11" s="1502" t="e">
        <f t="shared" si="0"/>
        <v>#N/A</v>
      </c>
      <c r="T11" s="1501" t="s">
        <v>8</v>
      </c>
      <c r="U11" s="1502" t="e">
        <f t="shared" si="1"/>
        <v>#N/A</v>
      </c>
      <c r="V11" s="1501" t="s">
        <v>8</v>
      </c>
      <c r="W11" s="1502" t="e">
        <f t="shared" si="2"/>
        <v>#N/A</v>
      </c>
      <c r="X11" s="1503"/>
      <c r="Y11" s="3922"/>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10" t="s">
        <v>532</v>
      </c>
      <c r="Q15" s="1505" t="str">
        <f t="shared" si="6"/>
        <v>产业集聚程度</v>
      </c>
      <c r="R15" s="1506" t="s">
        <v>8</v>
      </c>
      <c r="S15" s="1507">
        <f t="shared" si="0"/>
        <v>100</v>
      </c>
      <c r="T15" s="1506" t="s">
        <v>8</v>
      </c>
      <c r="U15" s="1507">
        <f t="shared" si="1"/>
        <v>100</v>
      </c>
      <c r="V15" s="1506" t="s">
        <v>8</v>
      </c>
      <c r="W15" s="1507">
        <f t="shared" si="2"/>
        <v>100</v>
      </c>
      <c r="X15" s="1500"/>
      <c r="Y15" s="4010"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11"/>
      <c r="Q16" s="1505"/>
      <c r="R16" s="1506"/>
      <c r="S16" s="1507"/>
      <c r="T16" s="1506"/>
      <c r="U16" s="1507"/>
      <c r="V16" s="1506"/>
      <c r="W16" s="1507"/>
      <c r="X16" s="1500"/>
      <c r="Y16" s="4011"/>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11"/>
      <c r="Q17" s="1505" t="str">
        <f>B17</f>
        <v>交通便捷度</v>
      </c>
      <c r="R17" s="1506" t="s">
        <v>8</v>
      </c>
      <c r="S17" s="1507">
        <f>F17</f>
        <v>100</v>
      </c>
      <c r="T17" s="1506" t="s">
        <v>8</v>
      </c>
      <c r="U17" s="1507">
        <f>H17</f>
        <v>100</v>
      </c>
      <c r="V17" s="1506" t="s">
        <v>8</v>
      </c>
      <c r="W17" s="1507">
        <f>J17</f>
        <v>100</v>
      </c>
      <c r="X17" s="1500"/>
      <c r="Y17" s="4011"/>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11"/>
      <c r="Q18" s="1505"/>
      <c r="R18" s="1506"/>
      <c r="S18" s="1507"/>
      <c r="T18" s="1506"/>
      <c r="U18" s="1507"/>
      <c r="V18" s="1506"/>
      <c r="W18" s="1507"/>
      <c r="X18" s="1500"/>
      <c r="Y18" s="4011"/>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11"/>
      <c r="Q20" s="1505"/>
      <c r="R20" s="1506"/>
      <c r="S20" s="1507"/>
      <c r="T20" s="1506"/>
      <c r="U20" s="1507"/>
      <c r="V20" s="1506"/>
      <c r="W20" s="1507"/>
      <c r="X20" s="1500"/>
      <c r="Y20" s="4011"/>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11"/>
      <c r="Q22" s="2427"/>
      <c r="R22" s="1506"/>
      <c r="S22" s="1507"/>
      <c r="T22" s="1506"/>
      <c r="U22" s="1507"/>
      <c r="V22" s="1506"/>
      <c r="W22" s="1507"/>
      <c r="X22" s="2429"/>
      <c r="Y22" s="4011"/>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11"/>
      <c r="Q23" s="1505" t="str">
        <f>B23</f>
        <v>环境质量</v>
      </c>
      <c r="R23" s="1506" t="s">
        <v>8</v>
      </c>
      <c r="S23" s="1507">
        <f>F23</f>
        <v>100</v>
      </c>
      <c r="T23" s="1506" t="s">
        <v>8</v>
      </c>
      <c r="U23" s="1507">
        <f>H23</f>
        <v>100</v>
      </c>
      <c r="V23" s="1506" t="s">
        <v>8</v>
      </c>
      <c r="W23" s="1507">
        <f>J23</f>
        <v>100</v>
      </c>
      <c r="X23" s="1500"/>
      <c r="Y23" s="4011"/>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11"/>
      <c r="Q25" s="1505">
        <f>B25</f>
        <v>111</v>
      </c>
      <c r="R25" s="1506" t="s">
        <v>8</v>
      </c>
      <c r="S25" s="1507">
        <f>F25</f>
        <v>100</v>
      </c>
      <c r="T25" s="1506" t="s">
        <v>8</v>
      </c>
      <c r="U25" s="1507">
        <f>H25</f>
        <v>100</v>
      </c>
      <c r="V25" s="1506" t="s">
        <v>8</v>
      </c>
      <c r="W25" s="1507">
        <f>J25</f>
        <v>100</v>
      </c>
      <c r="X25" s="1500"/>
      <c r="Y25" s="4011"/>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11"/>
      <c r="Q26" s="1505">
        <f t="shared" ref="Q26:Q40" si="11">B26</f>
        <v>111</v>
      </c>
      <c r="R26" s="1506" t="s">
        <v>8</v>
      </c>
      <c r="S26" s="1507">
        <f>F26</f>
        <v>100</v>
      </c>
      <c r="T26" s="1506" t="s">
        <v>8</v>
      </c>
      <c r="U26" s="1507">
        <f>H26</f>
        <v>100</v>
      </c>
      <c r="V26" s="1506" t="s">
        <v>8</v>
      </c>
      <c r="W26" s="1507">
        <f>J26</f>
        <v>100</v>
      </c>
      <c r="X26" s="1500"/>
      <c r="Y26" s="4011"/>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11"/>
      <c r="Q27" s="1132">
        <f t="shared" si="11"/>
        <v>111</v>
      </c>
      <c r="R27" s="1501" t="s">
        <v>8</v>
      </c>
      <c r="S27" s="1502">
        <f>F27</f>
        <v>100</v>
      </c>
      <c r="T27" s="1501" t="s">
        <v>8</v>
      </c>
      <c r="U27" s="1502">
        <f>H27</f>
        <v>100</v>
      </c>
      <c r="V27" s="1501" t="s">
        <v>8</v>
      </c>
      <c r="W27" s="1502">
        <f>J27</f>
        <v>100</v>
      </c>
      <c r="X27" s="1503"/>
      <c r="Y27" s="4011"/>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11"/>
      <c r="Q28" s="1505">
        <f t="shared" si="11"/>
        <v>111</v>
      </c>
      <c r="R28" s="1506" t="s">
        <v>8</v>
      </c>
      <c r="S28" s="1507">
        <f t="shared" ref="S28:S40" si="12">F28</f>
        <v>100</v>
      </c>
      <c r="T28" s="1506" t="s">
        <v>8</v>
      </c>
      <c r="U28" s="1507">
        <f t="shared" ref="U28:U40" si="13">H28</f>
        <v>100</v>
      </c>
      <c r="V28" s="1506" t="s">
        <v>8</v>
      </c>
      <c r="W28" s="1507">
        <f t="shared" ref="W28:W40" si="14">J28</f>
        <v>100</v>
      </c>
      <c r="X28" s="1500"/>
      <c r="Y28" s="4011"/>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12" t="s">
        <v>542</v>
      </c>
      <c r="Q29" s="1505" t="str">
        <f t="shared" si="11"/>
        <v>建筑类型</v>
      </c>
      <c r="R29" s="1506" t="s">
        <v>8</v>
      </c>
      <c r="S29" s="1507">
        <f t="shared" si="12"/>
        <v>100</v>
      </c>
      <c r="T29" s="1506" t="s">
        <v>8</v>
      </c>
      <c r="U29" s="1507">
        <f t="shared" si="13"/>
        <v>100</v>
      </c>
      <c r="V29" s="1506" t="s">
        <v>8</v>
      </c>
      <c r="W29" s="1507">
        <f t="shared" si="14"/>
        <v>100</v>
      </c>
      <c r="X29" s="1500"/>
      <c r="Y29" s="4013"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13"/>
      <c r="Q30" s="1534" t="str">
        <f t="shared" si="11"/>
        <v>项目建筑规模</v>
      </c>
      <c r="R30" s="1510" t="s">
        <v>8</v>
      </c>
      <c r="S30" s="1511" t="e">
        <f t="shared" si="12"/>
        <v>#N/A</v>
      </c>
      <c r="T30" s="1510" t="s">
        <v>8</v>
      </c>
      <c r="U30" s="1511" t="e">
        <f t="shared" si="13"/>
        <v>#N/A</v>
      </c>
      <c r="V30" s="1510" t="s">
        <v>8</v>
      </c>
      <c r="W30" s="1511" t="e">
        <f t="shared" si="14"/>
        <v>#N/A</v>
      </c>
      <c r="X30" s="1512"/>
      <c r="Y30" s="4013"/>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13"/>
      <c r="Q31" s="1505" t="str">
        <f t="shared" si="11"/>
        <v>建筑结构</v>
      </c>
      <c r="R31" s="1506" t="s">
        <v>8</v>
      </c>
      <c r="S31" s="1507">
        <f t="shared" si="12"/>
        <v>100</v>
      </c>
      <c r="T31" s="1506" t="s">
        <v>8</v>
      </c>
      <c r="U31" s="1507">
        <f t="shared" si="13"/>
        <v>100</v>
      </c>
      <c r="V31" s="1506" t="s">
        <v>8</v>
      </c>
      <c r="W31" s="1507">
        <f t="shared" si="14"/>
        <v>100</v>
      </c>
      <c r="X31" s="1500"/>
      <c r="Y31" s="4013"/>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13"/>
      <c r="Q32" s="1505" t="str">
        <f t="shared" si="11"/>
        <v>公共部分装修</v>
      </c>
      <c r="R32" s="1506" t="s">
        <v>8</v>
      </c>
      <c r="S32" s="1507">
        <f t="shared" si="12"/>
        <v>100</v>
      </c>
      <c r="T32" s="1506" t="s">
        <v>8</v>
      </c>
      <c r="U32" s="1507">
        <f t="shared" si="13"/>
        <v>100</v>
      </c>
      <c r="V32" s="1506" t="s">
        <v>8</v>
      </c>
      <c r="W32" s="1507">
        <f t="shared" si="14"/>
        <v>100</v>
      </c>
      <c r="X32" s="1500"/>
      <c r="Y32" s="4013"/>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13"/>
      <c r="Q33" s="1505" t="str">
        <f t="shared" si="11"/>
        <v>成新度</v>
      </c>
      <c r="R33" s="1506" t="s">
        <v>8</v>
      </c>
      <c r="S33" s="1507" t="e">
        <f t="shared" si="12"/>
        <v>#N/A</v>
      </c>
      <c r="T33" s="1506" t="s">
        <v>8</v>
      </c>
      <c r="U33" s="1507" t="e">
        <f t="shared" si="13"/>
        <v>#N/A</v>
      </c>
      <c r="V33" s="1506" t="s">
        <v>8</v>
      </c>
      <c r="W33" s="1507" t="e">
        <f t="shared" si="14"/>
        <v>#N/A</v>
      </c>
      <c r="X33" s="1500"/>
      <c r="Y33" s="4013"/>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13"/>
      <c r="Q34" s="1132" t="str">
        <f t="shared" si="11"/>
        <v>物业管理</v>
      </c>
      <c r="R34" s="1501" t="s">
        <v>8</v>
      </c>
      <c r="S34" s="1502">
        <f t="shared" si="12"/>
        <v>100</v>
      </c>
      <c r="T34" s="1501" t="s">
        <v>8</v>
      </c>
      <c r="U34" s="1502">
        <f t="shared" si="13"/>
        <v>100</v>
      </c>
      <c r="V34" s="1501" t="s">
        <v>8</v>
      </c>
      <c r="W34" s="1502">
        <f t="shared" si="14"/>
        <v>100</v>
      </c>
      <c r="X34" s="1503"/>
      <c r="Y34" s="4013"/>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13" t="s">
        <v>542</v>
      </c>
      <c r="Q35" s="1505" t="str">
        <f t="shared" si="11"/>
        <v>市政基础设施</v>
      </c>
      <c r="R35" s="1506" t="s">
        <v>8</v>
      </c>
      <c r="S35" s="1507">
        <f t="shared" si="12"/>
        <v>100</v>
      </c>
      <c r="T35" s="1506" t="s">
        <v>8</v>
      </c>
      <c r="U35" s="1507">
        <f t="shared" si="13"/>
        <v>100</v>
      </c>
      <c r="V35" s="1506" t="s">
        <v>8</v>
      </c>
      <c r="W35" s="1507">
        <f t="shared" si="14"/>
        <v>100</v>
      </c>
      <c r="X35" s="1500"/>
      <c r="Y35" s="4013"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13"/>
      <c r="Q36" s="1505" t="str">
        <f t="shared" si="11"/>
        <v>内部装修</v>
      </c>
      <c r="R36" s="1506" t="s">
        <v>8</v>
      </c>
      <c r="S36" s="1507">
        <f t="shared" si="12"/>
        <v>100</v>
      </c>
      <c r="T36" s="1506" t="s">
        <v>8</v>
      </c>
      <c r="U36" s="1507">
        <f t="shared" si="13"/>
        <v>100</v>
      </c>
      <c r="V36" s="1506" t="s">
        <v>8</v>
      </c>
      <c r="W36" s="1507">
        <f t="shared" si="14"/>
        <v>100</v>
      </c>
      <c r="X36" s="1500"/>
      <c r="Y36" s="4013"/>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13"/>
      <c r="Q37" s="1505" t="str">
        <f t="shared" si="11"/>
        <v>内部装修状况</v>
      </c>
      <c r="R37" s="1506" t="s">
        <v>8</v>
      </c>
      <c r="S37" s="1507">
        <f t="shared" si="12"/>
        <v>100</v>
      </c>
      <c r="T37" s="1506" t="s">
        <v>8</v>
      </c>
      <c r="U37" s="1507">
        <f t="shared" si="13"/>
        <v>100</v>
      </c>
      <c r="V37" s="1506" t="s">
        <v>8</v>
      </c>
      <c r="W37" s="1507">
        <f t="shared" si="14"/>
        <v>100</v>
      </c>
      <c r="X37" s="1500"/>
      <c r="Y37" s="4013"/>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13"/>
      <c r="Q38" s="1534">
        <f t="shared" si="11"/>
        <v>111</v>
      </c>
      <c r="R38" s="1510" t="s">
        <v>8</v>
      </c>
      <c r="S38" s="1511">
        <f t="shared" si="12"/>
        <v>100</v>
      </c>
      <c r="T38" s="1510" t="s">
        <v>8</v>
      </c>
      <c r="U38" s="1511">
        <f t="shared" si="13"/>
        <v>100</v>
      </c>
      <c r="V38" s="1510" t="s">
        <v>8</v>
      </c>
      <c r="W38" s="1511">
        <f t="shared" si="14"/>
        <v>100</v>
      </c>
      <c r="X38" s="1512"/>
      <c r="Y38" s="4013"/>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13"/>
      <c r="Q39" s="1505">
        <f t="shared" si="11"/>
        <v>111</v>
      </c>
      <c r="R39" s="1506" t="s">
        <v>8</v>
      </c>
      <c r="S39" s="1507">
        <f t="shared" si="12"/>
        <v>100</v>
      </c>
      <c r="T39" s="1506" t="s">
        <v>8</v>
      </c>
      <c r="U39" s="1507">
        <f t="shared" si="13"/>
        <v>100</v>
      </c>
      <c r="V39" s="1506" t="s">
        <v>8</v>
      </c>
      <c r="W39" s="1507">
        <f t="shared" si="14"/>
        <v>100</v>
      </c>
      <c r="X39" s="1500"/>
      <c r="Y39" s="4013"/>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135"/>
      <c r="Q40" s="1505">
        <f t="shared" si="11"/>
        <v>111</v>
      </c>
      <c r="R40" s="1506" t="s">
        <v>8</v>
      </c>
      <c r="S40" s="1507">
        <f t="shared" si="12"/>
        <v>100</v>
      </c>
      <c r="T40" s="1506" t="s">
        <v>8</v>
      </c>
      <c r="U40" s="1507">
        <f t="shared" si="13"/>
        <v>100</v>
      </c>
      <c r="V40" s="1506" t="s">
        <v>8</v>
      </c>
      <c r="W40" s="1507">
        <f t="shared" si="14"/>
        <v>100</v>
      </c>
      <c r="X40" s="1500"/>
      <c r="Y40" s="4135"/>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76" t="str">
        <f>A41</f>
        <v>成交单价（元/平方米）</v>
      </c>
      <c r="Q41" s="3976"/>
      <c r="R41" s="4134">
        <f>E41</f>
        <v>0</v>
      </c>
      <c r="S41" s="4134"/>
      <c r="T41" s="4134">
        <f>G41</f>
        <v>0</v>
      </c>
      <c r="U41" s="4134"/>
      <c r="V41" s="4134">
        <f>I41</f>
        <v>0</v>
      </c>
      <c r="W41" s="4134"/>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76" t="str">
        <f>A42</f>
        <v>比较价格（元/平方米）</v>
      </c>
      <c r="Q42" s="3976"/>
      <c r="R42" s="4134" t="e">
        <f>IF(F1="售价",ROUND(PRODUCT(R41,AA7:AA40),0),ROUND(PRODUCT(R41,AA7:AA40),1))</f>
        <v>#DIV/0!</v>
      </c>
      <c r="S42" s="4134"/>
      <c r="T42" s="4134" t="e">
        <f>IF(F1="售价",ROUND(PRODUCT(T41,AB7:AB40),0),ROUND(PRODUCT(T41,AB7:AB40),1))</f>
        <v>#DIV/0!</v>
      </c>
      <c r="U42" s="4134"/>
      <c r="V42" s="4134" t="e">
        <f>IF(F1="售价",ROUND(PRODUCT(V41,AC7:AC40),0),ROUND(PRODUCT(V41,AC7:AC40),1))</f>
        <v>#DIV/0!</v>
      </c>
      <c r="W42" s="4134"/>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73" t="str">
        <f>A43</f>
        <v>估价对象XX用房的比较价格（楼面单价，元/平方米）</v>
      </c>
      <c r="Q43" s="3974"/>
      <c r="R43" s="4133" t="e">
        <f>IF(F1="售价",ROUND(IF(D42="简单平均",AVERAGE(R42:V42),R42*F42+T42*H42+V42*J42),0),ROUND(IF(D42="简单平均",AVERAGE(R42:V42),R42*F42+T42*H42+V42*J42),1))</f>
        <v>#DIV/0!</v>
      </c>
      <c r="S43" s="4133"/>
      <c r="T43" s="4133"/>
      <c r="U43" s="4133"/>
      <c r="V43" s="4133"/>
      <c r="W43" s="4133"/>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82" t="s">
        <v>790</v>
      </c>
      <c r="D4" s="3983"/>
      <c r="E4" s="3982" t="s">
        <v>791</v>
      </c>
      <c r="F4" s="3983"/>
      <c r="G4" s="3982" t="s">
        <v>792</v>
      </c>
      <c r="H4" s="3983"/>
      <c r="I4" s="3982" t="s">
        <v>793</v>
      </c>
      <c r="J4" s="3983"/>
      <c r="K4" s="506" t="s">
        <v>794</v>
      </c>
      <c r="L4" s="2013"/>
      <c r="M4" s="2014"/>
      <c r="N4" s="2014"/>
      <c r="O4" s="2014"/>
      <c r="P4" s="3984" t="s">
        <v>795</v>
      </c>
      <c r="Q4" s="3985"/>
      <c r="R4" s="3990" t="s">
        <v>791</v>
      </c>
      <c r="S4" s="3991"/>
      <c r="T4" s="3990" t="s">
        <v>792</v>
      </c>
      <c r="U4" s="3991"/>
      <c r="V4" s="3977" t="s">
        <v>793</v>
      </c>
      <c r="W4" s="3977"/>
      <c r="X4" s="1500"/>
      <c r="Y4" s="3990" t="s">
        <v>795</v>
      </c>
      <c r="Z4" s="3991"/>
      <c r="AA4" s="3979" t="s">
        <v>791</v>
      </c>
      <c r="AB4" s="3980" t="s">
        <v>792</v>
      </c>
      <c r="AC4" s="3979" t="s">
        <v>793</v>
      </c>
    </row>
    <row r="5" spans="1:29" ht="15">
      <c r="A5" s="507"/>
      <c r="B5" s="508"/>
      <c r="C5" s="3998" t="s">
        <v>2892</v>
      </c>
      <c r="D5" s="3999"/>
      <c r="E5" s="3998" t="s">
        <v>2893</v>
      </c>
      <c r="F5" s="399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00" t="s">
        <v>2896</v>
      </c>
      <c r="F6" s="4001"/>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4007" t="s">
        <v>522</v>
      </c>
      <c r="Q7" s="4009"/>
      <c r="R7" s="1501" t="s">
        <v>8</v>
      </c>
      <c r="S7" s="1502">
        <f t="shared" ref="S7:S14" si="0">F7</f>
        <v>0</v>
      </c>
      <c r="T7" s="1501" t="s">
        <v>8</v>
      </c>
      <c r="U7" s="1502">
        <f t="shared" ref="U7:U14" si="1">H7</f>
        <v>0</v>
      </c>
      <c r="V7" s="1501" t="s">
        <v>8</v>
      </c>
      <c r="W7" s="1502">
        <f t="shared" ref="W7:W14"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76" t="s">
        <v>527</v>
      </c>
      <c r="Q9" s="1132" t="str">
        <f t="shared" ref="Q9:Q14" si="6">B9</f>
        <v>用途</v>
      </c>
      <c r="R9" s="1501" t="s">
        <v>8</v>
      </c>
      <c r="S9" s="1502">
        <f t="shared" si="0"/>
        <v>100</v>
      </c>
      <c r="T9" s="1501" t="s">
        <v>8</v>
      </c>
      <c r="U9" s="1502">
        <f t="shared" si="1"/>
        <v>100</v>
      </c>
      <c r="V9" s="1501" t="s">
        <v>8</v>
      </c>
      <c r="W9" s="1502">
        <f t="shared" si="2"/>
        <v>100</v>
      </c>
      <c r="X9" s="1503"/>
      <c r="Y9" s="392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76"/>
      <c r="Q11" s="1132">
        <f t="shared" si="6"/>
        <v>111</v>
      </c>
      <c r="R11" s="1501" t="s">
        <v>8</v>
      </c>
      <c r="S11" s="1502">
        <f t="shared" si="0"/>
        <v>100</v>
      </c>
      <c r="T11" s="1501" t="s">
        <v>8</v>
      </c>
      <c r="U11" s="1502">
        <f t="shared" si="1"/>
        <v>100</v>
      </c>
      <c r="V11" s="1501" t="s">
        <v>8</v>
      </c>
      <c r="W11" s="1502">
        <f t="shared" si="2"/>
        <v>100</v>
      </c>
      <c r="X11" s="1503"/>
      <c r="Y11" s="3922"/>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10" t="s">
        <v>532</v>
      </c>
      <c r="Q14" s="1505" t="str">
        <f t="shared" si="6"/>
        <v>交通便捷度</v>
      </c>
      <c r="R14" s="1506" t="s">
        <v>8</v>
      </c>
      <c r="S14" s="1507">
        <f t="shared" si="0"/>
        <v>100</v>
      </c>
      <c r="T14" s="1506" t="s">
        <v>8</v>
      </c>
      <c r="U14" s="1507">
        <f t="shared" si="1"/>
        <v>100</v>
      </c>
      <c r="V14" s="1506" t="s">
        <v>8</v>
      </c>
      <c r="W14" s="1507">
        <f t="shared" si="2"/>
        <v>100</v>
      </c>
      <c r="X14" s="1500"/>
      <c r="Y14" s="4010"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11"/>
      <c r="Q15" s="1505"/>
      <c r="R15" s="1506"/>
      <c r="S15" s="1507"/>
      <c r="T15" s="1506"/>
      <c r="U15" s="1507"/>
      <c r="V15" s="1506"/>
      <c r="W15" s="1507"/>
      <c r="X15" s="1500"/>
      <c r="Y15" s="4011"/>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11"/>
      <c r="Q16" s="1505" t="str">
        <f>B16</f>
        <v>公共配套设施</v>
      </c>
      <c r="R16" s="1506" t="s">
        <v>8</v>
      </c>
      <c r="S16" s="1507">
        <f>F16</f>
        <v>100</v>
      </c>
      <c r="T16" s="1506" t="s">
        <v>8</v>
      </c>
      <c r="U16" s="1507">
        <f>H16</f>
        <v>100</v>
      </c>
      <c r="V16" s="1506" t="s">
        <v>8</v>
      </c>
      <c r="W16" s="1507">
        <f>J16</f>
        <v>100</v>
      </c>
      <c r="X16" s="1500"/>
      <c r="Y16" s="4011"/>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11"/>
      <c r="Q17" s="1505"/>
      <c r="R17" s="1506"/>
      <c r="S17" s="1507"/>
      <c r="T17" s="1506"/>
      <c r="U17" s="1507"/>
      <c r="V17" s="1506"/>
      <c r="W17" s="1507"/>
      <c r="X17" s="1500"/>
      <c r="Y17" s="4011"/>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11"/>
      <c r="Q18" s="2427" t="str">
        <f>B18</f>
        <v>基础设施水平</v>
      </c>
      <c r="R18" s="1506" t="s">
        <v>8</v>
      </c>
      <c r="S18" s="1507">
        <f>F18</f>
        <v>100</v>
      </c>
      <c r="T18" s="1506" t="s">
        <v>8</v>
      </c>
      <c r="U18" s="1507">
        <f>H18</f>
        <v>100</v>
      </c>
      <c r="V18" s="1506" t="s">
        <v>8</v>
      </c>
      <c r="W18" s="1507">
        <f>J18</f>
        <v>100</v>
      </c>
      <c r="X18" s="2429"/>
      <c r="Y18" s="4011"/>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11"/>
      <c r="Q19" s="2427"/>
      <c r="R19" s="1506"/>
      <c r="S19" s="1507"/>
      <c r="T19" s="1506"/>
      <c r="U19" s="1507"/>
      <c r="V19" s="1506"/>
      <c r="W19" s="1507"/>
      <c r="X19" s="2429"/>
      <c r="Y19" s="4011"/>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11"/>
      <c r="Q20" s="1505" t="str">
        <f>B20</f>
        <v>自然及人文环境</v>
      </c>
      <c r="R20" s="1506" t="s">
        <v>8</v>
      </c>
      <c r="S20" s="1507">
        <f>F20</f>
        <v>100</v>
      </c>
      <c r="T20" s="1506" t="s">
        <v>8</v>
      </c>
      <c r="U20" s="1507">
        <f>H20</f>
        <v>100</v>
      </c>
      <c r="V20" s="1506" t="s">
        <v>8</v>
      </c>
      <c r="W20" s="1507">
        <f>J20</f>
        <v>100</v>
      </c>
      <c r="X20" s="1500"/>
      <c r="Y20" s="4011"/>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11"/>
      <c r="Q21" s="1505"/>
      <c r="R21" s="1506"/>
      <c r="S21" s="1507"/>
      <c r="T21" s="1506"/>
      <c r="U21" s="1507"/>
      <c r="V21" s="1506"/>
      <c r="W21" s="1507"/>
      <c r="X21" s="1500"/>
      <c r="Y21" s="4011"/>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11"/>
      <c r="Q22" s="1505" t="str">
        <f>B22</f>
        <v>楼层</v>
      </c>
      <c r="R22" s="1506" t="s">
        <v>8</v>
      </c>
      <c r="S22" s="1507">
        <f>F22</f>
        <v>100</v>
      </c>
      <c r="T22" s="1506" t="s">
        <v>8</v>
      </c>
      <c r="U22" s="1507">
        <f>H22</f>
        <v>100</v>
      </c>
      <c r="V22" s="1506" t="s">
        <v>8</v>
      </c>
      <c r="W22" s="1507">
        <f>J22</f>
        <v>100</v>
      </c>
      <c r="X22" s="1500"/>
      <c r="Y22" s="4011"/>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11"/>
      <c r="Q23" s="1505">
        <f>B23</f>
        <v>111</v>
      </c>
      <c r="R23" s="1506" t="s">
        <v>8</v>
      </c>
      <c r="S23" s="1507">
        <f>F23</f>
        <v>100</v>
      </c>
      <c r="T23" s="1506" t="s">
        <v>8</v>
      </c>
      <c r="U23" s="1507">
        <f>H23</f>
        <v>100</v>
      </c>
      <c r="V23" s="1506" t="s">
        <v>8</v>
      </c>
      <c r="W23" s="1507">
        <f>J23</f>
        <v>100</v>
      </c>
      <c r="X23" s="1500"/>
      <c r="Y23" s="4011"/>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11"/>
      <c r="Q24" s="1505">
        <f t="shared" ref="Q24:Q36" si="11">B24</f>
        <v>111</v>
      </c>
      <c r="R24" s="1506" t="s">
        <v>8</v>
      </c>
      <c r="S24" s="1507">
        <f>F24</f>
        <v>100</v>
      </c>
      <c r="T24" s="1506" t="s">
        <v>8</v>
      </c>
      <c r="U24" s="1507">
        <f>H24</f>
        <v>100</v>
      </c>
      <c r="V24" s="1506" t="s">
        <v>8</v>
      </c>
      <c r="W24" s="1507">
        <f>J24</f>
        <v>100</v>
      </c>
      <c r="X24" s="1500"/>
      <c r="Y24" s="4011"/>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11"/>
      <c r="Q25" s="1132">
        <f t="shared" si="11"/>
        <v>111</v>
      </c>
      <c r="R25" s="1501" t="s">
        <v>8</v>
      </c>
      <c r="S25" s="1502">
        <f>F25</f>
        <v>100</v>
      </c>
      <c r="T25" s="1501" t="s">
        <v>8</v>
      </c>
      <c r="U25" s="1502">
        <f>H25</f>
        <v>100</v>
      </c>
      <c r="V25" s="1501" t="s">
        <v>8</v>
      </c>
      <c r="W25" s="1502">
        <f>J25</f>
        <v>100</v>
      </c>
      <c r="X25" s="1503"/>
      <c r="Y25" s="4011"/>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12"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13"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13"/>
      <c r="Q27" s="1534" t="str">
        <f t="shared" si="11"/>
        <v>项目停车位配比</v>
      </c>
      <c r="R27" s="1510" t="s">
        <v>8</v>
      </c>
      <c r="S27" s="1511">
        <f t="shared" si="12"/>
        <v>100</v>
      </c>
      <c r="T27" s="1510" t="s">
        <v>8</v>
      </c>
      <c r="U27" s="1511">
        <f t="shared" si="13"/>
        <v>100</v>
      </c>
      <c r="V27" s="1510" t="s">
        <v>8</v>
      </c>
      <c r="W27" s="1511">
        <f t="shared" si="14"/>
        <v>100</v>
      </c>
      <c r="X27" s="1512"/>
      <c r="Y27" s="4013"/>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13"/>
      <c r="Q28" s="1505" t="str">
        <f t="shared" si="11"/>
        <v>公共部分装修</v>
      </c>
      <c r="R28" s="1506" t="s">
        <v>8</v>
      </c>
      <c r="S28" s="1507">
        <f t="shared" si="12"/>
        <v>100</v>
      </c>
      <c r="T28" s="1506" t="s">
        <v>8</v>
      </c>
      <c r="U28" s="1507">
        <f t="shared" si="13"/>
        <v>100</v>
      </c>
      <c r="V28" s="1506" t="s">
        <v>8</v>
      </c>
      <c r="W28" s="1507">
        <f t="shared" si="14"/>
        <v>100</v>
      </c>
      <c r="X28" s="1500"/>
      <c r="Y28" s="4013"/>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13"/>
      <c r="Q29" s="1505" t="str">
        <f t="shared" si="11"/>
        <v>成新率</v>
      </c>
      <c r="R29" s="1506" t="s">
        <v>8</v>
      </c>
      <c r="S29" s="1507" t="e">
        <f t="shared" si="12"/>
        <v>#N/A</v>
      </c>
      <c r="T29" s="1506" t="s">
        <v>8</v>
      </c>
      <c r="U29" s="1507" t="e">
        <f t="shared" si="13"/>
        <v>#N/A</v>
      </c>
      <c r="V29" s="1506" t="s">
        <v>8</v>
      </c>
      <c r="W29" s="1507" t="e">
        <f t="shared" si="14"/>
        <v>#N/A</v>
      </c>
      <c r="X29" s="1500"/>
      <c r="Y29" s="4013"/>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13"/>
      <c r="Q30" s="1505" t="str">
        <f t="shared" si="11"/>
        <v>物业等级</v>
      </c>
      <c r="R30" s="1506" t="s">
        <v>8</v>
      </c>
      <c r="S30" s="1507">
        <f t="shared" si="12"/>
        <v>100</v>
      </c>
      <c r="T30" s="1506" t="s">
        <v>8</v>
      </c>
      <c r="U30" s="1507">
        <f t="shared" si="13"/>
        <v>100</v>
      </c>
      <c r="V30" s="1506" t="s">
        <v>8</v>
      </c>
      <c r="W30" s="1507">
        <f t="shared" si="14"/>
        <v>100</v>
      </c>
      <c r="X30" s="1500"/>
      <c r="Y30" s="4013"/>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13"/>
      <c r="Q31" s="1132" t="str">
        <f t="shared" si="11"/>
        <v>停车位面积</v>
      </c>
      <c r="R31" s="1501" t="s">
        <v>8</v>
      </c>
      <c r="S31" s="1502" t="e">
        <f t="shared" si="12"/>
        <v>#N/A</v>
      </c>
      <c r="T31" s="1501" t="s">
        <v>8</v>
      </c>
      <c r="U31" s="1502" t="e">
        <f t="shared" si="13"/>
        <v>#N/A</v>
      </c>
      <c r="V31" s="1501" t="s">
        <v>8</v>
      </c>
      <c r="W31" s="1502" t="e">
        <f t="shared" si="14"/>
        <v>#N/A</v>
      </c>
      <c r="X31" s="1503"/>
      <c r="Y31" s="4013"/>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13" t="s">
        <v>542</v>
      </c>
      <c r="Q32" s="1505" t="str">
        <f t="shared" si="11"/>
        <v>车位类型</v>
      </c>
      <c r="R32" s="1506" t="s">
        <v>8</v>
      </c>
      <c r="S32" s="1507">
        <f t="shared" si="12"/>
        <v>100</v>
      </c>
      <c r="T32" s="1506" t="s">
        <v>8</v>
      </c>
      <c r="U32" s="1507">
        <f t="shared" si="13"/>
        <v>100</v>
      </c>
      <c r="V32" s="1506" t="s">
        <v>8</v>
      </c>
      <c r="W32" s="1507">
        <f t="shared" si="14"/>
        <v>100</v>
      </c>
      <c r="X32" s="1500"/>
      <c r="Y32" s="4013"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13"/>
      <c r="Q33" s="1505" t="str">
        <f t="shared" si="11"/>
        <v>是否直接入户</v>
      </c>
      <c r="R33" s="1506" t="s">
        <v>8</v>
      </c>
      <c r="S33" s="1507">
        <f t="shared" si="12"/>
        <v>100</v>
      </c>
      <c r="T33" s="1506" t="s">
        <v>8</v>
      </c>
      <c r="U33" s="1507">
        <f t="shared" si="13"/>
        <v>100</v>
      </c>
      <c r="V33" s="1506" t="s">
        <v>8</v>
      </c>
      <c r="W33" s="1507">
        <f t="shared" si="14"/>
        <v>100</v>
      </c>
      <c r="X33" s="1500"/>
      <c r="Y33" s="4013"/>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13"/>
      <c r="Q34" s="1505">
        <f t="shared" si="11"/>
        <v>111</v>
      </c>
      <c r="R34" s="1506" t="s">
        <v>8</v>
      </c>
      <c r="S34" s="1507">
        <f t="shared" si="12"/>
        <v>100</v>
      </c>
      <c r="T34" s="1506" t="s">
        <v>8</v>
      </c>
      <c r="U34" s="1507">
        <f t="shared" si="13"/>
        <v>100</v>
      </c>
      <c r="V34" s="1506" t="s">
        <v>8</v>
      </c>
      <c r="W34" s="1507">
        <f t="shared" si="14"/>
        <v>100</v>
      </c>
      <c r="X34" s="1500"/>
      <c r="Y34" s="4013"/>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13"/>
      <c r="Q35" s="1534">
        <f t="shared" si="11"/>
        <v>111</v>
      </c>
      <c r="R35" s="1510" t="s">
        <v>8</v>
      </c>
      <c r="S35" s="1511">
        <f t="shared" si="12"/>
        <v>100</v>
      </c>
      <c r="T35" s="1510" t="s">
        <v>8</v>
      </c>
      <c r="U35" s="1511">
        <f t="shared" si="13"/>
        <v>100</v>
      </c>
      <c r="V35" s="1510" t="s">
        <v>8</v>
      </c>
      <c r="W35" s="1511">
        <f t="shared" si="14"/>
        <v>100</v>
      </c>
      <c r="X35" s="1512"/>
      <c r="Y35" s="4013"/>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13"/>
      <c r="Q36" s="1505">
        <f t="shared" si="11"/>
        <v>111</v>
      </c>
      <c r="R36" s="1506" t="s">
        <v>8</v>
      </c>
      <c r="S36" s="1507">
        <f t="shared" si="12"/>
        <v>100</v>
      </c>
      <c r="T36" s="1506" t="s">
        <v>8</v>
      </c>
      <c r="U36" s="1507">
        <f t="shared" si="13"/>
        <v>100</v>
      </c>
      <c r="V36" s="1506" t="s">
        <v>8</v>
      </c>
      <c r="W36" s="1507">
        <f t="shared" si="14"/>
        <v>100</v>
      </c>
      <c r="X36" s="1500"/>
      <c r="Y36" s="4013"/>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76" t="str">
        <f>A37</f>
        <v>成交单价</v>
      </c>
      <c r="Q37" s="3976"/>
      <c r="R37" s="4134">
        <f>E37</f>
        <v>0</v>
      </c>
      <c r="S37" s="4134"/>
      <c r="T37" s="4134">
        <f>G37</f>
        <v>0</v>
      </c>
      <c r="U37" s="4134"/>
      <c r="V37" s="4134">
        <f>I37</f>
        <v>0</v>
      </c>
      <c r="W37" s="4134"/>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76" t="str">
        <f>A38</f>
        <v>比较价格（元/平方米）</v>
      </c>
      <c r="Q38" s="3976"/>
      <c r="R38" s="4134" t="e">
        <f>IF(F1="售价",ROUND(PRODUCT(R37,AA7:AA36),0),ROUND(PRODUCT(R37,AA7:AA36),1))</f>
        <v>#DIV/0!</v>
      </c>
      <c r="S38" s="4134"/>
      <c r="T38" s="4134" t="e">
        <f>IF(F1="售价",ROUND(PRODUCT(T37,AB7:AB36),0),ROUND(PRODUCT(T37,AB7:AB36),1))</f>
        <v>#DIV/0!</v>
      </c>
      <c r="U38" s="4134"/>
      <c r="V38" s="4134" t="e">
        <f>IF(F1="售价",ROUND(PRODUCT(V37,AC7:AC36),0),ROUND(PRODUCT(V37,AC7:AC36),1))</f>
        <v>#DIV/0!</v>
      </c>
      <c r="W38" s="4134"/>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73" t="str">
        <f>A39</f>
        <v>估价对象XX用房的比较价格（楼面单价，元/平方米）</v>
      </c>
      <c r="Q39" s="3974"/>
      <c r="R39" s="4133" t="e">
        <f>IF(F1="售价",ROUND(IF(D38="简单平均",AVERAGE(R38:W38),R38*F38+T38*H38+V38*J38),0),ROUND(IF(D38="简单平均",AVERAGE(R38:V38),R38*F38+T38*H38+V38*J38),1))</f>
        <v>#DIV/0!</v>
      </c>
      <c r="S39" s="4133"/>
      <c r="T39" s="4133"/>
      <c r="U39" s="4133"/>
      <c r="V39" s="4133"/>
      <c r="W39" s="4133"/>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82" t="s">
        <v>790</v>
      </c>
      <c r="D4" s="3983"/>
      <c r="E4" s="4016" t="s">
        <v>791</v>
      </c>
      <c r="F4" s="4017"/>
      <c r="G4" s="3982" t="s">
        <v>792</v>
      </c>
      <c r="H4" s="3983"/>
      <c r="I4" s="3982" t="s">
        <v>793</v>
      </c>
      <c r="J4" s="3983"/>
      <c r="K4" s="506" t="s">
        <v>794</v>
      </c>
      <c r="L4" s="2013"/>
      <c r="M4" s="2014"/>
      <c r="N4" s="2014"/>
      <c r="O4" s="2014"/>
      <c r="P4" s="3984" t="s">
        <v>795</v>
      </c>
      <c r="Q4" s="3985"/>
      <c r="R4" s="3990" t="s">
        <v>791</v>
      </c>
      <c r="S4" s="3991"/>
      <c r="T4" s="3990" t="s">
        <v>792</v>
      </c>
      <c r="U4" s="3991"/>
      <c r="V4" s="3977" t="s">
        <v>793</v>
      </c>
      <c r="W4" s="3977"/>
      <c r="X4" s="1500"/>
      <c r="Y4" s="3990" t="s">
        <v>795</v>
      </c>
      <c r="Z4" s="3991"/>
      <c r="AA4" s="3979" t="s">
        <v>791</v>
      </c>
      <c r="AB4" s="3980" t="s">
        <v>792</v>
      </c>
      <c r="AC4" s="3979" t="s">
        <v>793</v>
      </c>
    </row>
    <row r="5" spans="1:29" ht="15">
      <c r="A5" s="507"/>
      <c r="B5" s="508"/>
      <c r="C5" s="3998" t="s">
        <v>2892</v>
      </c>
      <c r="D5" s="3999"/>
      <c r="E5" s="4018" t="s">
        <v>2893</v>
      </c>
      <c r="F5" s="401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4007" t="s">
        <v>522</v>
      </c>
      <c r="Q7" s="4009"/>
      <c r="R7" s="1501" t="s">
        <v>8</v>
      </c>
      <c r="S7" s="1502">
        <f t="shared" ref="S7:S14" si="0">F7</f>
        <v>0</v>
      </c>
      <c r="T7" s="1501" t="s">
        <v>8</v>
      </c>
      <c r="U7" s="1502">
        <f t="shared" ref="U7:U14" si="1">H7</f>
        <v>0</v>
      </c>
      <c r="V7" s="1501" t="s">
        <v>8</v>
      </c>
      <c r="W7" s="1502">
        <f t="shared" ref="W7:W14"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76" t="s">
        <v>527</v>
      </c>
      <c r="Q9" s="1132" t="str">
        <f t="shared" ref="Q9:Q14" si="6">B9</f>
        <v>用途</v>
      </c>
      <c r="R9" s="1501" t="s">
        <v>8</v>
      </c>
      <c r="S9" s="1502">
        <f t="shared" si="0"/>
        <v>100</v>
      </c>
      <c r="T9" s="1501" t="s">
        <v>8</v>
      </c>
      <c r="U9" s="1502">
        <f t="shared" si="1"/>
        <v>100</v>
      </c>
      <c r="V9" s="1501" t="s">
        <v>8</v>
      </c>
      <c r="W9" s="1502">
        <f t="shared" si="2"/>
        <v>100</v>
      </c>
      <c r="X9" s="1503"/>
      <c r="Y9" s="392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76"/>
      <c r="Q11" s="1132">
        <f t="shared" si="6"/>
        <v>111</v>
      </c>
      <c r="R11" s="1501" t="s">
        <v>8</v>
      </c>
      <c r="S11" s="1502">
        <f t="shared" si="0"/>
        <v>100</v>
      </c>
      <c r="T11" s="1501" t="s">
        <v>8</v>
      </c>
      <c r="U11" s="1502">
        <f t="shared" si="1"/>
        <v>100</v>
      </c>
      <c r="V11" s="1501" t="s">
        <v>8</v>
      </c>
      <c r="W11" s="1502">
        <f t="shared" si="2"/>
        <v>100</v>
      </c>
      <c r="X11" s="1503"/>
      <c r="Y11" s="3922"/>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10" t="s">
        <v>532</v>
      </c>
      <c r="Q14" s="1505" t="str">
        <f t="shared" si="6"/>
        <v>交通便捷度</v>
      </c>
      <c r="R14" s="1506" t="s">
        <v>8</v>
      </c>
      <c r="S14" s="1507">
        <f t="shared" si="0"/>
        <v>100</v>
      </c>
      <c r="T14" s="1506" t="s">
        <v>8</v>
      </c>
      <c r="U14" s="1507">
        <f t="shared" si="1"/>
        <v>100</v>
      </c>
      <c r="V14" s="1506" t="s">
        <v>8</v>
      </c>
      <c r="W14" s="1507">
        <f t="shared" si="2"/>
        <v>100</v>
      </c>
      <c r="X14" s="1500"/>
      <c r="Y14" s="4010"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11"/>
      <c r="Q15" s="1505"/>
      <c r="R15" s="1506"/>
      <c r="S15" s="1507"/>
      <c r="T15" s="1506"/>
      <c r="U15" s="1507"/>
      <c r="V15" s="1506"/>
      <c r="W15" s="1507"/>
      <c r="X15" s="1500"/>
      <c r="Y15" s="4011"/>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11"/>
      <c r="Q16" s="1505" t="str">
        <f>B16</f>
        <v>公共配套设施</v>
      </c>
      <c r="R16" s="1506" t="s">
        <v>8</v>
      </c>
      <c r="S16" s="1507">
        <f>F16</f>
        <v>100</v>
      </c>
      <c r="T16" s="1506" t="s">
        <v>8</v>
      </c>
      <c r="U16" s="1507">
        <f>H16</f>
        <v>100</v>
      </c>
      <c r="V16" s="1506" t="s">
        <v>8</v>
      </c>
      <c r="W16" s="1507">
        <f>J16</f>
        <v>100</v>
      </c>
      <c r="X16" s="1500"/>
      <c r="Y16" s="4011"/>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11"/>
      <c r="Q17" s="1505"/>
      <c r="R17" s="1506"/>
      <c r="S17" s="1507"/>
      <c r="T17" s="1506"/>
      <c r="U17" s="1507"/>
      <c r="V17" s="1506"/>
      <c r="W17" s="1507"/>
      <c r="X17" s="1500"/>
      <c r="Y17" s="4011"/>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11"/>
      <c r="Q18" s="2427" t="str">
        <f>B18</f>
        <v>基础设施水平</v>
      </c>
      <c r="R18" s="1506" t="s">
        <v>8</v>
      </c>
      <c r="S18" s="1507">
        <f>F18</f>
        <v>100</v>
      </c>
      <c r="T18" s="1506" t="s">
        <v>8</v>
      </c>
      <c r="U18" s="1507">
        <f>H18</f>
        <v>100</v>
      </c>
      <c r="V18" s="1506" t="s">
        <v>8</v>
      </c>
      <c r="W18" s="1507">
        <f>J18</f>
        <v>100</v>
      </c>
      <c r="X18" s="2429"/>
      <c r="Y18" s="4011"/>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11"/>
      <c r="Q19" s="2427"/>
      <c r="R19" s="1506"/>
      <c r="S19" s="1507"/>
      <c r="T19" s="1506"/>
      <c r="U19" s="1507"/>
      <c r="V19" s="1506"/>
      <c r="W19" s="1507"/>
      <c r="X19" s="2429"/>
      <c r="Y19" s="4011"/>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11"/>
      <c r="Q20" s="1505" t="str">
        <f>B20</f>
        <v>自然及人文环境</v>
      </c>
      <c r="R20" s="1506" t="s">
        <v>8</v>
      </c>
      <c r="S20" s="1507">
        <f>F20</f>
        <v>100</v>
      </c>
      <c r="T20" s="1506" t="s">
        <v>8</v>
      </c>
      <c r="U20" s="1507">
        <f>H20</f>
        <v>100</v>
      </c>
      <c r="V20" s="1506" t="s">
        <v>8</v>
      </c>
      <c r="W20" s="1507">
        <f>J20</f>
        <v>100</v>
      </c>
      <c r="X20" s="1500"/>
      <c r="Y20" s="4011"/>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11"/>
      <c r="Q21" s="1505"/>
      <c r="R21" s="1506"/>
      <c r="S21" s="1507"/>
      <c r="T21" s="1506"/>
      <c r="U21" s="1507"/>
      <c r="V21" s="1506"/>
      <c r="W21" s="1507"/>
      <c r="X21" s="1500"/>
      <c r="Y21" s="4011"/>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11"/>
      <c r="Q22" s="1505" t="str">
        <f>B22</f>
        <v>楼层</v>
      </c>
      <c r="R22" s="1506" t="s">
        <v>8</v>
      </c>
      <c r="S22" s="1507">
        <f>F22</f>
        <v>100</v>
      </c>
      <c r="T22" s="1506" t="s">
        <v>8</v>
      </c>
      <c r="U22" s="1507">
        <f>H22</f>
        <v>100</v>
      </c>
      <c r="V22" s="1506" t="s">
        <v>8</v>
      </c>
      <c r="W22" s="1507">
        <f>J22</f>
        <v>100</v>
      </c>
      <c r="X22" s="1500"/>
      <c r="Y22" s="4011"/>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11"/>
      <c r="Q23" s="1505">
        <f>B23</f>
        <v>111</v>
      </c>
      <c r="R23" s="1506" t="s">
        <v>8</v>
      </c>
      <c r="S23" s="1507">
        <f>F23</f>
        <v>100</v>
      </c>
      <c r="T23" s="1506" t="s">
        <v>8</v>
      </c>
      <c r="U23" s="1507">
        <f>H23</f>
        <v>100</v>
      </c>
      <c r="V23" s="1506" t="s">
        <v>8</v>
      </c>
      <c r="W23" s="1507">
        <f>J23</f>
        <v>100</v>
      </c>
      <c r="X23" s="1500"/>
      <c r="Y23" s="4011"/>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11"/>
      <c r="Q24" s="1505">
        <f t="shared" ref="Q24:Q34" si="11">B24</f>
        <v>111</v>
      </c>
      <c r="R24" s="1506" t="s">
        <v>8</v>
      </c>
      <c r="S24" s="1507">
        <f>F24</f>
        <v>100</v>
      </c>
      <c r="T24" s="1506" t="s">
        <v>8</v>
      </c>
      <c r="U24" s="1507">
        <f>H24</f>
        <v>100</v>
      </c>
      <c r="V24" s="1506" t="s">
        <v>8</v>
      </c>
      <c r="W24" s="1507">
        <f>J24</f>
        <v>100</v>
      </c>
      <c r="X24" s="1500"/>
      <c r="Y24" s="4011"/>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11"/>
      <c r="Q25" s="1132">
        <f t="shared" si="11"/>
        <v>111</v>
      </c>
      <c r="R25" s="1501" t="s">
        <v>8</v>
      </c>
      <c r="S25" s="1502">
        <f>F25</f>
        <v>100</v>
      </c>
      <c r="T25" s="1501" t="s">
        <v>8</v>
      </c>
      <c r="U25" s="1502">
        <f>H25</f>
        <v>100</v>
      </c>
      <c r="V25" s="1501" t="s">
        <v>8</v>
      </c>
      <c r="W25" s="1502">
        <f>J25</f>
        <v>100</v>
      </c>
      <c r="X25" s="1503"/>
      <c r="Y25" s="4011"/>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12"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13"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13"/>
      <c r="Q27" s="1534" t="str">
        <f t="shared" si="11"/>
        <v>成新率</v>
      </c>
      <c r="R27" s="1510" t="s">
        <v>8</v>
      </c>
      <c r="S27" s="1511" t="e">
        <f t="shared" si="12"/>
        <v>#N/A</v>
      </c>
      <c r="T27" s="1510" t="s">
        <v>8</v>
      </c>
      <c r="U27" s="1511" t="e">
        <f t="shared" si="13"/>
        <v>#N/A</v>
      </c>
      <c r="V27" s="1510" t="s">
        <v>8</v>
      </c>
      <c r="W27" s="1511" t="e">
        <f t="shared" si="14"/>
        <v>#N/A</v>
      </c>
      <c r="X27" s="1512"/>
      <c r="Y27" s="4013"/>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13"/>
      <c r="Q28" s="1505" t="str">
        <f t="shared" si="11"/>
        <v>物业等级</v>
      </c>
      <c r="R28" s="1506" t="s">
        <v>8</v>
      </c>
      <c r="S28" s="1507">
        <f t="shared" si="12"/>
        <v>100</v>
      </c>
      <c r="T28" s="1506" t="s">
        <v>8</v>
      </c>
      <c r="U28" s="1507">
        <f t="shared" si="13"/>
        <v>100</v>
      </c>
      <c r="V28" s="1506" t="s">
        <v>8</v>
      </c>
      <c r="W28" s="1507">
        <f t="shared" si="14"/>
        <v>100</v>
      </c>
      <c r="X28" s="1500"/>
      <c r="Y28" s="4013"/>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13"/>
      <c r="Q29" s="1505" t="str">
        <f t="shared" si="11"/>
        <v>有无电梯</v>
      </c>
      <c r="R29" s="1506" t="s">
        <v>8</v>
      </c>
      <c r="S29" s="1507">
        <f t="shared" si="12"/>
        <v>100</v>
      </c>
      <c r="T29" s="1506" t="s">
        <v>8</v>
      </c>
      <c r="U29" s="1507">
        <f t="shared" si="13"/>
        <v>100</v>
      </c>
      <c r="V29" s="1506" t="s">
        <v>8</v>
      </c>
      <c r="W29" s="1507">
        <f t="shared" si="14"/>
        <v>100</v>
      </c>
      <c r="X29" s="1500"/>
      <c r="Y29" s="4013"/>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13"/>
      <c r="Q30" s="1505" t="str">
        <f t="shared" si="11"/>
        <v>建筑面积</v>
      </c>
      <c r="R30" s="1506" t="s">
        <v>8</v>
      </c>
      <c r="S30" s="1507" t="e">
        <f t="shared" si="12"/>
        <v>#N/A</v>
      </c>
      <c r="T30" s="1506" t="s">
        <v>8</v>
      </c>
      <c r="U30" s="1507" t="e">
        <f t="shared" si="13"/>
        <v>#N/A</v>
      </c>
      <c r="V30" s="1506" t="s">
        <v>8</v>
      </c>
      <c r="W30" s="1507" t="e">
        <f t="shared" si="14"/>
        <v>#N/A</v>
      </c>
      <c r="X30" s="1500"/>
      <c r="Y30" s="4013"/>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13"/>
      <c r="Q31" s="1132" t="str">
        <f t="shared" si="11"/>
        <v>是否封闭</v>
      </c>
      <c r="R31" s="1501" t="s">
        <v>8</v>
      </c>
      <c r="S31" s="1502">
        <f t="shared" si="12"/>
        <v>100</v>
      </c>
      <c r="T31" s="1501" t="s">
        <v>8</v>
      </c>
      <c r="U31" s="1502">
        <f t="shared" si="13"/>
        <v>100</v>
      </c>
      <c r="V31" s="1501" t="s">
        <v>8</v>
      </c>
      <c r="W31" s="1502">
        <f t="shared" si="14"/>
        <v>100</v>
      </c>
      <c r="X31" s="1503"/>
      <c r="Y31" s="4013"/>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13" t="s">
        <v>542</v>
      </c>
      <c r="Q32" s="1505">
        <f t="shared" si="11"/>
        <v>111</v>
      </c>
      <c r="R32" s="1506" t="s">
        <v>8</v>
      </c>
      <c r="S32" s="1507">
        <f t="shared" si="12"/>
        <v>100</v>
      </c>
      <c r="T32" s="1506" t="s">
        <v>8</v>
      </c>
      <c r="U32" s="1507">
        <f t="shared" si="13"/>
        <v>100</v>
      </c>
      <c r="V32" s="1506" t="s">
        <v>8</v>
      </c>
      <c r="W32" s="1507">
        <f t="shared" si="14"/>
        <v>100</v>
      </c>
      <c r="X32" s="1500"/>
      <c r="Y32" s="4013"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13"/>
      <c r="Q33" s="1505">
        <f t="shared" si="11"/>
        <v>111</v>
      </c>
      <c r="R33" s="1506" t="s">
        <v>8</v>
      </c>
      <c r="S33" s="1507">
        <f t="shared" si="12"/>
        <v>100</v>
      </c>
      <c r="T33" s="1506" t="s">
        <v>8</v>
      </c>
      <c r="U33" s="1507">
        <f t="shared" si="13"/>
        <v>100</v>
      </c>
      <c r="V33" s="1506" t="s">
        <v>8</v>
      </c>
      <c r="W33" s="1507">
        <f t="shared" si="14"/>
        <v>100</v>
      </c>
      <c r="X33" s="1500"/>
      <c r="Y33" s="4013"/>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13"/>
      <c r="Q34" s="1505">
        <f t="shared" si="11"/>
        <v>111</v>
      </c>
      <c r="R34" s="1506" t="s">
        <v>8</v>
      </c>
      <c r="S34" s="1507">
        <f t="shared" si="12"/>
        <v>100</v>
      </c>
      <c r="T34" s="1506" t="s">
        <v>8</v>
      </c>
      <c r="U34" s="1507">
        <f t="shared" si="13"/>
        <v>100</v>
      </c>
      <c r="V34" s="1506" t="s">
        <v>8</v>
      </c>
      <c r="W34" s="1507">
        <f t="shared" si="14"/>
        <v>100</v>
      </c>
      <c r="X34" s="1500"/>
      <c r="Y34" s="4013"/>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76" t="str">
        <f>A35</f>
        <v>成交单价（元/平方米）</v>
      </c>
      <c r="Q35" s="3976"/>
      <c r="R35" s="4134">
        <f>E35</f>
        <v>0</v>
      </c>
      <c r="S35" s="4134"/>
      <c r="T35" s="4134">
        <f>G35</f>
        <v>0</v>
      </c>
      <c r="U35" s="4134"/>
      <c r="V35" s="4134">
        <f>I35</f>
        <v>0</v>
      </c>
      <c r="W35" s="4134"/>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76" t="str">
        <f>A36</f>
        <v>比较价格（元/平方米）</v>
      </c>
      <c r="Q36" s="3976"/>
      <c r="R36" s="4134" t="e">
        <f>IF(F1="售价",ROUND(PRODUCT(R35,AA7:AA34),0),ROUND(PRODUCT(R35,AA7:AA34),1))</f>
        <v>#DIV/0!</v>
      </c>
      <c r="S36" s="4134"/>
      <c r="T36" s="4134" t="e">
        <f>IF(F1="售价",ROUND(PRODUCT(T35,AB7:AB34),0),ROUND(PRODUCT(T35,AB7:AB34),1))</f>
        <v>#DIV/0!</v>
      </c>
      <c r="U36" s="4134"/>
      <c r="V36" s="4134" t="e">
        <f>IF(F1="售价",ROUND(PRODUCT(V35,AC7:AC34),0),ROUND(PRODUCT(V35,AC7:AC34),1))</f>
        <v>#DIV/0!</v>
      </c>
      <c r="W36" s="4134"/>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73" t="str">
        <f>A37</f>
        <v>估价对象XX用房的比较价格（楼面单价，元/平方米）</v>
      </c>
      <c r="Q37" s="3974"/>
      <c r="R37" s="4133" t="e">
        <f>IF(F1="售价",ROUND(IF(D36="简单平均",AVERAGE(R36:W36),R36*F36+T36*H36+V36*J36),0),ROUND(IF(D36="简单平均",AVERAGE(R36:V36),R36*F36+T36*H36+V36*J36),1))</f>
        <v>#DIV/0!</v>
      </c>
      <c r="S37" s="4133"/>
      <c r="T37" s="4133"/>
      <c r="U37" s="4133"/>
      <c r="V37" s="4133"/>
      <c r="W37" s="4133"/>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52" t="s">
        <v>2289</v>
      </c>
      <c r="D1" s="4153"/>
      <c r="E1" s="4153"/>
      <c r="F1" s="4153"/>
      <c r="G1" s="4153"/>
      <c r="H1" s="4153"/>
      <c r="I1" s="4153"/>
      <c r="J1" s="4153"/>
      <c r="K1" s="4153"/>
      <c r="L1" s="4153"/>
      <c r="M1" s="4153"/>
      <c r="N1" s="4153"/>
      <c r="O1" s="4153"/>
      <c r="P1" s="4153"/>
      <c r="Q1" s="4153"/>
      <c r="R1" s="4153"/>
      <c r="S1" s="4154"/>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9" t="s">
        <v>20</v>
      </c>
      <c r="D22" s="4150"/>
      <c r="E22" s="4150"/>
      <c r="F22" s="4150"/>
      <c r="G22" s="4150"/>
      <c r="H22" s="4150"/>
      <c r="I22" s="4150"/>
      <c r="J22" s="4150"/>
      <c r="K22" s="4150"/>
      <c r="L22" s="4150"/>
      <c r="M22" s="4150"/>
      <c r="N22" s="4150"/>
      <c r="O22" s="4150"/>
      <c r="P22" s="4150"/>
      <c r="Q22" s="4151"/>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6" t="s">
        <v>2051</v>
      </c>
      <c r="B1" s="3806"/>
      <c r="C1" s="3806"/>
      <c r="D1" s="3806"/>
    </row>
    <row r="2" spans="1:4" ht="47.25" customHeight="1">
      <c r="A2" s="3807" t="str">
        <f>"1.权利限制："&amp;项目基本情况!L24&amp;"未设定租赁等其他他项权利。"</f>
        <v>1.权利限制：根据估价对象《不动产权证书》原件、《国有土地使用权》复印件，截至估价期日，估价对象抵押权未见登记。未设定租赁等其他他项权利。</v>
      </c>
      <c r="B2" s="3807"/>
      <c r="C2" s="3807"/>
      <c r="D2" s="3807"/>
    </row>
    <row r="3" spans="1:4" ht="48" customHeight="1">
      <c r="A3" s="38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6"/>
      <c r="C3" s="3806"/>
      <c r="D3" s="3806"/>
    </row>
    <row r="4" spans="1:4" ht="36.75" customHeight="1">
      <c r="A4" s="3806" t="str">
        <f>"3.估价规划限制条件：详见"&amp;项目基本情况!E21&amp;"。"</f>
        <v>3.估价规划限制条件：详见《建设工程规划许可证》[]、《出让合同》[]。</v>
      </c>
      <c r="B4" s="3806"/>
      <c r="C4" s="3806"/>
      <c r="D4" s="3806"/>
    </row>
    <row r="5" spans="1:4">
      <c r="A5" s="3805" t="s">
        <v>2052</v>
      </c>
      <c r="B5" s="3805"/>
      <c r="C5" s="3805"/>
      <c r="D5" s="3805"/>
    </row>
    <row r="6" spans="1:4">
      <c r="A6" s="3806" t="s">
        <v>2030</v>
      </c>
      <c r="B6" s="3806"/>
      <c r="C6" s="3806"/>
      <c r="D6" s="3806"/>
    </row>
    <row r="7" spans="1:4" ht="33" customHeight="1">
      <c r="A7" s="3806" t="s">
        <v>2553</v>
      </c>
      <c r="B7" s="3806"/>
      <c r="C7" s="3806"/>
      <c r="D7" s="3806"/>
    </row>
    <row r="8" spans="1:4" ht="32.25" customHeight="1">
      <c r="A8" s="38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6"/>
      <c r="C8" s="3806"/>
      <c r="D8" s="3806"/>
    </row>
    <row r="9" spans="1:4" ht="33.75" customHeight="1">
      <c r="A9" s="3806" t="str">
        <f>IF(项目基本情况!B8="抵押","3.抵押双方在办理抵押登记手续时，应使用本公司出具的正式《土地估价报告》，特提请报告使用者注意。","——")</f>
        <v>——</v>
      </c>
      <c r="B9" s="3806"/>
      <c r="C9" s="3806"/>
      <c r="D9" s="3806"/>
    </row>
    <row r="10" spans="1:4">
      <c r="A10" s="3806" t="str">
        <f>IF(项目基本情况!B8="抵押","4.估价师所知悉的法定优先受偿款情况为：","——")</f>
        <v>——</v>
      </c>
      <c r="B10" s="3806"/>
      <c r="C10" s="3806"/>
      <c r="D10" s="3806"/>
    </row>
    <row r="11" spans="1:4" ht="37.5" customHeight="1">
      <c r="A11" s="3808" t="str">
        <f>IF(项目基本情况!B8="抵押","（1）"&amp;CONCATENATE(项目基本情况!L24,项目基本情况!L25,项目基本情况!L26),"——")</f>
        <v>——</v>
      </c>
      <c r="B11" s="3808"/>
      <c r="C11" s="3808"/>
      <c r="D11" s="3808"/>
    </row>
    <row r="12" spans="1:4" ht="168" customHeight="1">
      <c r="A12" s="3805" t="s">
        <v>2054</v>
      </c>
      <c r="B12" s="3805"/>
      <c r="C12" s="3805"/>
      <c r="D12" s="3805"/>
    </row>
    <row r="13" spans="1:4">
      <c r="A13" s="3809" t="s">
        <v>2724</v>
      </c>
      <c r="B13" s="3809"/>
      <c r="C13" s="3809"/>
      <c r="D13" s="3809"/>
    </row>
    <row r="14" spans="1:4">
      <c r="A14" s="3808" t="str">
        <f>IF(项目基本情况!B8="抵押","综上，"&amp;结果表!K47,"——")</f>
        <v>——</v>
      </c>
      <c r="B14" s="3808"/>
      <c r="C14" s="3808"/>
      <c r="D14" s="3808"/>
    </row>
    <row r="15" spans="1:4" ht="58.5" customHeight="1">
      <c r="A15" s="38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6"/>
      <c r="C15" s="3806"/>
      <c r="D15" s="3806"/>
    </row>
    <row r="16" spans="1:4" ht="70.5" customHeight="1">
      <c r="A16" s="38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6"/>
      <c r="C16" s="3806"/>
      <c r="D16" s="3806"/>
    </row>
    <row r="17" spans="1:4">
      <c r="A17" s="3806" t="s">
        <v>2680</v>
      </c>
      <c r="B17" s="3806"/>
      <c r="C17" s="3806"/>
      <c r="D17" s="3806"/>
    </row>
    <row r="18" spans="1:4">
      <c r="A18" s="3806" t="s">
        <v>2672</v>
      </c>
      <c r="B18" s="3806"/>
      <c r="C18" s="3806"/>
      <c r="D18" s="3806"/>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6" t="s">
        <v>2677</v>
      </c>
      <c r="B23" s="3806"/>
      <c r="C23" s="3806"/>
      <c r="D23" s="3806"/>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7" t="s">
        <v>53</v>
      </c>
      <c r="B15" s="3818" t="s">
        <v>836</v>
      </c>
      <c r="C15" s="3814"/>
    </row>
    <row r="16" spans="1:7" ht="14.25">
      <c r="A16" s="3817"/>
      <c r="B16" s="3815" t="s">
        <v>54</v>
      </c>
      <c r="C16" s="1153" t="s">
        <v>53</v>
      </c>
    </row>
    <row r="17" spans="1:3" ht="14.25">
      <c r="A17" s="3817"/>
      <c r="B17" s="3815"/>
      <c r="C17" s="1153" t="s">
        <v>55</v>
      </c>
    </row>
    <row r="18" spans="1:3" ht="14.25">
      <c r="A18" s="3817"/>
      <c r="B18" s="3815"/>
      <c r="C18" s="1153" t="s">
        <v>56</v>
      </c>
    </row>
    <row r="19" spans="1:3" ht="14.25">
      <c r="A19" s="3817"/>
      <c r="B19" s="3813" t="s">
        <v>57</v>
      </c>
      <c r="C19" s="3814"/>
    </row>
    <row r="20" spans="1:3" ht="14.25">
      <c r="A20" s="1154" t="s">
        <v>58</v>
      </c>
      <c r="B20" s="1155"/>
      <c r="C20" s="1156"/>
    </row>
    <row r="21" spans="1:3" ht="14.25">
      <c r="A21" s="3816" t="s">
        <v>59</v>
      </c>
      <c r="B21" s="3813" t="s">
        <v>60</v>
      </c>
      <c r="C21" s="3814"/>
    </row>
    <row r="22" spans="1:3" ht="14.25">
      <c r="A22" s="3816"/>
      <c r="B22" s="3813" t="s">
        <v>61</v>
      </c>
      <c r="C22" s="3814"/>
    </row>
    <row r="23" spans="1:3" ht="14.25">
      <c r="A23" s="3816"/>
      <c r="B23" s="3813" t="s">
        <v>62</v>
      </c>
      <c r="C23" s="3814"/>
    </row>
    <row r="24" spans="1:3" ht="14.25">
      <c r="A24" s="3816"/>
      <c r="B24" s="3819" t="s">
        <v>63</v>
      </c>
      <c r="C24" s="1157" t="s">
        <v>827</v>
      </c>
    </row>
    <row r="25" spans="1:3" ht="14.25">
      <c r="A25" s="3816"/>
      <c r="B25" s="3820"/>
      <c r="C25" s="1157" t="s">
        <v>828</v>
      </c>
    </row>
    <row r="26" spans="1:3" ht="14.25">
      <c r="A26" s="3816"/>
      <c r="B26" s="3820"/>
      <c r="C26" s="1157" t="s">
        <v>829</v>
      </c>
    </row>
    <row r="27" spans="1:3" ht="14.25">
      <c r="A27" s="3816"/>
      <c r="B27" s="3820"/>
      <c r="C27" s="1157" t="s">
        <v>830</v>
      </c>
    </row>
    <row r="28" spans="1:3" ht="14.25">
      <c r="A28" s="3816"/>
      <c r="B28" s="3820"/>
      <c r="C28" s="1157" t="s">
        <v>831</v>
      </c>
    </row>
    <row r="29" spans="1:3" ht="14.25">
      <c r="A29" s="3816"/>
      <c r="B29" s="3820"/>
      <c r="C29" s="1157" t="s">
        <v>832</v>
      </c>
    </row>
    <row r="30" spans="1:3" ht="14.25">
      <c r="A30" s="3816"/>
      <c r="B30" s="3820"/>
      <c r="C30" s="1157" t="s">
        <v>833</v>
      </c>
    </row>
    <row r="31" spans="1:3" ht="14.25">
      <c r="A31" s="3816"/>
      <c r="B31" s="3820"/>
      <c r="C31" s="1157" t="s">
        <v>834</v>
      </c>
    </row>
    <row r="32" spans="1:3" ht="14.25">
      <c r="A32" s="3816"/>
      <c r="B32" s="3820"/>
      <c r="C32" s="1157" t="s">
        <v>1634</v>
      </c>
    </row>
    <row r="33" spans="1:3" ht="14.25">
      <c r="A33" s="3816"/>
      <c r="B33" s="3810" t="s">
        <v>1640</v>
      </c>
      <c r="C33" s="1157" t="s">
        <v>1635</v>
      </c>
    </row>
    <row r="34" spans="1:3" ht="14.25">
      <c r="A34" s="3816"/>
      <c r="B34" s="3811"/>
      <c r="C34" s="1162" t="s">
        <v>1636</v>
      </c>
    </row>
    <row r="35" spans="1:3" ht="14.25">
      <c r="A35" s="3816"/>
      <c r="B35" s="3811"/>
      <c r="C35" s="1163" t="s">
        <v>1637</v>
      </c>
    </row>
    <row r="36" spans="1:3" ht="14.25">
      <c r="A36" s="3816"/>
      <c r="B36" s="3811"/>
      <c r="C36" s="1163" t="s">
        <v>1638</v>
      </c>
    </row>
    <row r="37" spans="1:3" ht="14.25">
      <c r="A37" s="3816"/>
      <c r="B37" s="3812"/>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44886</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t="str">
        <f ca="1">IF(C4&lt;B2,"已过期",1119970066)</f>
        <v>已过期</v>
      </c>
      <c r="C4" s="3022">
        <v>44876</v>
      </c>
      <c r="D4" s="3030" t="s">
        <v>1902</v>
      </c>
      <c r="E4" s="3019">
        <f ca="1">IF(F4&lt;B2,"已过期",96010014)</f>
        <v>96010014</v>
      </c>
      <c r="F4" s="3021">
        <v>47118</v>
      </c>
      <c r="G4" s="3014"/>
    </row>
    <row r="5" spans="1:7" ht="20.25" customHeight="1">
      <c r="A5" s="3019" t="s">
        <v>1903</v>
      </c>
      <c r="B5" s="3019" t="str">
        <f ca="1">IF(C5&lt;B2,"已过期",1119970111)</f>
        <v>已过期</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t="str">
        <f ca="1">IF(C7&lt;B2,"已过期",1120000080)</f>
        <v>已过期</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t="str">
        <f ca="1">IF(C10&lt;B2,"已过期",1120100036)</f>
        <v>已过期</v>
      </c>
      <c r="C10" s="3022">
        <v>44675</v>
      </c>
      <c r="D10" s="3030" t="s">
        <v>1908</v>
      </c>
      <c r="E10" s="3019">
        <f ca="1">IF(F10&lt;B2,"已过期",2010110070)</f>
        <v>2010110070</v>
      </c>
      <c r="F10" s="3021">
        <v>47907</v>
      </c>
      <c r="G10" s="3014"/>
    </row>
    <row r="11" spans="1:7" ht="20.25" customHeight="1">
      <c r="A11" s="3019" t="s">
        <v>1909</v>
      </c>
      <c r="B11" s="3019" t="str">
        <f ca="1">IF(C11&lt;B2,"已过期",1120070131)</f>
        <v>已过期</v>
      </c>
      <c r="C11" s="3022">
        <v>44849</v>
      </c>
      <c r="D11" s="3030" t="s">
        <v>1909</v>
      </c>
      <c r="E11" s="3019">
        <f ca="1">IF(F11&lt;B2,"已过期",2014110011)</f>
        <v>2014110011</v>
      </c>
      <c r="F11" s="3021">
        <v>49302</v>
      </c>
      <c r="G11" s="3014"/>
    </row>
    <row r="12" spans="1:7" ht="20.25" customHeight="1">
      <c r="A12" s="3019" t="s">
        <v>2940</v>
      </c>
      <c r="B12" s="3019" t="str">
        <f ca="1">IF(C12&lt;B2,"已过期",1120040230)</f>
        <v>已过期</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24" t="s">
        <v>1912</v>
      </c>
      <c r="B17" s="3825"/>
      <c r="C17" s="3825"/>
      <c r="D17" s="3825"/>
      <c r="E17" s="3825"/>
      <c r="F17" s="3825"/>
      <c r="G17" s="3023"/>
    </row>
    <row r="18" spans="1:7" ht="20.25" customHeight="1">
      <c r="A18" s="3821" t="s">
        <v>1913</v>
      </c>
      <c r="B18" s="3821"/>
      <c r="C18" s="3822"/>
      <c r="D18" s="3823" t="s">
        <v>1914</v>
      </c>
      <c r="E18" s="3821"/>
      <c r="F18" s="3821"/>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311" priority="149">
      <formula>AND($C5-TODAY()&lt;30,TODAY()&lt;$C5)</formula>
    </cfRule>
  </conditionalFormatting>
  <conditionalFormatting sqref="C20">
    <cfRule type="expression" dxfId="310" priority="148">
      <formula>AND($C20-TODAY()&lt;30,TODAY()&lt;$C20)</formula>
    </cfRule>
  </conditionalFormatting>
  <conditionalFormatting sqref="C20 F4 C5 C13">
    <cfRule type="cellIs" dxfId="309" priority="150" stopIfTrue="1" operator="lessThan">
      <formula>$B$2</formula>
    </cfRule>
  </conditionalFormatting>
  <conditionalFormatting sqref="F5 F7 F9">
    <cfRule type="cellIs" dxfId="308" priority="144" stopIfTrue="1" operator="lessThan">
      <formula>$B$2</formula>
    </cfRule>
  </conditionalFormatting>
  <conditionalFormatting sqref="C16:D16">
    <cfRule type="expression" dxfId="307" priority="142">
      <formula>AND($C16-TODAY()&lt;30,TODAY()&lt;$C16)</formula>
    </cfRule>
  </conditionalFormatting>
  <conditionalFormatting sqref="F6 F8 F10 C16:D16">
    <cfRule type="cellIs" dxfId="306" priority="143" stopIfTrue="1" operator="lessThan">
      <formula>$B$2</formula>
    </cfRule>
  </conditionalFormatting>
  <conditionalFormatting sqref="F14">
    <cfRule type="cellIs" dxfId="305" priority="114" stopIfTrue="1" operator="lessThan">
      <formula>$B$2</formula>
    </cfRule>
  </conditionalFormatting>
  <conditionalFormatting sqref="F13">
    <cfRule type="cellIs" dxfId="304" priority="113" stopIfTrue="1" operator="lessThan">
      <formula>$B$2</formula>
    </cfRule>
  </conditionalFormatting>
  <conditionalFormatting sqref="B4:B11 E4:E11 E13:E15 B13:B15">
    <cfRule type="cellIs" dxfId="303" priority="111" stopIfTrue="1" operator="equal">
      <formula>"已过期"</formula>
    </cfRule>
  </conditionalFormatting>
  <conditionalFormatting sqref="F20">
    <cfRule type="cellIs" dxfId="302" priority="108" stopIfTrue="1" operator="lessThan">
      <formula>$B$2</formula>
    </cfRule>
  </conditionalFormatting>
  <conditionalFormatting sqref="F20">
    <cfRule type="expression" dxfId="301" priority="152">
      <formula>AND($E20-TODAY()&lt;30,TODAY()&lt;$E20)</formula>
    </cfRule>
  </conditionalFormatting>
  <conditionalFormatting sqref="C6">
    <cfRule type="expression" dxfId="300" priority="82">
      <formula>AND($C6-TODAY()&lt;30,TODAY()&lt;$C6)</formula>
    </cfRule>
  </conditionalFormatting>
  <conditionalFormatting sqref="C6">
    <cfRule type="cellIs" dxfId="299" priority="83" stopIfTrue="1" operator="lessThan">
      <formula>$B$2</formula>
    </cfRule>
  </conditionalFormatting>
  <conditionalFormatting sqref="C11 C15">
    <cfRule type="expression" dxfId="298" priority="80">
      <formula>AND($C11-TODAY()&lt;30,TODAY()&lt;$C11)</formula>
    </cfRule>
  </conditionalFormatting>
  <conditionalFormatting sqref="C11 C15">
    <cfRule type="cellIs" dxfId="297" priority="81" stopIfTrue="1" operator="lessThan">
      <formula>$B$2</formula>
    </cfRule>
  </conditionalFormatting>
  <conditionalFormatting sqref="F11">
    <cfRule type="cellIs" dxfId="296" priority="79" stopIfTrue="1" operator="lessThan">
      <formula>$B$2</formula>
    </cfRule>
  </conditionalFormatting>
  <conditionalFormatting sqref="C14">
    <cfRule type="expression" dxfId="295" priority="60">
      <formula>AND($C14-TODAY()&lt;30,TODAY()&lt;$C14)</formula>
    </cfRule>
  </conditionalFormatting>
  <conditionalFormatting sqref="C14">
    <cfRule type="cellIs" dxfId="294" priority="61" stopIfTrue="1" operator="lessThan">
      <formula>$B$2</formula>
    </cfRule>
  </conditionalFormatting>
  <conditionalFormatting sqref="C12">
    <cfRule type="cellIs" dxfId="293" priority="54" stopIfTrue="1" operator="lessThan">
      <formula>$B$2</formula>
    </cfRule>
  </conditionalFormatting>
  <conditionalFormatting sqref="C12">
    <cfRule type="expression" dxfId="292" priority="51">
      <formula>AND($C12-TODAY()&lt;30,TODAY()&lt;$C12)</formula>
    </cfRule>
  </conditionalFormatting>
  <conditionalFormatting sqref="C12">
    <cfRule type="cellIs" dxfId="291" priority="52" stopIfTrue="1" operator="lessThan">
      <formula>$B$2</formula>
    </cfRule>
  </conditionalFormatting>
  <conditionalFormatting sqref="B12">
    <cfRule type="cellIs" dxfId="290" priority="48" stopIfTrue="1" operator="equal">
      <formula>"已过期"</formula>
    </cfRule>
  </conditionalFormatting>
  <conditionalFormatting sqref="E12">
    <cfRule type="cellIs" dxfId="289" priority="38" stopIfTrue="1" operator="equal">
      <formula>"已过期"</formula>
    </cfRule>
  </conditionalFormatting>
  <conditionalFormatting sqref="F12">
    <cfRule type="cellIs" dxfId="288" priority="37" stopIfTrue="1" operator="lessThan">
      <formula>$B$2</formula>
    </cfRule>
  </conditionalFormatting>
  <conditionalFormatting sqref="C9:C10">
    <cfRule type="expression" dxfId="287" priority="33">
      <formula>AND($C9-TODAY()&lt;30,TODAY()&lt;$C9)</formula>
    </cfRule>
  </conditionalFormatting>
  <conditionalFormatting sqref="C9:C10">
    <cfRule type="cellIs" dxfId="286" priority="34" stopIfTrue="1" operator="lessThan">
      <formula>$B$2</formula>
    </cfRule>
  </conditionalFormatting>
  <conditionalFormatting sqref="F21">
    <cfRule type="cellIs" dxfId="285" priority="13" stopIfTrue="1" operator="lessThan">
      <formula>$B$2</formula>
    </cfRule>
  </conditionalFormatting>
  <conditionalFormatting sqref="F21">
    <cfRule type="expression" dxfId="284" priority="14">
      <formula>AND($E21-TODAY()&lt;30,TODAY()&lt;$E21)</formula>
    </cfRule>
  </conditionalFormatting>
  <conditionalFormatting sqref="C7:C8">
    <cfRule type="expression" dxfId="283" priority="5">
      <formula>AND($C7-TODAY()&lt;30,TODAY()&lt;$C7)</formula>
    </cfRule>
  </conditionalFormatting>
  <conditionalFormatting sqref="C7:C8">
    <cfRule type="cellIs" dxfId="282" priority="6" stopIfTrue="1" operator="lessThan">
      <formula>$B$2</formula>
    </cfRule>
  </conditionalFormatting>
  <conditionalFormatting sqref="C7:C8">
    <cfRule type="expression" dxfId="281" priority="3">
      <formula>AND($C7-TODAY()&lt;30,TODAY()&lt;$C7)</formula>
    </cfRule>
  </conditionalFormatting>
  <conditionalFormatting sqref="C7:C8">
    <cfRule type="cellIs" dxfId="280" priority="4" stopIfTrue="1" operator="lessThan">
      <formula>$B$2</formula>
    </cfRule>
  </conditionalFormatting>
  <conditionalFormatting sqref="C4">
    <cfRule type="expression" dxfId="279" priority="1">
      <formula>AND($C4-TODAY()&lt;30,TODAY()&lt;$C4)</formula>
    </cfRule>
  </conditionalFormatting>
  <conditionalFormatting sqref="C4">
    <cfRule type="cellIs" dxfId="27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AA32" sqref="AA3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3073</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3075</v>
      </c>
      <c r="C25" s="1491"/>
    </row>
    <row r="26" spans="1:3">
      <c r="A26" s="8" t="s">
        <v>125</v>
      </c>
      <c r="B26" s="8" t="s">
        <v>1629</v>
      </c>
      <c r="C26" s="1491"/>
    </row>
    <row r="27" spans="1:3">
      <c r="A27" s="3787" t="s">
        <v>3230</v>
      </c>
      <c r="B27" s="8" t="s">
        <v>1629</v>
      </c>
      <c r="C27" s="1491"/>
    </row>
    <row r="28" spans="1:3">
      <c r="A28" s="3787" t="s">
        <v>3231</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6"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6"/>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6"/>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6"/>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6"/>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165</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基准地价商务公寓</vt:lpstr>
      <vt:lpstr>基准地价办公</vt:lpstr>
      <vt:lpstr>地价</vt:lpstr>
      <vt:lpstr>基准地价（汇总）</vt:lpstr>
      <vt:lpstr>收益还原法</vt:lpstr>
      <vt:lpstr>酒店收入计算</vt:lpstr>
      <vt:lpstr>成本逼近法</vt:lpstr>
      <vt:lpstr>住宅案例截图及地图</vt:lpstr>
      <vt:lpstr>剩余法商业</vt:lpstr>
      <vt:lpstr>剩余法办公</vt:lpstr>
      <vt:lpstr>剩余法商务公寓</vt:lpstr>
      <vt:lpstr>不动产比较法-商务办公</vt:lpstr>
      <vt:lpstr>不动产比较法商务公寓</vt:lpstr>
      <vt:lpstr>公寓案例截图及地图 </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'不动产比较法-商务办公'!Print_Area</vt:lpstr>
      <vt:lpstr>不动产比较法商务公寓!Print_Area</vt:lpstr>
      <vt:lpstr>'不动产比较法-商业'!Print_Area</vt:lpstr>
      <vt:lpstr>'不动产比较法-商业租金'!Print_Area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剩余法商务公寓!Print_Area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2022-11-21T01:42:01Z</dcterms:modified>
</cp:coreProperties>
</file>