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225" windowWidth="11385" windowHeight="9405" tabRatio="899" firstSheet="18" activeTab="19"/>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2)" sheetId="78" state="hidden" r:id="rId18"/>
    <sheet name="结果表" sheetId="9" r:id="rId19"/>
    <sheet name="结果表 (3)" sheetId="80" r:id="rId20"/>
    <sheet name="成本法" sheetId="68" state="hidden" r:id="rId21"/>
    <sheet name="土地比较法-住宅、综合" sheetId="39" state="hidden" r:id="rId22"/>
    <sheet name="成本法 (元)" sheetId="69" state="hidden" r:id="rId23"/>
    <sheet name="假设开发法" sheetId="12" state="hidden" r:id="rId24"/>
    <sheet name="收益法" sheetId="15" r:id="rId25"/>
    <sheet name="收益法 (元)" sheetId="67" state="hidden" r:id="rId26"/>
    <sheet name="收益法 (2)" sheetId="81" state="hidden" r:id="rId27"/>
    <sheet name="收益法（汇总）" sheetId="70" state="hidden" r:id="rId28"/>
    <sheet name="酒店收入计算" sheetId="66" state="hidden" r:id="rId29"/>
    <sheet name="比较法-住宅" sheetId="21" state="hidden" r:id="rId30"/>
    <sheet name="比较法-商业" sheetId="33"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抵押物清单" sheetId="77" r:id="rId48"/>
    <sheet name="土地案例" sheetId="79" r:id="rId49"/>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(2)'!$A$1:$AK$69</definedName>
    <definedName name="_xlnm.Print_Area" localSheetId="25">'收益法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C14" i="15" l="1"/>
  <c r="C15" i="15"/>
  <c r="F16" i="15"/>
  <c r="C16" i="15"/>
  <c r="F43" i="15"/>
  <c r="C17" i="15"/>
  <c r="C18" i="15"/>
  <c r="C19" i="15"/>
  <c r="C20" i="15"/>
  <c r="D5" i="73"/>
  <c r="K1" i="73"/>
  <c r="D4" i="73"/>
  <c r="G1" i="73"/>
  <c r="B40" i="1"/>
  <c r="F24" i="15"/>
  <c r="C23" i="15"/>
  <c r="F26" i="15"/>
  <c r="C26" i="15"/>
  <c r="C24" i="15"/>
  <c r="C27" i="15"/>
  <c r="C29" i="15"/>
  <c r="F13" i="15"/>
  <c r="C13" i="15"/>
  <c r="F37" i="15"/>
  <c r="C37" i="15"/>
  <c r="C36" i="33"/>
  <c r="F6" i="15"/>
  <c r="F8" i="15"/>
  <c r="F7" i="15"/>
  <c r="F9" i="15"/>
  <c r="C6" i="15"/>
  <c r="F4" i="73"/>
  <c r="I1" i="73"/>
  <c r="B39" i="1"/>
  <c r="F11" i="15"/>
  <c r="C10" i="15"/>
  <c r="C5" i="15"/>
  <c r="C32" i="15"/>
  <c r="C33" i="15"/>
  <c r="R6" i="1"/>
  <c r="F35" i="15"/>
  <c r="C34" i="15"/>
  <c r="C31" i="15"/>
  <c r="F36" i="15"/>
  <c r="C36" i="15"/>
  <c r="F38" i="15"/>
  <c r="C38" i="15"/>
  <c r="C30" i="15"/>
  <c r="C39" i="15"/>
  <c r="F42" i="15"/>
  <c r="F40" i="15"/>
  <c r="L48" i="15"/>
  <c r="J53" i="15"/>
  <c r="F1" i="15"/>
  <c r="AE6" i="1"/>
  <c r="F41" i="15"/>
  <c r="C40" i="15"/>
  <c r="M6" i="15"/>
  <c r="M8" i="15"/>
  <c r="M7" i="15"/>
  <c r="M9" i="15"/>
  <c r="J6" i="15"/>
  <c r="M11" i="15"/>
  <c r="J10" i="15"/>
  <c r="J5" i="15"/>
  <c r="J26" i="15"/>
  <c r="J29" i="15"/>
  <c r="J60" i="15"/>
  <c r="L46" i="15"/>
  <c r="B2" i="15"/>
  <c r="B3" i="15"/>
  <c r="C20" i="80"/>
  <c r="D77" i="33"/>
  <c r="E77" i="33"/>
  <c r="F15" i="33"/>
  <c r="AA15" i="33"/>
  <c r="D91" i="33"/>
  <c r="F27" i="33"/>
  <c r="AA27" i="33"/>
  <c r="F19" i="33"/>
  <c r="AA19" i="33"/>
  <c r="F36" i="33"/>
  <c r="AA36" i="33"/>
  <c r="F33" i="33"/>
  <c r="AA33" i="33"/>
  <c r="F35" i="33"/>
  <c r="AA35" i="33"/>
  <c r="R48" i="33"/>
  <c r="H15" i="33"/>
  <c r="AB15" i="33"/>
  <c r="H27" i="33"/>
  <c r="AB27" i="33"/>
  <c r="H19" i="33"/>
  <c r="AB19" i="33"/>
  <c r="H36" i="33"/>
  <c r="AB36" i="33"/>
  <c r="H33" i="33"/>
  <c r="AB33" i="33"/>
  <c r="H35" i="33"/>
  <c r="AB35" i="33"/>
  <c r="T48" i="33"/>
  <c r="J15" i="33"/>
  <c r="AC15" i="33"/>
  <c r="J27" i="33"/>
  <c r="AC27" i="33"/>
  <c r="J19" i="33"/>
  <c r="AC19" i="33"/>
  <c r="J36" i="33"/>
  <c r="AC36" i="33"/>
  <c r="J33" i="33"/>
  <c r="AC33" i="33"/>
  <c r="J35" i="33"/>
  <c r="AC35" i="33"/>
  <c r="V48" i="33"/>
  <c r="R49" i="33"/>
  <c r="C49" i="33"/>
  <c r="B3" i="33"/>
  <c r="D20" i="80"/>
  <c r="C17" i="80"/>
  <c r="D17" i="80"/>
  <c r="C18" i="80"/>
  <c r="D18" i="80"/>
  <c r="G20" i="80"/>
  <c r="R24" i="31"/>
  <c r="F19" i="6"/>
  <c r="G1" i="81"/>
  <c r="F20" i="6"/>
  <c r="E20" i="6"/>
  <c r="K7" i="1"/>
  <c r="M7" i="1"/>
  <c r="E19" i="6"/>
  <c r="E27" i="6"/>
  <c r="K20" i="6"/>
  <c r="S7" i="1"/>
  <c r="T7" i="1"/>
  <c r="C14" i="81"/>
  <c r="F15" i="81"/>
  <c r="C15" i="81"/>
  <c r="F16" i="81"/>
  <c r="C16" i="81"/>
  <c r="F17" i="81"/>
  <c r="F43" i="81"/>
  <c r="C17" i="81"/>
  <c r="F18" i="81"/>
  <c r="C18" i="81"/>
  <c r="C19" i="81"/>
  <c r="F20" i="81"/>
  <c r="C20" i="81"/>
  <c r="F24" i="81"/>
  <c r="F23" i="81"/>
  <c r="C23" i="81"/>
  <c r="F26" i="81"/>
  <c r="C26" i="81"/>
  <c r="F21" i="81"/>
  <c r="C24" i="81"/>
  <c r="C27" i="81"/>
  <c r="F28" i="81"/>
  <c r="C28" i="81"/>
  <c r="C29" i="81"/>
  <c r="F13" i="81"/>
  <c r="C13" i="81"/>
  <c r="F6" i="81"/>
  <c r="F8" i="81"/>
  <c r="F7" i="81"/>
  <c r="F9" i="81"/>
  <c r="C6" i="81"/>
  <c r="F11" i="81"/>
  <c r="C10" i="81"/>
  <c r="C5" i="81"/>
  <c r="F32" i="81"/>
  <c r="C32" i="81"/>
  <c r="F33" i="81"/>
  <c r="C33" i="81"/>
  <c r="F34" i="81"/>
  <c r="D19" i="6"/>
  <c r="K19" i="6"/>
  <c r="L19" i="6"/>
  <c r="M19" i="6"/>
  <c r="I19" i="6"/>
  <c r="H19" i="6"/>
  <c r="R19" i="6"/>
  <c r="D20" i="6"/>
  <c r="L20" i="6"/>
  <c r="M20" i="6"/>
  <c r="I20" i="6"/>
  <c r="H20" i="6"/>
  <c r="R20" i="6"/>
  <c r="R7" i="1"/>
  <c r="F35" i="81"/>
  <c r="C34" i="81"/>
  <c r="C31" i="81"/>
  <c r="F36" i="81"/>
  <c r="C36" i="81"/>
  <c r="F37" i="81"/>
  <c r="C37" i="81"/>
  <c r="F38" i="81"/>
  <c r="C38" i="81"/>
  <c r="C30" i="81"/>
  <c r="C39" i="81"/>
  <c r="F42" i="81"/>
  <c r="F40" i="81"/>
  <c r="M47" i="81"/>
  <c r="L48" i="81"/>
  <c r="J53" i="81"/>
  <c r="F1" i="81"/>
  <c r="AE7" i="1"/>
  <c r="F41" i="81"/>
  <c r="C40" i="81"/>
  <c r="C83" i="81"/>
  <c r="C82" i="81"/>
  <c r="C76" i="81"/>
  <c r="C75" i="81"/>
  <c r="C80" i="81"/>
  <c r="C79" i="81"/>
  <c r="M6" i="81"/>
  <c r="M8" i="81"/>
  <c r="M7" i="81"/>
  <c r="M9" i="81"/>
  <c r="J6" i="81"/>
  <c r="M11" i="81"/>
  <c r="J10" i="81"/>
  <c r="J5" i="81"/>
  <c r="M18" i="81"/>
  <c r="J18" i="81"/>
  <c r="M19" i="81"/>
  <c r="J19" i="81"/>
  <c r="M20" i="81"/>
  <c r="M21" i="81"/>
  <c r="J20" i="81"/>
  <c r="J17" i="81"/>
  <c r="J14" i="81"/>
  <c r="M22" i="81"/>
  <c r="J22" i="81"/>
  <c r="J15" i="81"/>
  <c r="J13" i="81"/>
  <c r="M23" i="81"/>
  <c r="J23" i="81"/>
  <c r="M24" i="81"/>
  <c r="J24" i="81"/>
  <c r="J16" i="81"/>
  <c r="J25" i="81"/>
  <c r="M28" i="81"/>
  <c r="M26" i="81"/>
  <c r="AG6" i="1"/>
  <c r="M27" i="81"/>
  <c r="J26" i="81"/>
  <c r="J29" i="81"/>
  <c r="Q65" i="81"/>
  <c r="J50" i="81"/>
  <c r="J51" i="81"/>
  <c r="L60" i="81"/>
  <c r="Q66" i="81"/>
  <c r="Q75" i="81"/>
  <c r="L47" i="81"/>
  <c r="L59" i="81"/>
  <c r="Q74" i="81"/>
  <c r="K59" i="81"/>
  <c r="P74" i="81"/>
  <c r="L58" i="81"/>
  <c r="Q73" i="81"/>
  <c r="Q72" i="81"/>
  <c r="Q71" i="81"/>
  <c r="F71" i="81"/>
  <c r="F51" i="81"/>
  <c r="F50" i="81"/>
  <c r="C49" i="81"/>
  <c r="C53" i="81"/>
  <c r="C48" i="81"/>
  <c r="F60" i="81"/>
  <c r="C60" i="81"/>
  <c r="F61" i="81"/>
  <c r="C61" i="81"/>
  <c r="F62" i="81"/>
  <c r="F63" i="81"/>
  <c r="C62" i="81"/>
  <c r="C59" i="81"/>
  <c r="C57" i="81"/>
  <c r="F64" i="81"/>
  <c r="C64" i="81"/>
  <c r="C56" i="81"/>
  <c r="F65" i="81"/>
  <c r="C65" i="81"/>
  <c r="F66" i="81"/>
  <c r="C66" i="81"/>
  <c r="C58" i="81"/>
  <c r="C67" i="81"/>
  <c r="F68" i="81"/>
  <c r="F69" i="81"/>
  <c r="C68" i="81"/>
  <c r="C71" i="81"/>
  <c r="Q70" i="81"/>
  <c r="Q69" i="81"/>
  <c r="Q68" i="81"/>
  <c r="L51" i="81"/>
  <c r="Q67" i="81"/>
  <c r="Q56" i="81"/>
  <c r="Q57" i="81"/>
  <c r="Q62" i="81"/>
  <c r="Q61" i="81"/>
  <c r="P61" i="81"/>
  <c r="Q60" i="81"/>
  <c r="J60" i="81"/>
  <c r="Q59" i="81"/>
  <c r="N59" i="81"/>
  <c r="M59" i="81"/>
  <c r="J59" i="81"/>
  <c r="F59" i="81"/>
  <c r="Q58" i="81"/>
  <c r="J57" i="81"/>
  <c r="J55" i="81"/>
  <c r="J58" i="81"/>
  <c r="L57" i="81"/>
  <c r="L56" i="81"/>
  <c r="I54" i="81"/>
  <c r="Q47" i="81"/>
  <c r="Q48" i="81"/>
  <c r="Q53" i="81"/>
  <c r="Q52" i="81"/>
  <c r="Q51" i="81"/>
  <c r="Q50" i="81"/>
  <c r="Q49" i="81"/>
  <c r="L46" i="81"/>
  <c r="D46" i="81"/>
  <c r="C46" i="81"/>
  <c r="C43" i="81"/>
  <c r="F31" i="81"/>
  <c r="M29" i="81"/>
  <c r="D24" i="81"/>
  <c r="D23" i="81"/>
  <c r="D22" i="81"/>
  <c r="M17" i="81"/>
  <c r="B2" i="81"/>
  <c r="B3" i="81"/>
  <c r="N6" i="1"/>
  <c r="Y6" i="1"/>
  <c r="K6" i="1"/>
  <c r="K8" i="1"/>
  <c r="K9" i="1"/>
  <c r="K10" i="1"/>
  <c r="K11" i="1"/>
  <c r="K12" i="1"/>
  <c r="K13" i="1"/>
  <c r="K14" i="1"/>
  <c r="K15" i="1"/>
  <c r="K16" i="1"/>
  <c r="B29" i="1"/>
  <c r="J4" i="77"/>
  <c r="J20" i="77"/>
  <c r="J19" i="77"/>
  <c r="J18" i="77"/>
  <c r="J17" i="77"/>
  <c r="J16" i="77"/>
  <c r="J15" i="77"/>
  <c r="J14" i="77"/>
  <c r="J13" i="77"/>
  <c r="J12" i="77"/>
  <c r="J11" i="77"/>
  <c r="J10" i="77"/>
  <c r="J9" i="77"/>
  <c r="J8" i="77"/>
  <c r="J7" i="77"/>
  <c r="J6" i="77"/>
  <c r="J5" i="77"/>
  <c r="L7" i="1"/>
  <c r="E59" i="33"/>
  <c r="F59" i="33"/>
  <c r="G59" i="33"/>
  <c r="H59" i="33"/>
  <c r="I59" i="33"/>
  <c r="J59" i="33"/>
  <c r="K59" i="33"/>
  <c r="L59" i="33"/>
  <c r="M59" i="33"/>
  <c r="N59" i="33"/>
  <c r="D59" i="33"/>
  <c r="E111" i="80"/>
  <c r="H111" i="80"/>
  <c r="D126" i="80"/>
  <c r="D127" i="80"/>
  <c r="E109" i="80"/>
  <c r="A124" i="80"/>
  <c r="E107" i="80"/>
  <c r="I13" i="3"/>
  <c r="BB13" i="3"/>
  <c r="BA13" i="3"/>
  <c r="AZ13" i="3"/>
  <c r="I14" i="3"/>
  <c r="BB14" i="3"/>
  <c r="BA14" i="3"/>
  <c r="AZ14" i="3"/>
  <c r="AZ5" i="3"/>
  <c r="H13" i="3"/>
  <c r="G13" i="3"/>
  <c r="H14" i="3"/>
  <c r="G14" i="3"/>
  <c r="G5" i="3"/>
  <c r="B3" i="3"/>
  <c r="AY6" i="3"/>
  <c r="D3" i="6"/>
  <c r="E3" i="6"/>
  <c r="BA5" i="3"/>
  <c r="F27" i="6"/>
  <c r="C24" i="80"/>
  <c r="H105" i="80"/>
  <c r="H106" i="80"/>
  <c r="H103" i="80"/>
  <c r="A122" i="80"/>
  <c r="D120" i="80"/>
  <c r="D121" i="80"/>
  <c r="A120" i="80"/>
  <c r="K120" i="80"/>
  <c r="M18" i="80"/>
  <c r="B118" i="80"/>
  <c r="M19" i="80"/>
  <c r="C118" i="80"/>
  <c r="H104" i="80"/>
  <c r="D101" i="80"/>
  <c r="C101" i="80"/>
  <c r="D89" i="80"/>
  <c r="C89" i="80"/>
  <c r="C87" i="80"/>
  <c r="C91" i="80"/>
  <c r="C92" i="80"/>
  <c r="D93" i="80"/>
  <c r="C94" i="80"/>
  <c r="E90" i="80"/>
  <c r="C76" i="80"/>
  <c r="D77" i="80"/>
  <c r="D78" i="80"/>
  <c r="H77" i="80"/>
  <c r="D68" i="80"/>
  <c r="D48" i="80"/>
  <c r="M52" i="80"/>
  <c r="I55" i="80"/>
  <c r="D59" i="80"/>
  <c r="M55" i="80"/>
  <c r="J55" i="80"/>
  <c r="F59" i="80"/>
  <c r="E59" i="80"/>
  <c r="F56" i="80"/>
  <c r="O55" i="80"/>
  <c r="N55" i="80"/>
  <c r="K55" i="80"/>
  <c r="F55" i="80"/>
  <c r="O54" i="80"/>
  <c r="N54" i="80"/>
  <c r="F54" i="80"/>
  <c r="O53" i="80"/>
  <c r="N53" i="80"/>
  <c r="F53" i="80"/>
  <c r="F48" i="80"/>
  <c r="O52" i="80"/>
  <c r="E48" i="80"/>
  <c r="N52" i="80"/>
  <c r="F52" i="80"/>
  <c r="K49" i="80"/>
  <c r="F33" i="80"/>
  <c r="D27" i="80"/>
  <c r="C25" i="80"/>
  <c r="L19" i="80"/>
  <c r="L18" i="80"/>
  <c r="L4" i="80"/>
  <c r="K4" i="80"/>
  <c r="H1" i="80"/>
  <c r="I46" i="39"/>
  <c r="G46" i="39"/>
  <c r="E46" i="39"/>
  <c r="I38" i="39"/>
  <c r="G38" i="39"/>
  <c r="E38" i="39"/>
  <c r="C38" i="39"/>
  <c r="E71" i="39"/>
  <c r="F71" i="39"/>
  <c r="G71" i="39"/>
  <c r="H71" i="39"/>
  <c r="I71" i="39"/>
  <c r="J71" i="39"/>
  <c r="K71" i="39"/>
  <c r="L71" i="39"/>
  <c r="M71" i="39"/>
  <c r="D71" i="39"/>
  <c r="I5" i="3"/>
  <c r="I4" i="6"/>
  <c r="C11" i="39"/>
  <c r="O3" i="79"/>
  <c r="O4" i="79"/>
  <c r="O5" i="79"/>
  <c r="O6" i="79"/>
  <c r="O7" i="79"/>
  <c r="O8" i="79"/>
  <c r="O9" i="79"/>
  <c r="O10" i="79"/>
  <c r="O11" i="79"/>
  <c r="O12" i="79"/>
  <c r="O13" i="79"/>
  <c r="O14" i="79"/>
  <c r="O15" i="79"/>
  <c r="O16" i="79"/>
  <c r="O17" i="79"/>
  <c r="O18" i="79"/>
  <c r="O19" i="79"/>
  <c r="O20" i="79"/>
  <c r="O21" i="79"/>
  <c r="O22" i="79"/>
  <c r="O23" i="79"/>
  <c r="O24" i="79"/>
  <c r="O25" i="79"/>
  <c r="O26" i="79"/>
  <c r="O27" i="79"/>
  <c r="O28" i="79"/>
  <c r="O29" i="79"/>
  <c r="O30" i="79"/>
  <c r="O31" i="79"/>
  <c r="O32" i="79"/>
  <c r="O33" i="79"/>
  <c r="O34" i="79"/>
  <c r="O35" i="79"/>
  <c r="O36" i="79"/>
  <c r="O2" i="79"/>
  <c r="I7" i="39"/>
  <c r="G7" i="39"/>
  <c r="E7" i="39"/>
  <c r="I5" i="39"/>
  <c r="G5" i="39"/>
  <c r="E5" i="39"/>
  <c r="BB5" i="3"/>
  <c r="E8" i="6"/>
  <c r="D3" i="39"/>
  <c r="E111" i="78"/>
  <c r="H111" i="78"/>
  <c r="D126" i="78"/>
  <c r="D127" i="78"/>
  <c r="A126" i="78"/>
  <c r="E109" i="78"/>
  <c r="A124" i="78"/>
  <c r="E107" i="78"/>
  <c r="G1" i="15"/>
  <c r="R8" i="1"/>
  <c r="M6" i="1"/>
  <c r="S6" i="1"/>
  <c r="T6" i="1"/>
  <c r="M47" i="15"/>
  <c r="AE8" i="1"/>
  <c r="T47" i="33"/>
  <c r="V47" i="33"/>
  <c r="F38" i="39"/>
  <c r="AA38" i="39"/>
  <c r="R46" i="39"/>
  <c r="H38" i="39"/>
  <c r="AB38" i="39"/>
  <c r="T46" i="39"/>
  <c r="J38" i="39"/>
  <c r="AC38" i="39"/>
  <c r="V46" i="39"/>
  <c r="C8" i="68"/>
  <c r="Q16" i="1"/>
  <c r="F27" i="68"/>
  <c r="F21" i="68"/>
  <c r="C21" i="68"/>
  <c r="C29" i="68"/>
  <c r="D27" i="68"/>
  <c r="B24" i="1"/>
  <c r="F34" i="68"/>
  <c r="M8" i="1"/>
  <c r="M9" i="1"/>
  <c r="M10" i="1"/>
  <c r="M11" i="1"/>
  <c r="M12" i="1"/>
  <c r="M13" i="1"/>
  <c r="M14" i="1"/>
  <c r="M16" i="1"/>
  <c r="C34" i="68"/>
  <c r="C35" i="68"/>
  <c r="E5" i="6"/>
  <c r="D9" i="68"/>
  <c r="E6" i="6"/>
  <c r="D10" i="68"/>
  <c r="N16" i="1"/>
  <c r="F50" i="68"/>
  <c r="C17" i="78"/>
  <c r="D17" i="78"/>
  <c r="C18" i="78"/>
  <c r="D18" i="78"/>
  <c r="C24" i="78"/>
  <c r="H105" i="78"/>
  <c r="H106" i="78"/>
  <c r="H103" i="78"/>
  <c r="A122" i="78"/>
  <c r="D120" i="78"/>
  <c r="D121" i="78"/>
  <c r="A120" i="78"/>
  <c r="K120" i="78"/>
  <c r="M18" i="78"/>
  <c r="B118" i="78"/>
  <c r="M19" i="78"/>
  <c r="C118" i="78"/>
  <c r="H112" i="78"/>
  <c r="H104" i="78"/>
  <c r="D101" i="78"/>
  <c r="C101" i="78"/>
  <c r="D89" i="78"/>
  <c r="C89" i="78"/>
  <c r="C87" i="78"/>
  <c r="C91" i="78"/>
  <c r="C92" i="78"/>
  <c r="D93" i="78"/>
  <c r="C94" i="78"/>
  <c r="E90" i="78"/>
  <c r="C76" i="78"/>
  <c r="D77" i="78"/>
  <c r="D78" i="78"/>
  <c r="H77" i="78"/>
  <c r="D68" i="78"/>
  <c r="D48" i="78"/>
  <c r="M52" i="78"/>
  <c r="I55" i="78"/>
  <c r="D59" i="78"/>
  <c r="M55" i="78"/>
  <c r="J55" i="78"/>
  <c r="F59" i="78"/>
  <c r="E59" i="78"/>
  <c r="F56" i="78"/>
  <c r="O55" i="78"/>
  <c r="N55" i="78"/>
  <c r="K55" i="78"/>
  <c r="F55" i="78"/>
  <c r="O54" i="78"/>
  <c r="N54" i="78"/>
  <c r="F54" i="78"/>
  <c r="O53" i="78"/>
  <c r="N53" i="78"/>
  <c r="F53" i="78"/>
  <c r="F48" i="78"/>
  <c r="O52" i="78"/>
  <c r="E48" i="78"/>
  <c r="N52" i="78"/>
  <c r="F52" i="78"/>
  <c r="K49" i="78"/>
  <c r="F33" i="78"/>
  <c r="D27" i="78"/>
  <c r="C25" i="78"/>
  <c r="L19" i="78"/>
  <c r="L18" i="78"/>
  <c r="L4" i="78"/>
  <c r="K4" i="78"/>
  <c r="H1" i="78"/>
  <c r="N7" i="1"/>
  <c r="B47" i="77"/>
  <c r="C47" i="77"/>
  <c r="C46" i="77"/>
  <c r="B46" i="77"/>
  <c r="C21" i="77"/>
  <c r="B21" i="77"/>
  <c r="B19" i="77"/>
  <c r="B18" i="77"/>
  <c r="B17" i="77"/>
  <c r="B16" i="77"/>
  <c r="B15" i="77"/>
  <c r="B14" i="77"/>
  <c r="B13" i="77"/>
  <c r="B12" i="77"/>
  <c r="B11" i="77"/>
  <c r="B10" i="77"/>
  <c r="B9" i="77"/>
  <c r="B8" i="77"/>
  <c r="B7" i="77"/>
  <c r="B6" i="77"/>
  <c r="B5" i="77"/>
  <c r="B4" i="77"/>
  <c r="B3" i="77"/>
  <c r="A6" i="1"/>
  <c r="A7" i="1"/>
  <c r="G1" i="67"/>
  <c r="J51" i="67"/>
  <c r="J50"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M19" i="9"/>
  <c r="C118" i="9"/>
  <c r="C14" i="74"/>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3" i="71"/>
  <c r="P13" i="71"/>
  <c r="O13" i="71"/>
  <c r="N13" i="71"/>
  <c r="A15" i="51"/>
  <c r="B12" i="72"/>
  <c r="C76" i="9"/>
  <c r="I107" i="40"/>
  <c r="K6" i="4"/>
  <c r="M56" i="80"/>
  <c r="B22" i="31"/>
  <c r="N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5" i="72"/>
  <c r="B60" i="72"/>
  <c r="B67" i="72"/>
  <c r="B66" i="72"/>
  <c r="B10" i="72"/>
  <c r="C53" i="10"/>
  <c r="B51" i="10"/>
  <c r="B19" i="72"/>
  <c r="A18" i="51"/>
  <c r="B13" i="72"/>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c r="E83" i="21"/>
  <c r="S21" i="21"/>
  <c r="H1" i="69"/>
  <c r="AC25" i="40"/>
  <c r="W25" i="40"/>
  <c r="AB25" i="40"/>
  <c r="U25" i="40"/>
  <c r="AB29" i="39"/>
  <c r="U29" i="39"/>
  <c r="AC29" i="39"/>
  <c r="W29" i="39"/>
  <c r="AC18" i="36"/>
  <c r="W18" i="36"/>
  <c r="AB21" i="37"/>
  <c r="U21" i="37"/>
  <c r="AA21" i="37"/>
  <c r="S21" i="37"/>
  <c r="AB21" i="34"/>
  <c r="U21" i="34"/>
  <c r="AB18" i="35"/>
  <c r="U18" i="35"/>
  <c r="AC18" i="35"/>
  <c r="W18" i="35"/>
  <c r="G77" i="37"/>
  <c r="J21" i="37"/>
  <c r="G84" i="34"/>
  <c r="J21" i="34"/>
  <c r="J21" i="33"/>
  <c r="AC21" i="33"/>
  <c r="F83" i="21"/>
  <c r="H21" i="21"/>
  <c r="F38" i="69"/>
  <c r="E37" i="69"/>
  <c r="F36" i="69"/>
  <c r="F35" i="69"/>
  <c r="F21" i="69"/>
  <c r="C21" i="69"/>
  <c r="F20" i="69"/>
  <c r="E10" i="69"/>
  <c r="E9" i="69"/>
  <c r="C7" i="69"/>
  <c r="AC21" i="37"/>
  <c r="W21" i="37"/>
  <c r="AC21" i="34"/>
  <c r="W21" i="34"/>
  <c r="AB21" i="21"/>
  <c r="U21" i="21"/>
  <c r="G83" i="21"/>
  <c r="J21" i="21"/>
  <c r="C40" i="69"/>
  <c r="F38" i="68"/>
  <c r="E37" i="68"/>
  <c r="F36" i="68"/>
  <c r="F35" i="68"/>
  <c r="F20" i="68"/>
  <c r="E10" i="68"/>
  <c r="E9" i="68"/>
  <c r="W21" i="21"/>
  <c r="AC21" i="21"/>
  <c r="C40" i="68"/>
  <c r="Q72" i="67"/>
  <c r="Q59" i="67"/>
  <c r="Q58" i="67"/>
  <c r="Q51" i="67"/>
  <c r="J50" i="67"/>
  <c r="M47" i="67"/>
  <c r="D46" i="67"/>
  <c r="F33" i="67"/>
  <c r="F61" i="67"/>
  <c r="F23" i="67"/>
  <c r="D24" i="67"/>
  <c r="F21" i="67"/>
  <c r="F20" i="67"/>
  <c r="M19" i="67"/>
  <c r="F18" i="67"/>
  <c r="F17" i="67"/>
  <c r="F15" i="67"/>
  <c r="D22" i="67"/>
  <c r="D23" i="67"/>
  <c r="S2" i="4"/>
  <c r="A2" i="8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M47" i="80"/>
  <c r="F15" i="4"/>
  <c r="F8" i="1"/>
  <c r="F9" i="1"/>
  <c r="F10" i="1"/>
  <c r="F11" i="1"/>
  <c r="F12" i="1"/>
  <c r="F13" i="1"/>
  <c r="D6" i="1"/>
  <c r="D9" i="1"/>
  <c r="D10" i="1"/>
  <c r="D11" i="1"/>
  <c r="D12" i="1"/>
  <c r="D13" i="1"/>
  <c r="D7" i="1"/>
  <c r="D8"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F6" i="1"/>
  <c r="G6" i="1"/>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O10" i="1"/>
  <c r="B22" i="1"/>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1" i="6"/>
  <c r="F23" i="15"/>
  <c r="D24" i="15"/>
  <c r="O8" i="1"/>
  <c r="P8" i="1"/>
  <c r="O13" i="1"/>
  <c r="P13" i="1"/>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77" i="31"/>
  <c r="S76" i="31"/>
  <c r="S75" i="31"/>
  <c r="S74" i="31"/>
  <c r="S73" i="31"/>
  <c r="S72" i="31"/>
  <c r="S71" i="31"/>
  <c r="S70" i="31"/>
  <c r="S69" i="31"/>
  <c r="S68" i="31"/>
  <c r="S67" i="31"/>
  <c r="S66" i="31"/>
  <c r="S65" i="31"/>
  <c r="S64" i="31"/>
  <c r="S63" i="31"/>
  <c r="S62" i="31"/>
  <c r="S61" i="31"/>
  <c r="S60"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S40" i="33"/>
  <c r="J41" i="33"/>
  <c r="D113" i="33"/>
  <c r="E113" i="33"/>
  <c r="F37" i="33"/>
  <c r="D111" i="33"/>
  <c r="E111" i="33"/>
  <c r="F111" i="33"/>
  <c r="G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W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J31" i="33"/>
  <c r="B96" i="33"/>
  <c r="B94" i="33"/>
  <c r="H29" i="33"/>
  <c r="B74" i="33"/>
  <c r="H1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21" i="33"/>
  <c r="G121" i="33"/>
  <c r="H121" i="33"/>
  <c r="I121" i="33"/>
  <c r="J121" i="33"/>
  <c r="K121" i="33"/>
  <c r="L121" i="33"/>
  <c r="M121" i="33"/>
  <c r="F109" i="33"/>
  <c r="E109" i="33"/>
  <c r="D109" i="33"/>
  <c r="C109"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2" i="33"/>
  <c r="H28" i="33"/>
  <c r="B90" i="33"/>
  <c r="D87" i="33"/>
  <c r="E87" i="33"/>
  <c r="F87" i="33"/>
  <c r="G87" i="33"/>
  <c r="H87" i="33"/>
  <c r="I87" i="33"/>
  <c r="J87" i="33"/>
  <c r="K87" i="33"/>
  <c r="L87" i="33"/>
  <c r="M87" i="33"/>
  <c r="D85" i="33"/>
  <c r="E85" i="33"/>
  <c r="D81" i="33"/>
  <c r="E81" i="33"/>
  <c r="D79" i="33"/>
  <c r="E79"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P49" i="33"/>
  <c r="P48" i="33"/>
  <c r="R47" i="33"/>
  <c r="P47" i="33"/>
  <c r="Q46" i="33"/>
  <c r="Z46" i="33"/>
  <c r="Q45" i="33"/>
  <c r="Z45" i="33"/>
  <c r="Q44" i="33"/>
  <c r="Z44" i="33"/>
  <c r="Q43" i="33"/>
  <c r="Z43" i="33"/>
  <c r="Q42" i="33"/>
  <c r="Z42" i="33"/>
  <c r="E123" i="33"/>
  <c r="F123"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F32" i="33"/>
  <c r="AA32" i="33"/>
  <c r="F11" i="33"/>
  <c r="AA11" i="33"/>
  <c r="S26" i="33"/>
  <c r="U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W13" i="33"/>
  <c r="H13" i="33"/>
  <c r="AB13" i="33"/>
  <c r="F13" i="33"/>
  <c r="S13" i="33"/>
  <c r="J29" i="33"/>
  <c r="AC29" i="33"/>
  <c r="F29" i="33"/>
  <c r="S29" i="33"/>
  <c r="H31" i="33"/>
  <c r="AB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30" i="33"/>
  <c r="AB30" i="33"/>
  <c r="F30" i="33"/>
  <c r="J30" i="33"/>
  <c r="W30" i="33"/>
  <c r="H44" i="33"/>
  <c r="U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S35" i="33"/>
  <c r="F39" i="34"/>
  <c r="S39" i="34"/>
  <c r="J39" i="34"/>
  <c r="W39" i="34"/>
  <c r="F40" i="34"/>
  <c r="S40" i="34"/>
  <c r="F43" i="34"/>
  <c r="AA43" i="34"/>
  <c r="H44" i="34"/>
  <c r="AB44" i="34"/>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O9" i="1"/>
  <c r="P9" i="1"/>
  <c r="AE9" i="1"/>
  <c r="D93" i="9"/>
  <c r="E12" i="6"/>
  <c r="E15" i="6"/>
  <c r="E60" i="40"/>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AA32" i="36"/>
  <c r="S32" i="36"/>
  <c r="AZ551" i="3"/>
  <c r="AZ550" i="3"/>
  <c r="AZ408" i="3"/>
  <c r="AZ437" i="3"/>
  <c r="AZ441" i="3"/>
  <c r="AZ457" i="3"/>
  <c r="AZ473" i="3"/>
  <c r="AZ490" i="3"/>
  <c r="AA39" i="34"/>
  <c r="F28" i="6"/>
  <c r="AZ266" i="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O12" i="1"/>
  <c r="P12" i="1"/>
  <c r="S13" i="1"/>
  <c r="AR13" i="1"/>
  <c r="R13" i="1"/>
  <c r="S11" i="1"/>
  <c r="AQ11" i="1"/>
  <c r="R11" i="1"/>
  <c r="S9" i="1"/>
  <c r="AR9" i="1"/>
  <c r="R9" i="1"/>
  <c r="C42" i="1"/>
  <c r="B41" i="1"/>
  <c r="F31" i="12"/>
  <c r="C31" i="12"/>
  <c r="H100" i="43"/>
  <c r="C30" i="66"/>
  <c r="E26" i="66"/>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S27" i="33"/>
  <c r="AA29" i="33"/>
  <c r="W38" i="33"/>
  <c r="H41" i="33"/>
  <c r="U41" i="33"/>
  <c r="S37" i="33"/>
  <c r="AA37" i="33"/>
  <c r="S39" i="33"/>
  <c r="J32" i="33"/>
  <c r="W32" i="33"/>
  <c r="S46" i="33"/>
  <c r="W43" i="33"/>
  <c r="U27" i="33"/>
  <c r="H25" i="33"/>
  <c r="U25" i="33"/>
  <c r="F25" i="33"/>
  <c r="AA25" i="33"/>
  <c r="J23" i="33"/>
  <c r="AC23" i="33"/>
  <c r="F85" i="33"/>
  <c r="H23" i="33"/>
  <c r="AB23" i="33"/>
  <c r="U9" i="33"/>
  <c r="J10" i="33"/>
  <c r="H10" i="33"/>
  <c r="AB10" i="33"/>
  <c r="AC11"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E11" i="6"/>
  <c r="E61" i="39"/>
  <c r="BL17" i="3"/>
  <c r="AZ17" i="3"/>
  <c r="E65" i="39"/>
  <c r="G30" i="6"/>
  <c r="G31" i="6"/>
  <c r="J56" i="9"/>
  <c r="J57" i="9"/>
  <c r="J59" i="9"/>
  <c r="J61" i="9"/>
  <c r="A24" i="51"/>
  <c r="B18" i="72"/>
  <c r="U29" i="34"/>
  <c r="C106" i="43"/>
  <c r="E14" i="6"/>
  <c r="E64" i="39"/>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H85" i="43"/>
  <c r="H81" i="43"/>
  <c r="H84" i="43"/>
  <c r="H88" i="43"/>
  <c r="H53" i="43"/>
  <c r="H78" i="43"/>
  <c r="H71" i="43"/>
  <c r="C17" i="43"/>
  <c r="F33" i="43"/>
  <c r="K17" i="43"/>
  <c r="F34" i="43"/>
  <c r="N6" i="43"/>
  <c r="C6" i="43"/>
  <c r="N3" i="43"/>
  <c r="F38" i="43"/>
  <c r="F37" i="43"/>
  <c r="M9" i="43"/>
  <c r="N5" i="43"/>
  <c r="M12" i="43"/>
  <c r="B19" i="53"/>
  <c r="B37" i="72"/>
  <c r="C7" i="39"/>
  <c r="C68" i="39"/>
  <c r="C7" i="35"/>
  <c r="C48" i="35"/>
  <c r="C7" i="33"/>
  <c r="C58" i="33"/>
  <c r="D58" i="33"/>
  <c r="C7" i="21"/>
  <c r="C58" i="21"/>
  <c r="C7" i="40"/>
  <c r="C63" i="40"/>
  <c r="M47" i="9"/>
  <c r="G19" i="43"/>
  <c r="O19" i="43"/>
  <c r="T35" i="4"/>
  <c r="A19" i="51"/>
  <c r="B14" i="72"/>
  <c r="C46" i="36"/>
  <c r="D46" i="36"/>
  <c r="C59" i="34"/>
  <c r="D59" i="34"/>
  <c r="E59" i="34"/>
  <c r="F59" i="34"/>
  <c r="G59" i="34"/>
  <c r="C52" i="37"/>
  <c r="D52" i="37"/>
  <c r="E52" i="37"/>
  <c r="A4" i="51"/>
  <c r="B6" i="72"/>
  <c r="C4" i="12"/>
  <c r="H66" i="43"/>
  <c r="H65" i="43"/>
  <c r="H64" i="43"/>
  <c r="H63" i="43"/>
  <c r="H55" i="43"/>
  <c r="H56" i="43"/>
  <c r="H72" i="43"/>
  <c r="E62" i="39"/>
  <c r="E56" i="39"/>
  <c r="E51" i="40"/>
  <c r="B6" i="1"/>
  <c r="E6" i="1"/>
  <c r="S8" i="1"/>
  <c r="O11" i="1"/>
  <c r="P11" i="1"/>
  <c r="AP6" i="1"/>
  <c r="B9" i="1"/>
  <c r="E9"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S33" i="33"/>
  <c r="AB44" i="33"/>
  <c r="S30" i="33"/>
  <c r="AA30" i="33"/>
  <c r="AC30" i="33"/>
  <c r="AC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C9" i="68"/>
  <c r="E7" i="70"/>
  <c r="AA39" i="40"/>
  <c r="S39" i="40"/>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W27" i="33"/>
  <c r="S25" i="33"/>
  <c r="J25" i="33"/>
  <c r="W25" i="33"/>
  <c r="F23" i="33"/>
  <c r="AA23" i="33"/>
  <c r="G85" i="33"/>
  <c r="AC10" i="33"/>
  <c r="W10" i="33"/>
  <c r="AC37" i="21"/>
  <c r="U33" i="21"/>
  <c r="S37" i="21"/>
  <c r="AA23" i="21"/>
  <c r="AB15" i="21"/>
  <c r="J23" i="21"/>
  <c r="F85" i="21"/>
  <c r="G85" i="21"/>
  <c r="H23" i="21"/>
  <c r="S13" i="21"/>
  <c r="D6" i="52"/>
  <c r="D121" i="9"/>
  <c r="D7" i="52"/>
  <c r="K120" i="9"/>
  <c r="S6" i="43"/>
  <c r="C23" i="43"/>
  <c r="C21"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S21" i="6"/>
  <c r="L27" i="6"/>
  <c r="S26" i="6"/>
  <c r="S22" i="6"/>
  <c r="AP7" i="1"/>
  <c r="O7" i="1"/>
  <c r="F27" i="69"/>
  <c r="C47" i="69"/>
  <c r="D45" i="69"/>
  <c r="H16" i="1"/>
  <c r="AB45" i="21"/>
  <c r="AC33" i="21"/>
  <c r="W33" i="21"/>
  <c r="S33" i="21"/>
  <c r="AA33" i="21"/>
  <c r="W32" i="21"/>
  <c r="AC32" i="21"/>
  <c r="AB9" i="21"/>
  <c r="U9" i="21"/>
  <c r="AA32" i="21"/>
  <c r="S32" i="21"/>
  <c r="W9" i="21"/>
  <c r="AC9" i="21"/>
  <c r="AB32" i="21"/>
  <c r="U32" i="21"/>
  <c r="AA10" i="21"/>
  <c r="S10" i="21"/>
  <c r="C36" i="69"/>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U23" i="21"/>
  <c r="AB23" i="21"/>
  <c r="AC23" i="21"/>
  <c r="W23" i="21"/>
  <c r="H6" i="3"/>
  <c r="AC6" i="3"/>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8" i="12"/>
  <c r="P7" i="1"/>
  <c r="O16" i="1"/>
  <c r="S20" i="6"/>
  <c r="M27" i="6"/>
  <c r="F27" i="11"/>
  <c r="AC11" i="37"/>
  <c r="W11" i="37"/>
  <c r="W11" i="34"/>
  <c r="AC11" i="34"/>
  <c r="B2" i="74"/>
  <c r="E6" i="3"/>
  <c r="C10" i="68"/>
  <c r="D10" i="11"/>
  <c r="C10" i="11"/>
  <c r="D20" i="12"/>
  <c r="C20" i="12"/>
  <c r="D25" i="6"/>
  <c r="D26" i="6"/>
  <c r="D15" i="6"/>
  <c r="C18" i="4"/>
  <c r="D22" i="6"/>
  <c r="D8" i="6"/>
  <c r="D21" i="6"/>
  <c r="D23" i="6"/>
  <c r="D24" i="6"/>
  <c r="D14" i="6"/>
  <c r="D5" i="6"/>
  <c r="D6" i="6"/>
  <c r="D12" i="6"/>
  <c r="D9" i="6"/>
  <c r="D11" i="6"/>
  <c r="D10" i="6"/>
  <c r="D13" i="6"/>
  <c r="L19" i="9"/>
  <c r="D28" i="6"/>
  <c r="D29" i="6"/>
  <c r="E61" i="40"/>
  <c r="H25" i="6"/>
  <c r="R25" i="6"/>
  <c r="H22" i="6"/>
  <c r="H23" i="6"/>
  <c r="H21" i="6"/>
  <c r="H26" i="6"/>
  <c r="H24" i="6"/>
  <c r="P16" i="1"/>
  <c r="C11" i="12"/>
  <c r="C15" i="12"/>
  <c r="F34" i="11"/>
  <c r="C37" i="11"/>
  <c r="F11" i="12"/>
  <c r="C23" i="12"/>
  <c r="S19" i="6"/>
  <c r="S27" i="6"/>
  <c r="I27" i="6"/>
  <c r="F50" i="11"/>
  <c r="F50" i="69"/>
  <c r="C47" i="11"/>
  <c r="D45" i="11"/>
  <c r="C29" i="11"/>
  <c r="D27" i="11"/>
  <c r="L16" i="1"/>
  <c r="C34" i="11"/>
  <c r="C38" i="11"/>
  <c r="R26" i="6"/>
  <c r="R23" i="6"/>
  <c r="R24" i="6"/>
  <c r="R21" i="6"/>
  <c r="R22" i="6"/>
  <c r="D30" i="6"/>
  <c r="D16" i="6"/>
  <c r="A7" i="51"/>
  <c r="B7" i="72"/>
  <c r="C4" i="52"/>
  <c r="B45" i="72"/>
  <c r="A10" i="51"/>
  <c r="B9" i="72"/>
  <c r="D27" i="6"/>
  <c r="H27" i="6"/>
  <c r="C35" i="11"/>
  <c r="D31" i="6"/>
  <c r="I6" i="6"/>
  <c r="R27" i="6"/>
  <c r="I5" i="6"/>
  <c r="E2" i="70"/>
  <c r="C34" i="69"/>
  <c r="C38" i="69"/>
  <c r="D10" i="69"/>
  <c r="C10" i="69"/>
  <c r="S16" i="1"/>
  <c r="T16" i="1"/>
  <c r="H112" i="9"/>
  <c r="D21" i="53"/>
  <c r="B39" i="72"/>
  <c r="H111" i="9"/>
  <c r="D126" i="9"/>
  <c r="I14" i="74"/>
  <c r="B8" i="74"/>
  <c r="D59" i="9"/>
  <c r="M55" i="9"/>
  <c r="AD3" i="71"/>
  <c r="C65" i="40"/>
  <c r="D63" i="40"/>
  <c r="J1" i="73"/>
  <c r="C36" i="11"/>
  <c r="C33" i="11"/>
  <c r="C39" i="11"/>
  <c r="C46" i="11"/>
  <c r="C45"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6" i="36"/>
  <c r="F46" i="36"/>
  <c r="D58" i="21"/>
  <c r="C24" i="12"/>
  <c r="C48" i="68"/>
  <c r="C9" i="71"/>
  <c r="D9" i="71"/>
  <c r="D10" i="71"/>
  <c r="D11" i="71"/>
  <c r="U11" i="71"/>
  <c r="S11" i="71"/>
  <c r="T11" i="71"/>
  <c r="AB9" i="71"/>
  <c r="X7" i="71"/>
  <c r="X6" i="71"/>
  <c r="AA7" i="71"/>
  <c r="AA6" i="71"/>
  <c r="X10" i="71"/>
  <c r="Z5" i="71"/>
  <c r="Y6" i="71"/>
  <c r="Z6" i="71"/>
  <c r="AB7" i="71"/>
  <c r="AB6" i="71"/>
  <c r="B6" i="71"/>
  <c r="B5" i="71"/>
  <c r="S7" i="71"/>
  <c r="C94" i="9"/>
  <c r="C92" i="9"/>
  <c r="C20" i="11"/>
  <c r="C28" i="11"/>
  <c r="C27" i="11"/>
  <c r="F8" i="71"/>
  <c r="F7" i="71"/>
  <c r="F6" i="71"/>
  <c r="F5" i="71"/>
  <c r="Y7" i="71"/>
  <c r="Z7" i="71"/>
  <c r="E7" i="49"/>
  <c r="AB3" i="71"/>
  <c r="X3" i="71"/>
  <c r="C8" i="71"/>
  <c r="E8" i="71"/>
  <c r="E7" i="71"/>
  <c r="B6" i="49"/>
  <c r="AF3" i="71"/>
  <c r="P24" i="43"/>
  <c r="B66" i="40"/>
  <c r="P21" i="43"/>
  <c r="P22" i="43"/>
  <c r="B9" i="49"/>
  <c r="C19" i="68"/>
  <c r="E5" i="49"/>
  <c r="E4" i="49"/>
  <c r="E13" i="49"/>
  <c r="F31" i="15"/>
  <c r="M17" i="67"/>
  <c r="F59" i="67"/>
  <c r="F59" i="15"/>
  <c r="M17" i="15"/>
  <c r="F31" i="67"/>
  <c r="G20" i="43"/>
  <c r="D65" i="40"/>
  <c r="E63" i="40"/>
  <c r="G17" i="43"/>
  <c r="C16" i="43"/>
  <c r="D5" i="43"/>
  <c r="C5" i="43"/>
  <c r="E58" i="21"/>
  <c r="H59" i="34"/>
  <c r="E6" i="71"/>
  <c r="E5" i="71"/>
  <c r="V7" i="71"/>
  <c r="P23" i="43"/>
  <c r="B71" i="39"/>
  <c r="C7" i="71"/>
  <c r="D8" i="71"/>
  <c r="P25" i="43"/>
  <c r="E65" i="40"/>
  <c r="F63" i="40"/>
  <c r="G63" i="40"/>
  <c r="G65" i="40"/>
  <c r="E41" i="43"/>
  <c r="C41" i="43"/>
  <c r="C20" i="43"/>
  <c r="I59" i="34"/>
  <c r="C6" i="71"/>
  <c r="C5" i="71"/>
  <c r="D5" i="71"/>
  <c r="T7" i="71"/>
  <c r="D6" i="71"/>
  <c r="D7" i="71"/>
  <c r="F65" i="40"/>
  <c r="M20" i="43"/>
  <c r="C19" i="43"/>
  <c r="T14" i="43"/>
  <c r="V14" i="43"/>
  <c r="U7" i="71"/>
  <c r="H63" i="40"/>
  <c r="H65" i="40"/>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G35" i="43"/>
  <c r="I35" i="43"/>
  <c r="E29" i="43"/>
  <c r="I63" i="40"/>
  <c r="G39" i="43"/>
  <c r="I39" i="43"/>
  <c r="G34" i="43"/>
  <c r="I34" i="43"/>
  <c r="C27" i="43"/>
  <c r="I65" i="40"/>
  <c r="J63" i="40"/>
  <c r="J65" i="40"/>
  <c r="K63" i="40"/>
  <c r="K65" i="40"/>
  <c r="L63" i="40"/>
  <c r="L65" i="40"/>
  <c r="M63" i="40"/>
  <c r="M65" i="40"/>
  <c r="N63" i="40"/>
  <c r="O63" i="40"/>
  <c r="O65" i="40"/>
  <c r="N65" i="40"/>
  <c r="D113" i="43"/>
  <c r="F8" i="67"/>
  <c r="F5" i="73"/>
  <c r="AO12" i="1"/>
  <c r="M24" i="67"/>
  <c r="F26" i="67"/>
  <c r="L47" i="67"/>
  <c r="AO10" i="1"/>
  <c r="M28" i="15"/>
  <c r="D6" i="73"/>
  <c r="M27" i="67"/>
  <c r="M21" i="15"/>
  <c r="M6" i="67"/>
  <c r="M27" i="15"/>
  <c r="B13" i="76"/>
  <c r="D7" i="73"/>
  <c r="E13" i="76"/>
  <c r="M29" i="67"/>
  <c r="F6" i="73"/>
  <c r="J15" i="15"/>
  <c r="M28" i="67"/>
  <c r="M22" i="15"/>
  <c r="B7" i="76"/>
  <c r="D34" i="80"/>
  <c r="F43" i="67"/>
  <c r="J15" i="67"/>
  <c r="E7" i="76"/>
  <c r="C76" i="15"/>
  <c r="F36" i="67"/>
  <c r="M21" i="67"/>
  <c r="F7" i="67"/>
  <c r="F37" i="67"/>
  <c r="D35" i="78"/>
  <c r="B10" i="76"/>
  <c r="AO7" i="1"/>
  <c r="M26" i="15"/>
  <c r="F16" i="67"/>
  <c r="M26" i="67"/>
  <c r="E2" i="69"/>
  <c r="B9" i="76"/>
  <c r="F20" i="31"/>
  <c r="L48" i="67"/>
  <c r="M9" i="67"/>
  <c r="F3" i="73"/>
  <c r="D2" i="21"/>
  <c r="E10" i="76"/>
  <c r="F6" i="67"/>
  <c r="F42" i="67"/>
  <c r="F9" i="67"/>
  <c r="F13" i="67"/>
  <c r="AO11" i="1"/>
  <c r="D2" i="33"/>
  <c r="AO8" i="1"/>
  <c r="D2" i="35"/>
  <c r="L47" i="15"/>
  <c r="M22" i="67"/>
  <c r="M8" i="67"/>
  <c r="E2" i="68"/>
  <c r="AO9" i="1"/>
  <c r="C76" i="67"/>
  <c r="E8" i="76"/>
  <c r="F35" i="67"/>
  <c r="AO13" i="1"/>
  <c r="D35" i="80"/>
  <c r="D34" i="78"/>
  <c r="F41" i="67"/>
  <c r="M29" i="15"/>
  <c r="E9" i="76"/>
  <c r="E12" i="76"/>
  <c r="F38" i="67"/>
  <c r="D3" i="73"/>
  <c r="B8" i="76"/>
  <c r="E11" i="76"/>
  <c r="D2" i="37"/>
  <c r="M23" i="15"/>
  <c r="B12" i="76"/>
  <c r="M23" i="67"/>
  <c r="D2" i="36"/>
  <c r="D2" i="34"/>
  <c r="M24" i="15"/>
  <c r="F7" i="73"/>
  <c r="F40" i="67"/>
  <c r="B11" i="76"/>
  <c r="AA44" i="33"/>
  <c r="S42" i="33"/>
  <c r="W42" i="33"/>
  <c r="U42" i="33"/>
  <c r="AB41" i="33"/>
  <c r="AC37" i="33"/>
  <c r="S43" i="33"/>
  <c r="H111" i="33"/>
  <c r="I111" i="33"/>
  <c r="J111" i="33"/>
  <c r="K111" i="33"/>
  <c r="L111" i="33"/>
  <c r="M111" i="33"/>
  <c r="AB34" i="33"/>
  <c r="AC34" i="33"/>
  <c r="S32" i="33"/>
  <c r="S41" i="33"/>
  <c r="W40" i="33"/>
  <c r="W39" i="33"/>
  <c r="W35" i="33"/>
  <c r="U35" i="33"/>
  <c r="AC32" i="33"/>
  <c r="U32" i="33"/>
  <c r="AB28" i="33"/>
  <c r="U28" i="33"/>
  <c r="U29" i="33"/>
  <c r="AB29" i="33"/>
  <c r="W31" i="33"/>
  <c r="AC31" i="33"/>
  <c r="U30" i="33"/>
  <c r="W29" i="33"/>
  <c r="F31" i="33"/>
  <c r="J28" i="33"/>
  <c r="F28" i="33"/>
  <c r="AB25" i="33"/>
  <c r="AC25" i="33"/>
  <c r="W23" i="33"/>
  <c r="U23" i="33"/>
  <c r="AB21" i="33"/>
  <c r="F21" i="33"/>
  <c r="W21" i="33"/>
  <c r="S19" i="33"/>
  <c r="U19" i="33"/>
  <c r="F81" i="33"/>
  <c r="G81" i="33"/>
  <c r="F79" i="33"/>
  <c r="G79" i="33"/>
  <c r="F17" i="33"/>
  <c r="J17" i="33"/>
  <c r="H17" i="33"/>
  <c r="F77" i="33"/>
  <c r="G77" i="33"/>
  <c r="E9" i="49"/>
  <c r="B14" i="49"/>
  <c r="B5" i="49"/>
  <c r="E6" i="49"/>
  <c r="E16" i="49"/>
  <c r="B13" i="49"/>
  <c r="C4" i="4"/>
  <c r="B4" i="62"/>
  <c r="B71" i="72"/>
  <c r="W12" i="33"/>
  <c r="AC12" i="33"/>
  <c r="AB14" i="33"/>
  <c r="U14" i="33"/>
  <c r="B22" i="49"/>
  <c r="E15" i="49"/>
  <c r="B16" i="49"/>
  <c r="B11" i="49"/>
  <c r="E4" i="4"/>
  <c r="B5" i="62"/>
  <c r="B73" i="72"/>
  <c r="E21" i="49"/>
  <c r="B8" i="49"/>
  <c r="E8" i="49"/>
  <c r="B10" i="49"/>
  <c r="E11" i="49"/>
  <c r="E22" i="49"/>
  <c r="B4" i="49"/>
  <c r="E14" i="49"/>
  <c r="E10" i="49"/>
  <c r="B15" i="49"/>
  <c r="B7" i="49"/>
  <c r="F12" i="33"/>
  <c r="J14" i="33"/>
  <c r="F14" i="33"/>
  <c r="AB12" i="33"/>
  <c r="U10" i="33"/>
  <c r="C29" i="69"/>
  <c r="D27" i="69"/>
  <c r="AA10" i="33"/>
  <c r="S9" i="33"/>
  <c r="C12" i="12"/>
  <c r="A118" i="80"/>
  <c r="C51" i="10"/>
  <c r="A2" i="78"/>
  <c r="A118" i="78"/>
  <c r="H112" i="80"/>
  <c r="A126" i="80"/>
  <c r="D19" i="53"/>
  <c r="D8" i="74"/>
  <c r="C8" i="74"/>
  <c r="D12" i="52"/>
  <c r="D127" i="9"/>
  <c r="D13" i="52"/>
  <c r="K56" i="78"/>
  <c r="K56" i="80"/>
  <c r="M56" i="9"/>
  <c r="N56" i="78"/>
  <c r="J56" i="78"/>
  <c r="J57" i="78"/>
  <c r="J59" i="78"/>
  <c r="J61" i="78"/>
  <c r="M56" i="78"/>
  <c r="N56" i="80"/>
  <c r="J56" i="80"/>
  <c r="J57" i="80"/>
  <c r="J59" i="80"/>
  <c r="J61" i="80"/>
  <c r="C47" i="68"/>
  <c r="D45" i="68"/>
  <c r="F7" i="40"/>
  <c r="J7" i="40"/>
  <c r="H7" i="40"/>
  <c r="C26" i="43"/>
  <c r="J59" i="34"/>
  <c r="G46" i="36"/>
  <c r="H46" i="36"/>
  <c r="I46" i="36"/>
  <c r="J46" i="36"/>
  <c r="K46" i="36"/>
  <c r="L46" i="36"/>
  <c r="M46" i="36"/>
  <c r="N46" i="36"/>
  <c r="O46" i="36"/>
  <c r="F7" i="36"/>
  <c r="F52" i="37"/>
  <c r="G52" i="37"/>
  <c r="H52" i="37"/>
  <c r="I52" i="37"/>
  <c r="J52" i="37"/>
  <c r="K52" i="37"/>
  <c r="L52" i="37"/>
  <c r="M52" i="37"/>
  <c r="N52" i="37"/>
  <c r="O52" i="37"/>
  <c r="F7" i="37"/>
  <c r="J7" i="37"/>
  <c r="H7" i="37"/>
  <c r="C70" i="39"/>
  <c r="D68" i="39"/>
  <c r="G16" i="1"/>
  <c r="F58" i="21"/>
  <c r="E58" i="33"/>
  <c r="F58" i="33"/>
  <c r="G58" i="33"/>
  <c r="H58" i="33"/>
  <c r="I58" i="33"/>
  <c r="J58" i="33"/>
  <c r="K58" i="33"/>
  <c r="L58" i="33"/>
  <c r="M58" i="33"/>
  <c r="N58" i="33"/>
  <c r="O58" i="33"/>
  <c r="H7" i="33"/>
  <c r="F7" i="33"/>
  <c r="D48" i="35"/>
  <c r="E48" i="35"/>
  <c r="F48" i="35"/>
  <c r="G48" i="35"/>
  <c r="H48" i="35"/>
  <c r="I48" i="35"/>
  <c r="J48" i="35"/>
  <c r="K48" i="35"/>
  <c r="L48" i="35"/>
  <c r="M48" i="35"/>
  <c r="N48" i="35"/>
  <c r="O48" i="35"/>
  <c r="J7" i="35"/>
  <c r="H7" i="36"/>
  <c r="J7" i="36"/>
  <c r="J51" i="15"/>
  <c r="M47" i="78"/>
  <c r="C77" i="78"/>
  <c r="C77" i="80"/>
  <c r="C74" i="80"/>
  <c r="C29" i="12"/>
  <c r="D28" i="12"/>
  <c r="C74" i="78"/>
  <c r="C36" i="68"/>
  <c r="C14" i="12"/>
  <c r="R16" i="1"/>
  <c r="C35" i="69"/>
  <c r="C38" i="68"/>
  <c r="D19" i="69"/>
  <c r="C19" i="69"/>
  <c r="D19" i="68"/>
  <c r="D37" i="68"/>
  <c r="C37" i="68"/>
  <c r="Q71" i="67"/>
  <c r="B13" i="70"/>
  <c r="B9" i="70"/>
  <c r="C34" i="67"/>
  <c r="F63" i="67"/>
  <c r="C62" i="67"/>
  <c r="F68" i="67"/>
  <c r="B10" i="70"/>
  <c r="L58" i="15"/>
  <c r="N59" i="15"/>
  <c r="L59" i="15"/>
  <c r="M59" i="15"/>
  <c r="M59" i="67"/>
  <c r="L58" i="67"/>
  <c r="L59" i="67"/>
  <c r="N59" i="67"/>
  <c r="B7" i="70"/>
  <c r="B8" i="70"/>
  <c r="C27" i="67"/>
  <c r="E20" i="43"/>
  <c r="B11" i="70"/>
  <c r="F66" i="67"/>
  <c r="F65" i="67"/>
  <c r="F50" i="67"/>
  <c r="M7" i="67"/>
  <c r="J6" i="67"/>
  <c r="J20" i="67"/>
  <c r="F70" i="67"/>
  <c r="C6" i="67"/>
  <c r="B12" i="70"/>
  <c r="F64" i="67"/>
  <c r="Q71" i="15"/>
  <c r="J20" i="15"/>
  <c r="F69" i="67"/>
  <c r="F51" i="67"/>
  <c r="F71" i="67"/>
  <c r="J57" i="67"/>
  <c r="J55" i="67"/>
  <c r="J58" i="67"/>
  <c r="Q50" i="67"/>
  <c r="L56" i="67"/>
  <c r="J53" i="67"/>
  <c r="I54" i="67"/>
  <c r="F71" i="15"/>
  <c r="F68" i="15"/>
  <c r="Q48" i="15"/>
  <c r="J57" i="15"/>
  <c r="J55" i="15"/>
  <c r="J58" i="15"/>
  <c r="Q50" i="15"/>
  <c r="L57" i="15"/>
  <c r="L60" i="15"/>
  <c r="I54" i="15"/>
  <c r="J59" i="15"/>
  <c r="L56" i="15"/>
  <c r="F66" i="15"/>
  <c r="F65" i="15"/>
  <c r="F64" i="15"/>
  <c r="F63" i="15"/>
  <c r="C62" i="15"/>
  <c r="F50" i="15"/>
  <c r="F51" i="15"/>
  <c r="C18" i="12"/>
  <c r="C8" i="69"/>
  <c r="C5" i="69"/>
  <c r="D37" i="69"/>
  <c r="C37" i="69"/>
  <c r="C33" i="69"/>
  <c r="E6" i="76"/>
  <c r="C16" i="67"/>
  <c r="C14" i="67"/>
  <c r="C17" i="67"/>
  <c r="W15" i="33"/>
  <c r="W36" i="33"/>
  <c r="U36" i="33"/>
  <c r="S36" i="33"/>
  <c r="AC28" i="33"/>
  <c r="W28" i="33"/>
  <c r="AA28" i="33"/>
  <c r="S28" i="33"/>
  <c r="AA31" i="33"/>
  <c r="S31" i="33"/>
  <c r="AA21" i="33"/>
  <c r="S21" i="33"/>
  <c r="W19" i="33"/>
  <c r="AB17" i="33"/>
  <c r="U17" i="33"/>
  <c r="S17" i="33"/>
  <c r="AA17" i="33"/>
  <c r="AC17" i="33"/>
  <c r="W17" i="33"/>
  <c r="S15" i="33"/>
  <c r="U15" i="33"/>
  <c r="C33" i="68"/>
  <c r="C16" i="12"/>
  <c r="C21" i="12"/>
  <c r="C22" i="12"/>
  <c r="C30" i="12"/>
  <c r="C28" i="12"/>
  <c r="S14" i="33"/>
  <c r="AA14" i="33"/>
  <c r="AA12" i="33"/>
  <c r="S12" i="33"/>
  <c r="K4" i="4"/>
  <c r="B46" i="48"/>
  <c r="B4" i="72"/>
  <c r="AC14" i="33"/>
  <c r="W14" i="33"/>
  <c r="B38" i="72"/>
  <c r="D20" i="53"/>
  <c r="B40" i="72"/>
  <c r="E2" i="76"/>
  <c r="AB7" i="33"/>
  <c r="U7" i="33"/>
  <c r="U7" i="36"/>
  <c r="AB7" i="36"/>
  <c r="T36" i="36"/>
  <c r="G36" i="36"/>
  <c r="AC7" i="35"/>
  <c r="V38" i="35"/>
  <c r="I38" i="35"/>
  <c r="W7" i="35"/>
  <c r="S7" i="33"/>
  <c r="AA7" i="33"/>
  <c r="F10" i="39"/>
  <c r="H10" i="39"/>
  <c r="J10" i="39"/>
  <c r="H10" i="40"/>
  <c r="J10" i="40"/>
  <c r="F10" i="40"/>
  <c r="E68" i="39"/>
  <c r="D70" i="39"/>
  <c r="U7" i="37"/>
  <c r="AB7" i="37"/>
  <c r="T42" i="37"/>
  <c r="G42" i="37"/>
  <c r="S7" i="37"/>
  <c r="AA7" i="37"/>
  <c r="R42" i="37"/>
  <c r="AA7" i="36"/>
  <c r="R36" i="36"/>
  <c r="S7" i="36"/>
  <c r="B2" i="43"/>
  <c r="W7" i="40"/>
  <c r="AC7" i="40"/>
  <c r="V42" i="40"/>
  <c r="I42" i="40"/>
  <c r="W7" i="36"/>
  <c r="AC7" i="36"/>
  <c r="V36" i="36"/>
  <c r="I36" i="36"/>
  <c r="F7" i="35"/>
  <c r="H7" i="35"/>
  <c r="J7" i="33"/>
  <c r="G58" i="21"/>
  <c r="W7" i="37"/>
  <c r="AC7" i="37"/>
  <c r="V42" i="37"/>
  <c r="I42" i="37"/>
  <c r="K59" i="34"/>
  <c r="L59" i="34"/>
  <c r="M59" i="34"/>
  <c r="N59" i="34"/>
  <c r="O59" i="34"/>
  <c r="H7" i="34"/>
  <c r="F7" i="34"/>
  <c r="U7" i="40"/>
  <c r="AB7" i="40"/>
  <c r="T42" i="40"/>
  <c r="G42" i="40"/>
  <c r="S7" i="40"/>
  <c r="AA7" i="40"/>
  <c r="R42" i="40"/>
  <c r="C49" i="67"/>
  <c r="C49" i="15"/>
  <c r="C18" i="67"/>
  <c r="C15" i="67"/>
  <c r="C39" i="69"/>
  <c r="J18" i="15"/>
  <c r="Q57" i="15"/>
  <c r="Q66" i="15"/>
  <c r="Q52" i="15"/>
  <c r="F22" i="68"/>
  <c r="F24" i="67"/>
  <c r="C24" i="67"/>
  <c r="F25" i="12"/>
  <c r="C26" i="12"/>
  <c r="D25" i="12"/>
  <c r="F22" i="69"/>
  <c r="C23" i="69"/>
  <c r="F22" i="11"/>
  <c r="Q52" i="67"/>
  <c r="F1" i="67"/>
  <c r="P28" i="43"/>
  <c r="O28" i="43"/>
  <c r="M28" i="43"/>
  <c r="N28" i="43"/>
  <c r="Q73" i="67"/>
  <c r="Q60" i="67"/>
  <c r="C39" i="68"/>
  <c r="C46" i="68"/>
  <c r="C45" i="68"/>
  <c r="C20" i="69"/>
  <c r="C53" i="15"/>
  <c r="F11" i="67"/>
  <c r="M11" i="67"/>
  <c r="J10" i="67"/>
  <c r="J5" i="67"/>
  <c r="J18" i="67"/>
  <c r="C32" i="67"/>
  <c r="Q74" i="67"/>
  <c r="Q61" i="67"/>
  <c r="Q61" i="15"/>
  <c r="Q74" i="15"/>
  <c r="Q73" i="15"/>
  <c r="Q60" i="15"/>
  <c r="B6" i="76"/>
  <c r="C25" i="69"/>
  <c r="C42" i="68"/>
  <c r="G48" i="33"/>
  <c r="G52" i="33"/>
  <c r="H52" i="33"/>
  <c r="C48" i="15"/>
  <c r="C60" i="15"/>
  <c r="B2" i="76"/>
  <c r="B3" i="76"/>
  <c r="E42" i="40"/>
  <c r="R43" i="40"/>
  <c r="G47" i="40"/>
  <c r="H47" i="40"/>
  <c r="G46" i="40"/>
  <c r="H46" i="40"/>
  <c r="S7" i="34"/>
  <c r="AA7" i="34"/>
  <c r="R49" i="34"/>
  <c r="H58" i="21"/>
  <c r="I58" i="21"/>
  <c r="J58" i="21"/>
  <c r="K58" i="21"/>
  <c r="L58" i="21"/>
  <c r="M58" i="21"/>
  <c r="N58" i="21"/>
  <c r="O58" i="21"/>
  <c r="F7" i="21"/>
  <c r="W7" i="33"/>
  <c r="AC7" i="33"/>
  <c r="I48" i="33"/>
  <c r="AA7" i="35"/>
  <c r="R38" i="35"/>
  <c r="S7" i="35"/>
  <c r="R43" i="37"/>
  <c r="E42" i="37"/>
  <c r="G47" i="37"/>
  <c r="H47" i="37"/>
  <c r="G46" i="37"/>
  <c r="H46" i="37"/>
  <c r="S10" i="40"/>
  <c r="AA10" i="40"/>
  <c r="U10" i="40"/>
  <c r="AB10" i="40"/>
  <c r="AB10" i="39"/>
  <c r="U10" i="39"/>
  <c r="E48" i="33"/>
  <c r="G40" i="36"/>
  <c r="H40" i="36"/>
  <c r="G41" i="36"/>
  <c r="H41" i="36"/>
  <c r="J7" i="34"/>
  <c r="U7" i="34"/>
  <c r="AB7" i="34"/>
  <c r="T49" i="34"/>
  <c r="G49" i="34"/>
  <c r="I47" i="37"/>
  <c r="J47" i="37"/>
  <c r="I46" i="37"/>
  <c r="J46" i="37"/>
  <c r="H7" i="21"/>
  <c r="AB7" i="35"/>
  <c r="T38" i="35"/>
  <c r="G38" i="35"/>
  <c r="U7" i="35"/>
  <c r="I40" i="36"/>
  <c r="J40" i="36"/>
  <c r="I46" i="40"/>
  <c r="J46" i="40"/>
  <c r="I47" i="40"/>
  <c r="J47" i="40"/>
  <c r="B3" i="43"/>
  <c r="R37" i="36"/>
  <c r="E36" i="36"/>
  <c r="E70" i="39"/>
  <c r="F68" i="39"/>
  <c r="AC10" i="40"/>
  <c r="W10" i="40"/>
  <c r="AC10" i="39"/>
  <c r="W10" i="39"/>
  <c r="AA10" i="39"/>
  <c r="S10" i="39"/>
  <c r="I42" i="35"/>
  <c r="J42" i="35"/>
  <c r="C28" i="69"/>
  <c r="C27" i="69"/>
  <c r="C19" i="67"/>
  <c r="C20" i="67"/>
  <c r="C43" i="69"/>
  <c r="C66" i="15"/>
  <c r="J19" i="15"/>
  <c r="J17" i="15"/>
  <c r="J14" i="15"/>
  <c r="J22" i="15"/>
  <c r="J13" i="15"/>
  <c r="J23" i="15"/>
  <c r="J24" i="15"/>
  <c r="J16" i="15"/>
  <c r="J25" i="15"/>
  <c r="C53" i="67"/>
  <c r="C48" i="67"/>
  <c r="C10" i="67"/>
  <c r="C5" i="67"/>
  <c r="C44" i="11"/>
  <c r="D41" i="11"/>
  <c r="C26" i="11"/>
  <c r="D22" i="11"/>
  <c r="C23" i="11"/>
  <c r="C43" i="11"/>
  <c r="C42" i="11"/>
  <c r="C25" i="11"/>
  <c r="C24" i="11"/>
  <c r="C44" i="68"/>
  <c r="D41" i="68"/>
  <c r="C24" i="68"/>
  <c r="C26" i="68"/>
  <c r="D22" i="68"/>
  <c r="C43" i="68"/>
  <c r="C44" i="69"/>
  <c r="D41" i="69"/>
  <c r="C26" i="69"/>
  <c r="D22" i="69"/>
  <c r="C24" i="69"/>
  <c r="C27" i="12"/>
  <c r="C25" i="12"/>
  <c r="C32" i="12"/>
  <c r="B2" i="12"/>
  <c r="B3" i="12"/>
  <c r="C42" i="69"/>
  <c r="C46" i="69"/>
  <c r="C45" i="69"/>
  <c r="J26" i="67"/>
  <c r="J29" i="67"/>
  <c r="J24" i="67"/>
  <c r="C41" i="68"/>
  <c r="C22" i="69"/>
  <c r="C31" i="69"/>
  <c r="C41" i="69"/>
  <c r="C49" i="68"/>
  <c r="C51" i="68"/>
  <c r="C37" i="36"/>
  <c r="B2" i="36"/>
  <c r="B3" i="36"/>
  <c r="C36" i="36"/>
  <c r="S7" i="21"/>
  <c r="AA7" i="21"/>
  <c r="R48" i="21"/>
  <c r="E47" i="40"/>
  <c r="F47" i="40"/>
  <c r="E46" i="40"/>
  <c r="F46" i="40"/>
  <c r="AB7" i="21"/>
  <c r="T48" i="21"/>
  <c r="G48" i="21"/>
  <c r="U7" i="21"/>
  <c r="C48" i="33"/>
  <c r="E46" i="37"/>
  <c r="F46" i="37"/>
  <c r="E47" i="37"/>
  <c r="F47" i="37"/>
  <c r="I52" i="33"/>
  <c r="J52" i="33"/>
  <c r="I53" i="33"/>
  <c r="J53" i="33"/>
  <c r="F70" i="39"/>
  <c r="G68" i="39"/>
  <c r="E40" i="36"/>
  <c r="F40" i="36"/>
  <c r="E41" i="36"/>
  <c r="F41" i="36"/>
  <c r="I41" i="36"/>
  <c r="J41" i="36"/>
  <c r="G43" i="35"/>
  <c r="H43" i="35"/>
  <c r="G42" i="35"/>
  <c r="H42" i="35"/>
  <c r="G53" i="34"/>
  <c r="H53" i="34"/>
  <c r="G53" i="33"/>
  <c r="H53" i="33"/>
  <c r="W7" i="34"/>
  <c r="AC7" i="34"/>
  <c r="V49" i="34"/>
  <c r="I49" i="34"/>
  <c r="G54" i="34"/>
  <c r="H54" i="34"/>
  <c r="E53" i="33"/>
  <c r="F53" i="33"/>
  <c r="E52" i="33"/>
  <c r="F52" i="33"/>
  <c r="C43" i="37"/>
  <c r="B2" i="37"/>
  <c r="B3" i="37"/>
  <c r="C42" i="37"/>
  <c r="E38" i="35"/>
  <c r="R39" i="35"/>
  <c r="J7" i="21"/>
  <c r="R50" i="34"/>
  <c r="E49" i="34"/>
  <c r="C42" i="40"/>
  <c r="C43" i="40"/>
  <c r="C49" i="69"/>
  <c r="C51" i="69"/>
  <c r="C41" i="11"/>
  <c r="C49" i="11"/>
  <c r="C51" i="11"/>
  <c r="C26" i="67"/>
  <c r="C23" i="67"/>
  <c r="F69" i="15"/>
  <c r="C22" i="11"/>
  <c r="C31" i="11"/>
  <c r="C60" i="67"/>
  <c r="C66" i="67"/>
  <c r="C38" i="67"/>
  <c r="B52" i="40"/>
  <c r="F52" i="40"/>
  <c r="B55" i="40"/>
  <c r="F55" i="40"/>
  <c r="B57" i="40"/>
  <c r="F57" i="40"/>
  <c r="B56" i="40"/>
  <c r="F56" i="40"/>
  <c r="B53" i="40"/>
  <c r="F53" i="40"/>
  <c r="B58" i="40"/>
  <c r="F58" i="40"/>
  <c r="B51" i="40"/>
  <c r="F51" i="40"/>
  <c r="B60" i="40"/>
  <c r="F60" i="40"/>
  <c r="B59" i="40"/>
  <c r="F59" i="40"/>
  <c r="B54" i="40"/>
  <c r="F54" i="40"/>
  <c r="F61" i="40"/>
  <c r="B2" i="40"/>
  <c r="B3" i="40"/>
  <c r="E54" i="34"/>
  <c r="F54" i="34"/>
  <c r="E53" i="34"/>
  <c r="F53" i="34"/>
  <c r="W7" i="21"/>
  <c r="AC7" i="21"/>
  <c r="V48" i="21"/>
  <c r="I48" i="21"/>
  <c r="E42" i="35"/>
  <c r="F42" i="35"/>
  <c r="E43" i="35"/>
  <c r="F43" i="35"/>
  <c r="I43" i="35"/>
  <c r="J43" i="35"/>
  <c r="G53" i="21"/>
  <c r="H53" i="21"/>
  <c r="G52" i="21"/>
  <c r="H52" i="21"/>
  <c r="C50" i="34"/>
  <c r="B2" i="34"/>
  <c r="B3" i="34"/>
  <c r="C49" i="34"/>
  <c r="C38" i="35"/>
  <c r="C39" i="35"/>
  <c r="B2" i="35"/>
  <c r="B3" i="35"/>
  <c r="I53" i="34"/>
  <c r="J53" i="34"/>
  <c r="I54" i="34"/>
  <c r="J54" i="34"/>
  <c r="H68" i="39"/>
  <c r="G70" i="39"/>
  <c r="B2" i="33"/>
  <c r="E48" i="21"/>
  <c r="R49" i="21"/>
  <c r="C52" i="11"/>
  <c r="B2" i="11"/>
  <c r="B3" i="11"/>
  <c r="C52" i="69"/>
  <c r="B2" i="69"/>
  <c r="B3" i="69"/>
  <c r="C29" i="67"/>
  <c r="C57" i="67"/>
  <c r="C56" i="11"/>
  <c r="C57" i="11"/>
  <c r="Q49" i="15"/>
  <c r="C57" i="15"/>
  <c r="C61" i="15"/>
  <c r="C59" i="15"/>
  <c r="C57" i="69"/>
  <c r="C56" i="69"/>
  <c r="Q70" i="15"/>
  <c r="C75" i="15"/>
  <c r="C56" i="15"/>
  <c r="C65" i="15"/>
  <c r="C64" i="15"/>
  <c r="C58" i="15"/>
  <c r="C67" i="15"/>
  <c r="C68" i="15"/>
  <c r="C13" i="67"/>
  <c r="C75" i="67"/>
  <c r="C36" i="67"/>
  <c r="C48" i="21"/>
  <c r="C49" i="21"/>
  <c r="B2" i="21"/>
  <c r="B3" i="21"/>
  <c r="I52" i="21"/>
  <c r="J52" i="21"/>
  <c r="I53" i="21"/>
  <c r="J53" i="21"/>
  <c r="Q49" i="67"/>
  <c r="J19" i="67"/>
  <c r="J17" i="67"/>
  <c r="E52" i="21"/>
  <c r="F52" i="21"/>
  <c r="E53" i="21"/>
  <c r="F53" i="21"/>
  <c r="I68" i="39"/>
  <c r="H70" i="39"/>
  <c r="J59" i="67"/>
  <c r="J60" i="67"/>
  <c r="Q48" i="67"/>
  <c r="C33" i="67"/>
  <c r="C31" i="67"/>
  <c r="J14" i="67"/>
  <c r="J22" i="67"/>
  <c r="C61" i="67"/>
  <c r="C59" i="67"/>
  <c r="C64" i="67"/>
  <c r="L51" i="15"/>
  <c r="C37" i="67"/>
  <c r="Q70" i="67"/>
  <c r="C56" i="67"/>
  <c r="C65" i="67"/>
  <c r="Q69" i="15"/>
  <c r="Q68" i="15"/>
  <c r="I70" i="39"/>
  <c r="J68" i="39"/>
  <c r="J13" i="67"/>
  <c r="J23" i="67"/>
  <c r="C80" i="15"/>
  <c r="C79" i="15"/>
  <c r="L46" i="67"/>
  <c r="C30" i="67"/>
  <c r="C39" i="67"/>
  <c r="Q69" i="67"/>
  <c r="Q68" i="67"/>
  <c r="J16" i="67"/>
  <c r="J25" i="67"/>
  <c r="Q67" i="15"/>
  <c r="Q56" i="15"/>
  <c r="Q62" i="15"/>
  <c r="C43" i="15"/>
  <c r="Q65" i="15"/>
  <c r="Q75" i="15"/>
  <c r="Q47" i="15"/>
  <c r="Q53" i="15"/>
  <c r="C83" i="15"/>
  <c r="C82" i="15"/>
  <c r="C58" i="67"/>
  <c r="C67" i="67"/>
  <c r="C68" i="67"/>
  <c r="C71" i="15"/>
  <c r="C46" i="15"/>
  <c r="L51" i="67"/>
  <c r="D19" i="78"/>
  <c r="AO6" i="1"/>
  <c r="K68" i="39"/>
  <c r="J70" i="39"/>
  <c r="C40" i="67"/>
  <c r="Q47" i="67"/>
  <c r="Q53" i="67"/>
  <c r="C80" i="67"/>
  <c r="C79" i="67"/>
  <c r="D102" i="78"/>
  <c r="D21" i="78"/>
  <c r="B6" i="70"/>
  <c r="B2" i="70"/>
  <c r="B3" i="70"/>
  <c r="Q67" i="67"/>
  <c r="L57" i="67"/>
  <c r="L60" i="67"/>
  <c r="C71" i="67"/>
  <c r="D20" i="78"/>
  <c r="L68" i="39"/>
  <c r="K70" i="39"/>
  <c r="Q56" i="67"/>
  <c r="C45" i="67"/>
  <c r="C46" i="67"/>
  <c r="C83" i="67"/>
  <c r="C82" i="67"/>
  <c r="Q65" i="67"/>
  <c r="C43" i="67"/>
  <c r="D2" i="67"/>
  <c r="B2" i="67"/>
  <c r="D103" i="78"/>
  <c r="Q66" i="67"/>
  <c r="Q57" i="67"/>
  <c r="B3" i="67"/>
  <c r="M68" i="39"/>
  <c r="L70" i="39"/>
  <c r="Q62" i="67"/>
  <c r="Q75" i="67"/>
  <c r="N68" i="39"/>
  <c r="M70" i="39"/>
  <c r="D124" i="9"/>
  <c r="H110" i="9"/>
  <c r="D18" i="53"/>
  <c r="B35" i="72"/>
  <c r="D16" i="53"/>
  <c r="O68" i="39"/>
  <c r="O70" i="39"/>
  <c r="N70" i="39"/>
  <c r="B34" i="72"/>
  <c r="D17" i="53"/>
  <c r="B36" i="72"/>
  <c r="D10" i="52"/>
  <c r="D125" i="9"/>
  <c r="D11" i="52"/>
  <c r="H14" i="74"/>
  <c r="B7" i="74"/>
  <c r="F7" i="39"/>
  <c r="J7" i="39"/>
  <c r="H7" i="39"/>
  <c r="D7" i="74"/>
  <c r="C7" i="74"/>
  <c r="AC7" i="39"/>
  <c r="V47" i="39"/>
  <c r="I47" i="39"/>
  <c r="W7" i="39"/>
  <c r="AB7" i="39"/>
  <c r="T47" i="39"/>
  <c r="G47" i="39"/>
  <c r="U7" i="39"/>
  <c r="AA7" i="39"/>
  <c r="R47" i="39"/>
  <c r="S7" i="39"/>
  <c r="G52" i="39"/>
  <c r="H52" i="39"/>
  <c r="G51" i="39"/>
  <c r="H51" i="39"/>
  <c r="R48" i="39"/>
  <c r="E47" i="39"/>
  <c r="I52" i="39"/>
  <c r="J52" i="39"/>
  <c r="I51" i="39"/>
  <c r="J51" i="39"/>
  <c r="E52" i="39"/>
  <c r="F52" i="39"/>
  <c r="E51" i="39"/>
  <c r="F51" i="39"/>
  <c r="C48" i="39"/>
  <c r="C47" i="39"/>
  <c r="D124" i="80"/>
  <c r="D125" i="80"/>
  <c r="H110" i="80"/>
  <c r="B56" i="39"/>
  <c r="F56" i="39"/>
  <c r="B57" i="39"/>
  <c r="F57" i="39"/>
  <c r="B58" i="39"/>
  <c r="F58" i="39"/>
  <c r="B59" i="39"/>
  <c r="F59" i="39"/>
  <c r="B60" i="39"/>
  <c r="F60" i="39"/>
  <c r="B61" i="39"/>
  <c r="F61" i="39"/>
  <c r="B62" i="39"/>
  <c r="F62" i="39"/>
  <c r="B63" i="39"/>
  <c r="F63" i="39"/>
  <c r="B64" i="39"/>
  <c r="F64" i="39"/>
  <c r="B65" i="39"/>
  <c r="F65" i="39"/>
  <c r="F66" i="39"/>
  <c r="B2" i="39"/>
  <c r="C6" i="68"/>
  <c r="B3" i="39"/>
  <c r="C7" i="68"/>
  <c r="C5" i="68"/>
  <c r="C20" i="68"/>
  <c r="C25" i="68"/>
  <c r="C23" i="68"/>
  <c r="C22" i="68"/>
  <c r="C28" i="68"/>
  <c r="C27" i="68"/>
  <c r="C31" i="68"/>
  <c r="C52" i="68"/>
  <c r="B2" i="68"/>
  <c r="C19" i="78"/>
  <c r="C57" i="68"/>
  <c r="C56" i="68"/>
  <c r="C21" i="78"/>
  <c r="C102" i="78"/>
  <c r="G19" i="78"/>
  <c r="D22" i="78"/>
  <c r="B3" i="68"/>
  <c r="C20" i="78"/>
  <c r="C103" i="78"/>
  <c r="G20" i="78"/>
  <c r="C32" i="78"/>
  <c r="G21" i="78"/>
  <c r="C35" i="78"/>
  <c r="F118" i="78"/>
  <c r="H118" i="78"/>
  <c r="C34" i="78"/>
  <c r="D118" i="78"/>
  <c r="D119" i="78"/>
  <c r="H119" i="78"/>
  <c r="C104" i="78"/>
  <c r="H101" i="78"/>
  <c r="H109" i="78"/>
  <c r="I118" i="78"/>
  <c r="F119" i="78"/>
  <c r="G118" i="78"/>
  <c r="H109" i="9"/>
  <c r="H110" i="78"/>
  <c r="D124" i="78"/>
  <c r="D125" i="78"/>
  <c r="H107" i="78"/>
  <c r="M49" i="78"/>
  <c r="D45" i="78"/>
  <c r="M48" i="78"/>
  <c r="C105" i="78"/>
  <c r="E118" i="78"/>
  <c r="H102" i="78"/>
  <c r="D19" i="80"/>
  <c r="C19" i="80"/>
  <c r="D22" i="80"/>
  <c r="G19" i="80"/>
  <c r="C102" i="80"/>
  <c r="C21" i="80"/>
  <c r="D21" i="80"/>
  <c r="D102" i="80"/>
  <c r="D103" i="80"/>
  <c r="C103" i="80"/>
  <c r="L67" i="78"/>
  <c r="M67" i="78"/>
  <c r="L66" i="78"/>
  <c r="M66" i="78"/>
  <c r="L65" i="78"/>
  <c r="M65" i="78"/>
  <c r="L64" i="78"/>
  <c r="M64" i="78"/>
  <c r="L63" i="78"/>
  <c r="M63" i="78"/>
  <c r="L68" i="78"/>
  <c r="M68" i="78"/>
  <c r="C85" i="78"/>
  <c r="C78" i="78"/>
  <c r="C73" i="78"/>
  <c r="D53" i="78"/>
  <c r="C93" i="78"/>
  <c r="C86" i="78"/>
  <c r="C72" i="78"/>
  <c r="C64" i="78"/>
  <c r="C63" i="78"/>
  <c r="C67" i="78"/>
  <c r="C68" i="78"/>
  <c r="D54" i="78"/>
  <c r="D52" i="78"/>
  <c r="D55" i="78"/>
  <c r="M53" i="78"/>
  <c r="D122" i="78"/>
  <c r="D123" i="78"/>
  <c r="H108" i="78"/>
  <c r="G21" i="80"/>
  <c r="C32" i="80"/>
  <c r="M69" i="78"/>
  <c r="N69" i="78"/>
  <c r="C79" i="78"/>
  <c r="C80" i="78"/>
  <c r="E80" i="78"/>
  <c r="E81" i="78"/>
  <c r="C95" i="78"/>
  <c r="C35" i="80"/>
  <c r="F118" i="80"/>
  <c r="H118" i="80"/>
  <c r="C34" i="80"/>
  <c r="D118" i="80"/>
  <c r="D119" i="80"/>
  <c r="C96" i="78"/>
  <c r="E96" i="78"/>
  <c r="E97" i="78"/>
  <c r="C81" i="78"/>
  <c r="C104" i="80"/>
  <c r="H119" i="80"/>
  <c r="H101" i="80"/>
  <c r="I118" i="80"/>
  <c r="G118" i="80"/>
  <c r="F119" i="80"/>
  <c r="C97" i="78"/>
  <c r="D58" i="78"/>
  <c r="D56" i="78"/>
  <c r="M54" i="78"/>
  <c r="N57" i="78"/>
  <c r="C105" i="80"/>
  <c r="H102" i="80"/>
  <c r="E118" i="80"/>
  <c r="H109" i="80"/>
  <c r="H107" i="80"/>
  <c r="D45" i="80"/>
  <c r="M48" i="80"/>
  <c r="N58" i="78"/>
  <c r="N59" i="78"/>
  <c r="P57" i="78"/>
  <c r="C72" i="80"/>
  <c r="C64" i="80"/>
  <c r="C63" i="80"/>
  <c r="C67" i="80"/>
  <c r="C68" i="80"/>
  <c r="D54" i="80"/>
  <c r="D52" i="80"/>
  <c r="D55" i="80"/>
  <c r="M53" i="80"/>
  <c r="C93" i="80"/>
  <c r="C86" i="80"/>
  <c r="C78" i="80"/>
  <c r="C73" i="80"/>
  <c r="D53" i="80"/>
  <c r="C85" i="80"/>
  <c r="M49" i="80"/>
  <c r="D122" i="80"/>
  <c r="D123" i="80"/>
  <c r="H108" i="80"/>
  <c r="N61" i="78"/>
  <c r="N60" i="78"/>
  <c r="C95" i="80"/>
  <c r="C96" i="80"/>
  <c r="E96" i="80"/>
  <c r="E97" i="80"/>
  <c r="L63" i="80"/>
  <c r="M63" i="80"/>
  <c r="L67" i="80"/>
  <c r="M67" i="80"/>
  <c r="L65" i="80"/>
  <c r="M65" i="80"/>
  <c r="L68" i="80"/>
  <c r="M68" i="80"/>
  <c r="L66" i="80"/>
  <c r="M66" i="80"/>
  <c r="L64" i="80"/>
  <c r="M64" i="80"/>
  <c r="C79" i="80"/>
  <c r="C97" i="80"/>
  <c r="D58" i="80"/>
  <c r="D56" i="80"/>
  <c r="M54" i="80"/>
  <c r="N57" i="80"/>
  <c r="N59" i="80"/>
  <c r="N60" i="80"/>
  <c r="C80" i="80"/>
  <c r="E80" i="80"/>
  <c r="E81" i="80"/>
  <c r="M69" i="80"/>
  <c r="N69" i="80"/>
  <c r="N61" i="80"/>
  <c r="P57" i="80"/>
  <c r="N58" i="80"/>
  <c r="C81" i="80"/>
  <c r="R28" i="31"/>
  <c r="S28" i="31"/>
  <c r="R36" i="31"/>
  <c r="S36" i="31"/>
  <c r="R44" i="31"/>
  <c r="S44" i="31"/>
  <c r="R52" i="31"/>
  <c r="S52" i="31"/>
  <c r="R25" i="31"/>
  <c r="S25" i="31"/>
  <c r="R33" i="31"/>
  <c r="S33" i="31"/>
  <c r="R41" i="31"/>
  <c r="S41" i="31"/>
  <c r="R49" i="31"/>
  <c r="S49" i="31"/>
  <c r="R57" i="31"/>
  <c r="S57" i="31"/>
  <c r="R30" i="31"/>
  <c r="S30" i="31"/>
  <c r="R38" i="31"/>
  <c r="S38" i="31"/>
  <c r="R46" i="31"/>
  <c r="S46" i="31"/>
  <c r="R54" i="31"/>
  <c r="S54" i="31"/>
  <c r="R27" i="31"/>
  <c r="S27" i="31"/>
  <c r="R35" i="31"/>
  <c r="S35" i="31"/>
  <c r="R43" i="31"/>
  <c r="S43" i="31"/>
  <c r="R51" i="31"/>
  <c r="S51" i="31"/>
  <c r="R59" i="31"/>
  <c r="S59" i="31"/>
  <c r="R32" i="31"/>
  <c r="S32" i="31"/>
  <c r="R40" i="31"/>
  <c r="S40" i="31"/>
  <c r="R48" i="31"/>
  <c r="S48" i="31"/>
  <c r="R56" i="31"/>
  <c r="S56" i="31"/>
  <c r="R29" i="31"/>
  <c r="S29" i="31"/>
  <c r="R37" i="31"/>
  <c r="S37" i="31"/>
  <c r="R45" i="31"/>
  <c r="S45" i="31"/>
  <c r="R53" i="31"/>
  <c r="S53" i="31"/>
  <c r="R26" i="31"/>
  <c r="S26" i="31"/>
  <c r="R34" i="31"/>
  <c r="S34" i="31"/>
  <c r="R42" i="31"/>
  <c r="S42" i="31"/>
  <c r="R50" i="31"/>
  <c r="S50" i="31"/>
  <c r="R58" i="31"/>
  <c r="S58" i="31"/>
  <c r="R31" i="31"/>
  <c r="S31" i="31"/>
  <c r="R39" i="31"/>
  <c r="S39" i="31"/>
  <c r="R47" i="31"/>
  <c r="S47" i="31"/>
  <c r="R55" i="31"/>
  <c r="S55" i="31"/>
  <c r="S24" i="31"/>
  <c r="S22" i="31"/>
  <c r="B20" i="31"/>
  <c r="D19" i="9"/>
  <c r="C19" i="9"/>
  <c r="D102" i="9"/>
  <c r="D21" i="9"/>
  <c r="D22" i="9"/>
  <c r="C102" i="9"/>
  <c r="C21" i="9"/>
  <c r="G19" i="9"/>
  <c r="R22" i="31"/>
  <c r="B21" i="31"/>
  <c r="D20" i="9"/>
  <c r="C20" i="9"/>
  <c r="D103" i="9"/>
  <c r="C103" i="9"/>
  <c r="G20" i="9"/>
  <c r="G21" i="9"/>
  <c r="C32" i="9"/>
  <c r="D35" i="9"/>
  <c r="C35" i="9"/>
  <c r="C34" i="9"/>
  <c r="D34" i="9"/>
  <c r="H118" i="9"/>
  <c r="H101" i="9"/>
  <c r="H107" i="9"/>
  <c r="M49" i="9"/>
  <c r="D45" i="9"/>
  <c r="D55" i="9"/>
  <c r="M53" i="9"/>
  <c r="C85" i="9"/>
  <c r="C93" i="9"/>
  <c r="C86" i="9"/>
  <c r="C95" i="9"/>
  <c r="C96" i="9"/>
  <c r="C97" i="9"/>
  <c r="D58" i="9"/>
  <c r="D56" i="9"/>
  <c r="M54" i="9"/>
  <c r="N57" i="9"/>
  <c r="N59" i="9"/>
  <c r="N61" i="9"/>
  <c r="N60" i="9"/>
  <c r="F118" i="9"/>
  <c r="F119" i="9"/>
  <c r="F5" i="52"/>
  <c r="B53" i="72"/>
  <c r="I118" i="9"/>
  <c r="H102" i="9"/>
  <c r="D7" i="53"/>
  <c r="B21" i="72"/>
  <c r="C78" i="9"/>
  <c r="C73" i="9"/>
  <c r="G118" i="9"/>
  <c r="E118" i="9"/>
  <c r="E4" i="52"/>
  <c r="B48" i="72"/>
  <c r="D5" i="53"/>
  <c r="B20" i="72"/>
  <c r="D122" i="9"/>
  <c r="D8" i="52"/>
  <c r="D118" i="9"/>
  <c r="D119" i="9"/>
  <c r="D5" i="52"/>
  <c r="B49" i="72"/>
  <c r="E96" i="9"/>
  <c r="E97" i="9"/>
  <c r="L65" i="9"/>
  <c r="M65" i="9"/>
  <c r="D13" i="53"/>
  <c r="B30" i="72"/>
  <c r="D14" i="53"/>
  <c r="B32" i="72"/>
  <c r="L67" i="9"/>
  <c r="M67" i="9"/>
  <c r="C72" i="9"/>
  <c r="C79" i="9"/>
  <c r="C80" i="9"/>
  <c r="E80" i="9"/>
  <c r="E81" i="9"/>
  <c r="C81" i="9"/>
  <c r="F4" i="52"/>
  <c r="B51" i="72"/>
  <c r="H108" i="9"/>
  <c r="D15" i="53"/>
  <c r="B31" i="72"/>
  <c r="L63" i="9"/>
  <c r="M63" i="9"/>
  <c r="L64" i="9"/>
  <c r="M64" i="9"/>
  <c r="L66" i="9"/>
  <c r="M66" i="9"/>
  <c r="L68" i="9"/>
  <c r="M68" i="9"/>
  <c r="M69" i="9"/>
  <c r="N69" i="9"/>
  <c r="D123" i="9"/>
  <c r="D9" i="52"/>
  <c r="D6" i="53"/>
  <c r="B22" i="72"/>
  <c r="C64" i="9"/>
  <c r="C63" i="9"/>
  <c r="C67" i="9"/>
  <c r="C68" i="9"/>
  <c r="D54" i="9"/>
  <c r="M48" i="9"/>
  <c r="G4" i="52"/>
  <c r="B52" i="72"/>
  <c r="P57" i="9"/>
  <c r="N58" i="9"/>
  <c r="G14" i="74"/>
  <c r="B6" i="74"/>
  <c r="C6" i="74"/>
  <c r="D6" i="74"/>
  <c r="D14" i="74"/>
  <c r="B5" i="74"/>
  <c r="C5" i="74"/>
  <c r="D5" i="74"/>
  <c r="D53" i="9"/>
  <c r="D52" i="9"/>
  <c r="F14" i="74"/>
  <c r="E14" i="74"/>
  <c r="D4" i="52"/>
  <c r="B47" i="72"/>
  <c r="C104" i="9"/>
  <c r="H4" i="52"/>
  <c r="H119" i="9"/>
  <c r="H5" i="52"/>
  <c r="C105" i="9"/>
  <c r="I4"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<sst xmlns="http://schemas.openxmlformats.org/spreadsheetml/2006/main" count="8923" uniqueCount="3359">
  <si>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</si>
  <si>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</si>
  <si>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</si>
  <si>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</si>
  <si>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</si>
  <si>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</si>
  <si>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</si>
  <si>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</si>
  <si>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</si>
  <si>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</si>
  <si>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</si>
  <si>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</si>
  <si>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</si>
  <si>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</si>
  <si>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</si>
  <si>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</si>
  <si>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</si>
  <si>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</si>
  <si>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</si>
  <si>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</si>
  <si>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</si>
  <si>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</si>
  <si>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</si>
  <si>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</si>
  <si>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</si>
  <si>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</si>
  <si>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</si>
  <si>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</si>
  <si>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</si>
  <si>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</si>
  <si>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</si>
  <si>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</si>
  <si>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</si>
  <si>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</si>
  <si>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</si>
  <si>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</si>
  <si>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</si>
  <si>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</si>
  <si>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</si>
  <si>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</si>
  <si>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</si>
  <si>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</si>
  <si>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</si>
  <si>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</si>
  <si>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</si>
  <si>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</si>
  <si>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</si>
  <si>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</si>
  <si>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</si>
  <si>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</si>
  <si>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</si>
  <si>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</si>
  <si>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</si>
  <si>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</si>
  <si>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</si>
  <si>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</si>
  <si>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</si>
  <si>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</si>
  <si>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</si>
  <si>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</si>
  <si>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</si>
  <si>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</si>
  <si>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</si>
  <si>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</si>
  <si>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</si>
  <si>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</si>
  <si>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</si>
  <si>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</si>
  <si>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</si>
  <si>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</si>
  <si>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</si>
  <si>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</si>
  <si>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</si>
  <si>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</si>
  <si>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</si>
  <si>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</si>
  <si>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</si>
  <si>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</si>
  <si>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</si>
  <si>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</si>
  <si>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</si>
  <si>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</si>
  <si>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</si>
  <si>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</si>
  <si>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</si>
  <si>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</si>
  <si>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</si>
  <si>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</si>
  <si>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</si>
  <si>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</si>
  <si>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</si>
  <si>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</si>
  <si>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</si>
  <si>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</si>
  <si>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</si>
  <si>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</si>
  <si>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</si>
  <si>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</si>
  <si>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</si>
  <si>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</si>
  <si>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</si>
  <si>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</si>
  <si>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</si>
  <si>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</si>
  <si>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</si>
  <si>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</si>
  <si>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</si>
  <si>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</si>
  <si>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</si>
  <si>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</si>
  <si>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</si>
  <si>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</si>
  <si>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</si>
  <si>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</si>
  <si>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</si>
  <si>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</si>
  <si>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</si>
  <si>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</si>
  <si>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</si>
  <si>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</si>
  <si>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</si>
  <si>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</si>
  <si>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</si>
  <si>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</si>
  <si>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</si>
  <si>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</si>
  <si>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</si>
  <si>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</si>
  <si>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</si>
  <si>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</si>
  <si>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</si>
  <si>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</si>
  <si>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</si>
  <si>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</si>
  <si>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</si>
  <si>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</si>
  <si>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</si>
  <si>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</si>
  <si>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</si>
  <si>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</si>
  <si>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</si>
  <si>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</si>
  <si>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</si>
  <si>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</si>
  <si>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</si>
  <si>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</si>
  <si>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</si>
  <si>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</si>
  <si>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</si>
  <si>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</si>
  <si>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</si>
  <si>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</si>
  <si>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</si>
  <si>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</si>
  <si>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</si>
  <si>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</si>
  <si>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</si>
  <si>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</si>
  <si>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</si>
  <si>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</si>
  <si>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</si>
  <si>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</si>
  <si>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</si>
  <si>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</si>
  <si>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</si>
  <si>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</si>
  <si>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</si>
  <si>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</si>
  <si>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</si>
  <si>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</si>
  <si>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</si>
  <si>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</si>
  <si>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</si>
  <si>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</si>
  <si>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</si>
  <si>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</si>
  <si>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</si>
  <si>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</si>
  <si>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</si>
  <si>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</si>
  <si>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</si>
  <si>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</si>
  <si>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</si>
  <si>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</si>
  <si>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</si>
  <si>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</si>
  <si>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</si>
  <si>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</si>
  <si>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</si>
  <si>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</si>
  <si>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</si>
  <si>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</si>
  <si>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</si>
  <si>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</si>
  <si>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</si>
  <si>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</si>
  <si>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</si>
  <si>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</si>
  <si>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</si>
  <si>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</si>
  <si>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</si>
  <si>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</si>
  <si>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</si>
  <si>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</si>
  <si>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</si>
  <si>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</si>
  <si>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</si>
  <si>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</si>
  <si>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</si>
  <si>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</si>
  <si>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</si>
  <si>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</si>
  <si>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</si>
  <si>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</si>
  <si>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</si>
  <si>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</si>
  <si>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</si>
  <si>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</si>
  <si>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</si>
  <si>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</si>
  <si>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</si>
  <si>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</si>
  <si>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</si>
  <si>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</si>
  <si>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</si>
  <si>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</si>
  <si>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</si>
  <si>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</si>
  <si>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</si>
  <si>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</si>
  <si>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</si>
  <si>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</si>
  <si>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</si>
  <si>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</si>
  <si>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</si>
  <si>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</si>
  <si>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</si>
  <si>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</si>
  <si>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</si>
  <si>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</si>
  <si>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</si>
  <si>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</si>
  <si>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</si>
  <si>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</si>
  <si>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</si>
  <si>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</si>
  <si>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</si>
  <si>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</si>
  <si>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</si>
  <si>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</si>
  <si>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</si>
  <si>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</si>
  <si>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</si>
  <si>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</si>
  <si>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</si>
  <si>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</si>
  <si>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</si>
  <si>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</si>
  <si>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</si>
  <si>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</si>
  <si>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</si>
  <si>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</si>
  <si>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</si>
  <si>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</si>
  <si>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</si>
  <si>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</si>
  <si>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</si>
  <si>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</si>
  <si>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</si>
  <si>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</si>
  <si>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</si>
  <si>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</si>
  <si>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</si>
  <si>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</si>
  <si>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</si>
  <si>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</si>
  <si>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</si>
  <si>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</si>
  <si>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</si>
  <si>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</si>
  <si>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</si>
  <si>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</si>
  <si>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</si>
  <si>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</si>
  <si>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</si>
  <si>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</si>
  <si>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</si>
  <si>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</si>
  <si>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</si>
  <si>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</si>
  <si>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</si>
  <si>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</si>
  <si>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</si>
  <si>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</si>
  <si>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</si>
  <si>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</si>
  <si>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</si>
  <si>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</si>
  <si>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</si>
  <si>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</si>
  <si>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</si>
  <si>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</si>
  <si>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</si>
  <si>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</si>
  <si>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</si>
  <si>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</si>
  <si>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</si>
  <si>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</si>
  <si>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</si>
  <si>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</si>
  <si>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</si>
  <si>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</si>
  <si>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</si>
  <si>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</si>
  <si>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</si>
  <si>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</si>
  <si>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</si>
  <si>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</si>
  <si>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</si>
  <si>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</si>
  <si>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</si>
  <si>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</si>
  <si>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</si>
  <si>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</si>
  <si>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</si>
  <si>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</si>
  <si>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</si>
  <si>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</si>
  <si>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</si>
  <si>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</si>
  <si>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</si>
  <si>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</si>
  <si>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</si>
  <si>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</si>
  <si>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</si>
  <si>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</si>
  <si>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</si>
  <si>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</si>
  <si>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</si>
  <si>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</si>
  <si>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</si>
  <si>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</si>
  <si>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</si>
  <si>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</si>
  <si>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</si>
  <si>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</si>
  <si>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</si>
  <si>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</si>
  <si>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</si>
  <si>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</si>
  <si>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</si>
  <si>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</si>
  <si>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</si>
  <si>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</si>
  <si>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</si>
  <si>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</si>
  <si>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</si>
  <si>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</si>
  <si>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</si>
  <si>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</si>
  <si>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</si>
  <si>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</si>
  <si>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</si>
  <si>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</si>
  <si>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</si>
  <si>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</si>
  <si>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</si>
  <si>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</si>
  <si>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</si>
  <si>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</si>
  <si>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</si>
  <si>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</si>
  <si>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</si>
  <si>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</si>
  <si>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</si>
  <si>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</si>
  <si>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</si>
  <si>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</si>
  <si>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</si>
  <si>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</si>
  <si>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</si>
  <si>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</si>
  <si>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</si>
  <si>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</si>
  <si>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</si>
  <si>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</si>
  <si>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</si>
  <si>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</si>
  <si>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</si>
  <si>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</si>
  <si>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</si>
  <si>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</si>
  <si>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</si>
  <si>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</si>
  <si>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</si>
  <si>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</si>
  <si>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</si>
  <si>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</si>
  <si>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</si>
  <si>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</si>
  <si>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</si>
  <si>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</si>
  <si>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</si>
  <si>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</si>
  <si>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</si>
  <si>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</si>
  <si>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</si>
  <si>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</si>
  <si>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</si>
  <si>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</si>
  <si>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</si>
  <si>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</si>
  <si>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</si>
  <si>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</si>
  <si>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</si>
  <si>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</si>
  <si>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</si>
  <si>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</si>
  <si>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</si>
  <si>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</si>
  <si>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</si>
  <si>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</si>
  <si>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</si>
  <si>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</si>
  <si>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</si>
  <si>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</si>
  <si>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</si>
  <si>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</si>
  <si>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</si>
  <si>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</si>
  <si>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</si>
  <si>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</si>
  <si>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</si>
  <si>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</si>
  <si>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</si>
  <si>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</si>
  <si>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</si>
  <si>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</si>
  <si>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</si>
  <si>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</si>
  <si>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</si>
  <si>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</si>
  <si>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</si>
  <si>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</si>
  <si>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</si>
  <si>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</si>
  <si>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</si>
  <si>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</si>
  <si>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</si>
  <si>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</si>
  <si>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</si>
  <si>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</si>
  <si>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</si>
  <si>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</si>
  <si>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</si>
  <si>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</si>
  <si>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</si>
  <si>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</si>
  <si>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</si>
  <si>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</si>
  <si>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</si>
  <si>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</si>
  <si>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</si>
  <si>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</si>
  <si>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</si>
  <si>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</si>
  <si>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</si>
  <si>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</si>
  <si>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</si>
  <si>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</si>
  <si>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</si>
  <si>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</si>
  <si>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</si>
  <si>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</si>
  <si>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</si>
  <si>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</si>
  <si>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</si>
  <si>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</si>
  <si>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</si>
  <si>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</si>
  <si>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</si>
  <si>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</si>
  <si>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</si>
  <si>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</si>
  <si>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</si>
  <si>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</si>
  <si>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</si>
  <si>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</si>
  <si>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</si>
  <si>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</si>
  <si>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</si>
  <si>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</si>
  <si>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</si>
  <si>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</si>
  <si>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</si>
  <si>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</si>
  <si>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</si>
  <si>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</si>
  <si>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</si>
  <si>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</si>
  <si>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</si>
  <si>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</si>
  <si>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</si>
  <si>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</si>
  <si>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</si>
  <si>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</si>
  <si>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</si>
  <si>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</si>
  <si>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</si>
  <si>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</si>
  <si>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</si>
  <si>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</si>
  <si>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</si>
  <si>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</si>
  <si>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</si>
  <si>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</si>
  <si>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</si>
  <si>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</si>
  <si>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</si>
  <si>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</si>
  <si>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</si>
  <si>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</si>
  <si>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</si>
  <si>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</si>
  <si>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</si>
  <si>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</si>
  <si>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</si>
  <si>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</si>
  <si>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</si>
  <si>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</si>
  <si>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</si>
  <si>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</si>
  <si>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</si>
  <si>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</si>
  <si>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</si>
  <si>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</si>
  <si>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</si>
  <si>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</si>
  <si>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</si>
  <si>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</si>
  <si>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</si>
  <si>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</si>
  <si>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</si>
  <si>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</si>
  <si>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</si>
  <si>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</si>
  <si>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</si>
  <si>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</si>
  <si>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</si>
  <si>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</si>
  <si>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</si>
  <si>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</si>
  <si>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</si>
  <si>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</si>
  <si>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</si>
  <si>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</si>
  <si>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</si>
  <si>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</si>
  <si>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</si>
  <si>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</si>
  <si>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</si>
  <si>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</si>
  <si>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</si>
  <si>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</si>
  <si>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</si>
  <si>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</si>
  <si>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</si>
  <si>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</si>
  <si>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</si>
  <si>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</si>
  <si>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</si>
  <si>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</si>
  <si>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</si>
  <si>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</si>
  <si>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</si>
  <si>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</si>
  <si>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</si>
  <si>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</si>
  <si>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</si>
  <si>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</si>
  <si>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</si>
  <si>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</si>
  <si>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</si>
  <si>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</si>
  <si>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</si>
  <si>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</si>
  <si>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</si>
  <si>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</si>
  <si>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</si>
  <si>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</si>
  <si>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</si>
  <si>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</si>
  <si>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</si>
  <si>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</si>
  <si>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</si>
  <si>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</si>
  <si>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</si>
  <si>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</si>
  <si>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</si>
  <si>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</si>
  <si>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</si>
  <si>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</si>
  <si>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</si>
  <si>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</si>
  <si>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</si>
  <si>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</si>
  <si>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</si>
  <si>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</si>
  <si>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</si>
  <si>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</si>
  <si>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</si>
  <si>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</si>
  <si>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</si>
  <si>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</si>
  <si>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</si>
  <si>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</si>
  <si>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</si>
  <si>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</si>
  <si>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</si>
  <si>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</si>
  <si>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</si>
  <si>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</si>
  <si>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</si>
  <si>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</si>
  <si>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</si>
  <si>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</si>
  <si>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</si>
  <si>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</si>
  <si>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</si>
  <si>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</si>
  <si>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</si>
  <si>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</si>
  <si>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</si>
  <si>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</si>
  <si>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</si>
  <si>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</si>
  <si>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</si>
  <si>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</si>
  <si>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</si>
  <si>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</si>
  <si>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</si>
  <si>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</si>
  <si>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</si>
  <si>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</si>
  <si>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</si>
  <si>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</si>
  <si>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</si>
  <si>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</si>
  <si>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</si>
  <si>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</si>
  <si>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</si>
  <si>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</si>
  <si>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</si>
  <si>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</si>
  <si>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</si>
  <si>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</si>
  <si>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</si>
  <si>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</si>
  <si>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</si>
  <si>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</si>
  <si>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</si>
  <si>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</si>
  <si>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</si>
  <si>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</si>
  <si>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</si>
  <si>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</si>
  <si>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</si>
  <si>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</si>
  <si>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</si>
  <si>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</si>
  <si>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</si>
  <si>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</si>
  <si>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</si>
  <si>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</si>
  <si>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</si>
  <si>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</si>
  <si>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</si>
  <si>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</si>
  <si>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</si>
  <si>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</si>
  <si>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</si>
  <si>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</si>
  <si>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</si>
  <si>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</si>
  <si>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</si>
  <si>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</si>
  <si>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</si>
  <si>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</si>
  <si>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</si>
  <si>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</si>
  <si>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</si>
  <si>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</si>
  <si>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</si>
  <si>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</si>
  <si>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</si>
  <si>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</si>
  <si>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</si>
  <si>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</si>
  <si>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</si>
  <si>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</si>
  <si>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</si>
  <si>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</si>
  <si>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</si>
  <si>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</si>
  <si>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</si>
  <si>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</si>
  <si>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</si>
  <si>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</si>
  <si>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</si>
  <si>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</si>
  <si>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</si>
  <si>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</si>
  <si>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</si>
  <si>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</si>
  <si>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</si>
  <si>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</si>
  <si>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</si>
  <si>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</si>
  <si>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</si>
  <si>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</si>
  <si>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</si>
  <si>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</si>
  <si>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</si>
  <si>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</si>
  <si>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</si>
  <si>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</si>
  <si>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</si>
  <si>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</si>
  <si>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</si>
  <si>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</si>
  <si>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</si>
  <si>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</si>
  <si>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</si>
  <si>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</si>
  <si>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</si>
  <si>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</si>
  <si>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</si>
  <si>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</si>
  <si>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</si>
  <si>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</si>
  <si>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</si>
  <si>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</si>
  <si>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</si>
  <si>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</si>
  <si>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</si>
  <si>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</si>
  <si>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</si>
  <si>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</si>
  <si>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</si>
  <si>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</si>
  <si>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</si>
  <si>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</si>
  <si>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</si>
  <si>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</si>
  <si>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</si>
  <si>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</si>
  <si>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</si>
  <si>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</si>
  <si>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</si>
  <si>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</si>
  <si>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</si>
  <si>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</si>
  <si>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</si>
  <si>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</si>
  <si>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</si>
  <si>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</si>
  <si>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</si>
  <si>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</si>
  <si>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</si>
  <si>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</si>
  <si>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</si>
  <si>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</si>
  <si>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</si>
  <si>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</si>
  <si>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</si>
  <si>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</si>
  <si>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</si>
  <si>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</si>
  <si>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</si>
  <si>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</si>
  <si>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</si>
  <si>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</si>
  <si>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</si>
  <si>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</si>
  <si>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</si>
  <si>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</si>
  <si>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</si>
  <si>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</si>
  <si>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</si>
  <si>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</si>
  <si>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</si>
  <si>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</si>
  <si>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</si>
  <si>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</si>
  <si>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</si>
  <si>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</si>
  <si>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</si>
  <si>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</si>
  <si>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</si>
  <si>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</si>
  <si>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</si>
  <si>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</si>
  <si>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</si>
  <si>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</si>
  <si>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</si>
  <si>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</si>
  <si>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</si>
  <si>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</si>
  <si>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</si>
  <si>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</si>
  <si>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</si>
  <si>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</si>
  <si>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</si>
  <si>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</si>
  <si>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</si>
  <si>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</si>
  <si>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</si>
  <si>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</si>
  <si>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</si>
  <si>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</si>
  <si>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</si>
  <si>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</si>
  <si>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</si>
  <si>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</si>
  <si>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</si>
  <si>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</si>
  <si>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</si>
  <si>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</si>
  <si>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</si>
  <si>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</si>
  <si>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</si>
  <si>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</si>
  <si>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</si>
  <si>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</si>
  <si>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</si>
  <si>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</si>
  <si>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</si>
  <si>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</si>
  <si>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</si>
  <si>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</si>
  <si>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</si>
  <si>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</si>
  <si>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</si>
  <si>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</si>
  <si>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</si>
  <si>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</si>
  <si>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</si>
  <si>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</si>
  <si>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</si>
  <si>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</si>
  <si>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</si>
  <si>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</si>
  <si>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</si>
  <si>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</si>
  <si>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</si>
  <si>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</si>
  <si>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</si>
  <si>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</si>
  <si>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</si>
  <si>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</si>
  <si>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</si>
  <si>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</si>
  <si>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</si>
  <si>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</si>
  <si>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</si>
  <si>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</si>
  <si>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</si>
  <si>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</si>
  <si>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</si>
  <si>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</si>
  <si>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</si>
  <si>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</si>
  <si>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</si>
  <si>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</si>
  <si>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</si>
  <si>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</si>
  <si>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</si>
  <si>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</si>
  <si>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</si>
  <si>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</si>
  <si>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</si>
  <si>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</si>
  <si>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</si>
  <si>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</si>
  <si>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</si>
  <si>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</si>
  <si>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</si>
  <si>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</si>
  <si>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</si>
  <si>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</si>
  <si>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</si>
  <si>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</si>
  <si>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</si>
  <si>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</si>
  <si>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</si>
  <si>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</si>
  <si>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</si>
  <si>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</si>
  <si>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</si>
  <si>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</si>
  <si>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</si>
  <si>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</si>
  <si>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</si>
  <si>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</si>
  <si>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</si>
  <si>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</si>
  <si>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</si>
  <si>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</si>
  <si>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</si>
  <si>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</si>
  <si>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</si>
  <si>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</si>
  <si>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</si>
  <si>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</si>
  <si>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</si>
  <si>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</si>
  <si>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</si>
  <si>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</si>
  <si>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</si>
  <si>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</si>
  <si>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</si>
  <si>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</si>
  <si>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</si>
  <si>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</si>
  <si>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</si>
  <si>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</si>
  <si>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</si>
  <si>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</si>
  <si>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</si>
  <si>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</si>
  <si>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</si>
  <si>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</si>
  <si>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</si>
  <si>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</si>
  <si>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</si>
  <si>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</si>
  <si>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</si>
  <si>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</si>
  <si>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</si>
  <si>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</si>
  <si>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</si>
  <si>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</si>
  <si>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</si>
  <si>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</si>
  <si>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</si>
  <si>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</si>
  <si>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</si>
  <si>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</si>
  <si>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</si>
  <si>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</si>
  <si>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</si>
  <si>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</si>
  <si>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</si>
  <si>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</si>
  <si>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</si>
  <si>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</si>
  <si>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</si>
  <si>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</si>
  <si>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</si>
  <si>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</si>
  <si>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</si>
  <si>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</si>
  <si>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</si>
  <si>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</si>
  <si>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</si>
  <si>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</si>
  <si>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</si>
  <si>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</si>
  <si>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</si>
  <si>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</si>
  <si>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</si>
  <si>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</si>
  <si>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</si>
  <si>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</si>
  <si>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</si>
  <si>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</si>
  <si>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</si>
  <si>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</si>
  <si>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</si>
  <si>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</si>
  <si>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</si>
  <si>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</si>
  <si>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</si>
  <si>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</si>
  <si>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</si>
  <si>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</si>
  <si>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</si>
  <si>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</si>
  <si>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</si>
  <si>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</si>
  <si>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</si>
  <si>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</si>
  <si>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</si>
  <si>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</si>
  <si>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</si>
  <si>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</si>
  <si>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</si>
  <si>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</si>
  <si>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</si>
  <si>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</si>
  <si>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</si>
  <si>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</si>
  <si>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</si>
  <si>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</si>
  <si>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</si>
  <si>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</si>
  <si>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</si>
  <si>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</si>
  <si>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</si>
  <si>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</si>
  <si>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</si>
  <si>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</si>
  <si>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</si>
  <si>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</si>
  <si>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</si>
  <si>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</si>
  <si>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</si>
  <si>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</si>
  <si>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</si>
  <si>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</si>
  <si>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</si>
  <si>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</si>
  <si>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</si>
  <si>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</si>
  <si>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</si>
  <si>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</si>
  <si>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</si>
  <si>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</si>
  <si>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</si>
  <si>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</si>
  <si>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</si>
  <si>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</si>
  <si>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</si>
  <si>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</si>
  <si>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</si>
  <si>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</si>
  <si>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</si>
  <si>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</si>
  <si>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</si>
  <si>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</si>
  <si>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</si>
  <si>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</si>
  <si>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</si>
  <si>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</si>
  <si>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</si>
  <si>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</si>
  <si>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</si>
  <si>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</si>
  <si>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</si>
  <si>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</si>
  <si>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</si>
  <si>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</si>
  <si>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</si>
  <si>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</si>
  <si>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</si>
  <si>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</si>
  <si>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</si>
  <si>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</si>
  <si>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</si>
  <si>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</si>
  <si>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</si>
  <si>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</si>
  <si>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</si>
  <si>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</si>
  <si>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</si>
  <si>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</si>
  <si>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</si>
  <si>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</si>
  <si>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</si>
  <si>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</si>
  <si>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</si>
  <si>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</si>
  <si>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</si>
  <si>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</si>
  <si>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</si>
  <si>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</si>
  <si>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</si>
  <si>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</si>
  <si>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</si>
  <si>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</si>
  <si>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</si>
  <si>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</si>
  <si>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</si>
  <si>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</si>
  <si>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</si>
  <si>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</si>
  <si>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</si>
  <si>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</si>
  <si>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</si>
  <si>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</si>
  <si>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</si>
  <si>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</si>
  <si>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</si>
  <si>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</si>
  <si>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</si>
  <si>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</si>
  <si>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</si>
  <si>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</si>
  <si>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</si>
  <si>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</si>
  <si>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</si>
  <si>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</si>
  <si>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</si>
  <si>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</si>
  <si>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</si>
  <si>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</si>
  <si>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</si>
  <si>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</si>
  <si>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</si>
  <si>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</si>
  <si>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</si>
  <si>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</si>
  <si>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</si>
  <si>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</si>
  <si>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</si>
  <si>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</si>
  <si>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</si>
  <si>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</si>
  <si>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</si>
  <si>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</si>
  <si>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</si>
  <si>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</si>
  <si>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</si>
  <si>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</si>
  <si>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</si>
  <si>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</si>
  <si>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</si>
  <si>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</si>
  <si>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</si>
  <si>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</si>
  <si>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</si>
  <si>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</si>
  <si>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</si>
  <si>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</si>
  <si>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</si>
  <si>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</si>
  <si>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</si>
  <si>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</si>
  <si>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</si>
  <si>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</si>
  <si>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</si>
  <si>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</si>
  <si>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</si>
  <si>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</si>
  <si>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</si>
  <si>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</si>
  <si>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</si>
  <si>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</si>
  <si>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</si>
  <si>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</si>
  <si>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</si>
  <si>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</si>
  <si>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</si>
  <si>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</si>
  <si>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</si>
  <si>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</si>
  <si>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</si>
  <si>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</si>
  <si>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</si>
  <si>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</si>
  <si>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</si>
  <si>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</si>
  <si>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</si>
  <si>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</si>
  <si>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</si>
  <si>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</si>
  <si>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</si>
  <si>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</si>
  <si>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</si>
  <si>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</si>
  <si>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</si>
  <si>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</si>
  <si>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</si>
  <si>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</si>
  <si>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</si>
  <si>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</si>
  <si>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</si>
  <si>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</si>
  <si>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</si>
  <si>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</si>
  <si>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</si>
  <si>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</si>
  <si>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</si>
  <si>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</si>
  <si>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</si>
  <si>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</si>
  <si>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</si>
  <si>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</si>
  <si>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</si>
  <si>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</si>
  <si>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</si>
  <si>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</si>
  <si>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</si>
  <si>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</si>
  <si>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</si>
  <si>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</si>
  <si>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</si>
  <si>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</si>
  <si>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</si>
  <si>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</si>
  <si>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</si>
  <si>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</si>
  <si>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</si>
  <si>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</si>
  <si>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</si>
  <si>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</si>
  <si>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</si>
  <si>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</si>
  <si>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</si>
  <si>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</si>
  <si>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</si>
  <si>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</si>
  <si>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</si>
  <si>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</si>
  <si>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</si>
  <si>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</si>
  <si>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</si>
  <si>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</si>
  <si>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</si>
  <si>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</si>
  <si>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</si>
  <si>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</si>
  <si>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</si>
  <si>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</si>
  <si>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</si>
  <si>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</si>
  <si>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</si>
  <si>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</si>
  <si>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</si>
  <si>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</si>
  <si>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</si>
  <si>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</si>
  <si>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</si>
  <si>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</si>
  <si>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</si>
  <si>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</si>
  <si>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</si>
  <si>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</si>
  <si>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</si>
  <si>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</si>
  <si>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</si>
  <si>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</si>
  <si>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</si>
  <si>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</si>
  <si>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</si>
  <si>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</si>
  <si>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</si>
  <si>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</si>
  <si>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</si>
  <si>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</si>
  <si>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</si>
  <si>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</si>
  <si>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</si>
  <si>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</si>
  <si>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</si>
  <si>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</si>
  <si>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</si>
  <si>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</si>
  <si>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</si>
  <si>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</si>
  <si>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</si>
  <si>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</si>
  <si>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</si>
  <si>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</si>
  <si>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</si>
  <si>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</si>
  <si>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</si>
  <si>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</si>
  <si>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</si>
  <si>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</si>
  <si>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</si>
  <si>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</si>
  <si>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</si>
  <si>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</si>
  <si>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</si>
  <si>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</si>
  <si>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</si>
  <si>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</si>
  <si>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</si>
  <si>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</si>
  <si>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</si>
  <si>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</si>
  <si>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</si>
  <si>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</si>
  <si>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</si>
  <si>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</si>
  <si>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</si>
  <si>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</si>
  <si>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</si>
  <si>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</si>
  <si>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</si>
  <si>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</si>
  <si>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</si>
  <si>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</si>
  <si>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</si>
  <si>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</si>
  <si>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</si>
  <si>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</si>
  <si>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</si>
  <si>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</si>
  <si>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</si>
  <si>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</si>
  <si>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</si>
  <si>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</si>
  <si>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</si>
  <si>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</si>
  <si>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</si>
  <si>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</si>
  <si>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</si>
  <si>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</si>
  <si>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</si>
  <si>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</si>
  <si>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</si>
  <si>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</si>
  <si>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</si>
  <si>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</si>
  <si>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</si>
  <si>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</si>
  <si>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</si>
  <si>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</si>
  <si>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</si>
  <si>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</si>
  <si>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</si>
  <si>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</si>
  <si>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</si>
  <si>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</si>
  <si>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</si>
  <si>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</si>
  <si>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</si>
  <si>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</si>
  <si>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</si>
  <si>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</si>
  <si>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</si>
  <si>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</si>
  <si>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</si>
  <si>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</si>
  <si>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</si>
  <si>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</si>
  <si>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</si>
  <si>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</si>
  <si>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</si>
  <si>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</si>
  <si>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</si>
  <si>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</si>
  <si>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</si>
  <si>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</si>
  <si>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</si>
  <si>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</si>
  <si>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</si>
  <si>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</si>
  <si>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</si>
  <si>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</si>
  <si>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</si>
  <si>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</si>
  <si>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</si>
  <si>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</si>
  <si>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</si>
  <si>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</si>
  <si>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</si>
  <si>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</si>
  <si>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</si>
  <si>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</si>
  <si>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</si>
  <si>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</si>
  <si>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</si>
  <si>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</si>
  <si>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</si>
  <si>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</si>
  <si>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</si>
  <si>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</si>
  <si>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</si>
  <si>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</si>
  <si>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</si>
  <si>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</si>
  <si>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</si>
  <si>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</si>
  <si>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</si>
  <si>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</si>
  <si>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</si>
  <si>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</si>
  <si>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</si>
  <si>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</si>
  <si>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</si>
  <si>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</si>
  <si>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</si>
  <si>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</si>
  <si>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</si>
  <si>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</si>
  <si>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</si>
  <si>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</si>
  <si>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</si>
  <si>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</si>
  <si>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</si>
  <si>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</si>
  <si>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</si>
  <si>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</si>
  <si>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</si>
  <si>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</si>
  <si>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</si>
  <si>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</si>
  <si>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</si>
  <si>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</si>
  <si>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</si>
  <si>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</si>
  <si>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</si>
  <si>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</si>
  <si>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</si>
  <si>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</si>
  <si>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</si>
  <si>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</si>
  <si>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</si>
  <si>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</si>
  <si>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</si>
  <si>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</si>
  <si>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</si>
  <si>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</si>
  <si>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</si>
  <si>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</si>
  <si>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</si>
  <si>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</si>
  <si>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</si>
  <si>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</si>
  <si>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</si>
  <si>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</si>
  <si>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</si>
  <si>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</si>
  <si>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</si>
  <si>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</si>
  <si>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</si>
  <si>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</si>
  <si>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</si>
  <si>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</si>
  <si>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</si>
  <si>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</si>
  <si>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</si>
  <si>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</si>
  <si>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</si>
  <si>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</si>
  <si>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</si>
  <si>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</si>
  <si>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</si>
  <si>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</si>
  <si>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</si>
  <si>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</si>
  <si>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</si>
  <si>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</si>
  <si>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</si>
  <si>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</si>
  <si>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</si>
  <si>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</si>
  <si>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</si>
  <si>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</si>
  <si>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</si>
  <si>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</si>
  <si>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</si>
  <si>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</si>
  <si>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</si>
  <si>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</si>
  <si>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</si>
  <si>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</si>
  <si>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</si>
  <si>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</si>
  <si>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</si>
  <si>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</si>
  <si>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</si>
  <si>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</si>
  <si>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</si>
  <si>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</si>
  <si>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</si>
  <si>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</si>
  <si>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</si>
  <si>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</si>
  <si>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</si>
  <si>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</si>
  <si>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</si>
  <si>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</si>
  <si>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</si>
  <si>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</si>
  <si>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</si>
  <si>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</si>
  <si>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</si>
  <si>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</si>
  <si>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</si>
  <si>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</si>
  <si>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</si>
  <si>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</si>
  <si>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</si>
  <si>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</si>
  <si>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</si>
  <si>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</si>
  <si>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</si>
  <si>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</si>
  <si>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</si>
  <si>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</si>
  <si>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</si>
  <si>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</si>
  <si>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</si>
  <si>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</si>
  <si>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</si>
  <si>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</si>
  <si>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</si>
  <si>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</si>
  <si>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</si>
  <si>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</si>
  <si>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</si>
  <si>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</si>
  <si>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</si>
  <si>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</si>
  <si>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</si>
  <si>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</si>
  <si>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</si>
  <si>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</si>
  <si>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</si>
  <si>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</si>
  <si>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</si>
  <si>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</si>
  <si>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</si>
  <si>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</si>
  <si>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</si>
  <si>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</si>
  <si>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</si>
  <si>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</si>
  <si>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</si>
  <si>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</si>
  <si>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</si>
  <si>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</si>
  <si>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</si>
  <si>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</si>
  <si>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</si>
  <si>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</si>
  <si>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</si>
  <si>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</si>
  <si>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</si>
  <si>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</si>
  <si>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</si>
  <si>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</si>
  <si>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</si>
  <si>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</si>
  <si>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</si>
  <si>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</si>
  <si>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</si>
  <si>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</si>
  <si>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</si>
  <si>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</si>
  <si>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</si>
  <si>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</si>
  <si>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</si>
  <si>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</si>
  <si>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</si>
  <si>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</si>
  <si>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</si>
  <si>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</si>
  <si>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</si>
  <si>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</si>
  <si>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</si>
  <si>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</si>
  <si>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</si>
  <si>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</si>
  <si>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</si>
  <si>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</si>
  <si>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</si>
  <si>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</si>
  <si>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</si>
  <si>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</si>
  <si>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</si>
  <si>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</si>
  <si>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</si>
  <si>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</si>
  <si>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</si>
  <si>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</si>
  <si>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</si>
  <si>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</si>
  <si>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</si>
  <si>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</si>
  <si>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</si>
  <si>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</si>
  <si>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</si>
  <si>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</si>
  <si>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</si>
  <si>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</si>
  <si>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</si>
  <si>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</si>
  <si>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</si>
  <si>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</si>
  <si>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</si>
  <si>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</si>
  <si>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</si>
  <si>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</si>
  <si>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</si>
  <si>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</si>
  <si>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</si>
  <si>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</si>
  <si>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</si>
  <si>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</si>
  <si>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</si>
  <si>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</si>
  <si>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</si>
  <si>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</si>
  <si>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</si>
  <si>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</si>
  <si>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</si>
  <si>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</si>
  <si>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</si>
  <si>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</si>
  <si>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</si>
  <si>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</si>
  <si>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</si>
  <si>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</si>
  <si>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</si>
  <si>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</si>
  <si>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</si>
  <si>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</si>
  <si>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</si>
  <si>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</si>
  <si>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</si>
  <si>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</si>
  <si>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</si>
  <si>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</si>
  <si>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</si>
  <si>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</si>
  <si>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</si>
  <si>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</si>
  <si>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</si>
  <si>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</si>
  <si>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</si>
  <si>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</si>
  <si>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</si>
  <si>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</si>
  <si>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</si>
  <si>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</si>
  <si>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</si>
  <si>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</si>
  <si>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</si>
  <si>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</si>
  <si>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</si>
  <si>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</si>
  <si>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</si>
  <si>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</si>
  <si>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</si>
  <si>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</si>
  <si>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</si>
  <si>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</si>
  <si>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</si>
  <si>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</si>
  <si>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</si>
  <si>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</si>
  <si>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</si>
  <si>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</si>
  <si>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</si>
  <si>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</si>
  <si>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</si>
  <si>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</si>
  <si>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</si>
  <si>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</si>
  <si>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</si>
  <si>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</si>
  <si>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</si>
  <si>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</si>
  <si>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</si>
  <si>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</si>
  <si>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</si>
  <si>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</si>
  <si>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</si>
  <si>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</si>
  <si>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</si>
  <si>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</si>
  <si>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</si>
  <si>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</si>
  <si>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</si>
  <si>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</si>
  <si>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</si>
  <si>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</si>
  <si>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</si>
  <si>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</si>
  <si>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</si>
  <si>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</si>
  <si>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</si>
  <si>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</si>
  <si>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</si>
  <si>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</si>
  <si>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</si>
  <si>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</si>
  <si>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</si>
  <si>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</si>
  <si>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</si>
  <si>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</si>
  <si>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</si>
  <si>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</si>
  <si>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</si>
  <si>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</si>
  <si>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</si>
  <si>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</si>
  <si>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</si>
  <si>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</si>
  <si>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</si>
  <si>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</si>
  <si>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</si>
  <si>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</si>
  <si>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</si>
  <si>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</si>
  <si>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</si>
  <si>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</si>
  <si>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</si>
  <si>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</si>
  <si>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</si>
  <si>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</si>
  <si>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</si>
  <si>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</si>
  <si>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</si>
  <si>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</si>
  <si>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</si>
  <si>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</si>
  <si>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</si>
  <si>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</si>
  <si>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</si>
  <si>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</si>
  <si>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</si>
  <si>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</si>
  <si>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</si>
  <si>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</si>
  <si>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</si>
  <si>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</si>
  <si>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</si>
  <si>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</si>
  <si>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</si>
  <si>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</si>
  <si>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</si>
  <si>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</si>
  <si>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</si>
  <si>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</si>
  <si>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</si>
  <si>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</si>
  <si>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</si>
  <si>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</si>
  <si>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</si>
  <si>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</si>
  <si>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</si>
  <si>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</si>
  <si>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</si>
  <si>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</si>
  <si>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</si>
  <si>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</si>
  <si>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</si>
  <si>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</si>
  <si>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</si>
  <si>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</si>
  <si>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</si>
  <si>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</si>
  <si>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</si>
  <si>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</si>
  <si>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</si>
  <si>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</si>
  <si>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</si>
  <si>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</si>
  <si>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</si>
  <si>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</si>
  <si>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</si>
  <si>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</si>
  <si>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</si>
  <si>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</si>
  <si>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</si>
  <si>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</si>
  <si>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</si>
  <si>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</si>
  <si>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</si>
  <si>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</si>
  <si>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</si>
  <si>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</si>
  <si>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</si>
  <si>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</si>
  <si>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</si>
  <si>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</si>
  <si>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</si>
  <si>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</si>
  <si>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</si>
  <si>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</si>
  <si>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</si>
  <si>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</si>
  <si>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</si>
  <si>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</si>
  <si>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</si>
  <si>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</si>
  <si>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</si>
  <si>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</si>
  <si>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</si>
  <si>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</si>
  <si>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</si>
  <si>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</si>
  <si>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</si>
  <si>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</si>
  <si>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</si>
  <si>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</si>
  <si>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</si>
  <si>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</si>
  <si>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</si>
  <si>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</si>
  <si>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</si>
  <si>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</si>
  <si>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</si>
  <si>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</si>
  <si>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</si>
  <si>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</si>
  <si>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</si>
  <si>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</si>
  <si>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</si>
  <si>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</si>
  <si>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</si>
  <si>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</si>
  <si>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</si>
  <si>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</si>
  <si>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</si>
  <si>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</si>
  <si>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</si>
  <si>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</si>
  <si>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</si>
  <si>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</si>
  <si>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</si>
  <si>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</si>
  <si>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</si>
  <si>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</si>
  <si>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</si>
  <si>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</si>
  <si>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</si>
  <si>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</si>
  <si>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</si>
  <si>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</si>
  <si>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</si>
  <si>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</si>
  <si>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</si>
  <si>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</si>
  <si>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</si>
  <si>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</si>
  <si>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</si>
  <si>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</si>
  <si>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</si>
  <si>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</si>
  <si>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</si>
  <si>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</si>
  <si>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</si>
  <si>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</si>
  <si>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</si>
  <si>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</si>
  <si>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</si>
  <si>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</si>
  <si>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</si>
  <si>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</si>
  <si>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</si>
  <si>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</si>
  <si>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</si>
  <si>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</si>
  <si>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</si>
  <si>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</si>
  <si>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</si>
  <si>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</si>
  <si>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</si>
  <si>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</si>
  <si>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</si>
  <si>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</si>
  <si>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</si>
  <si>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</si>
  <si>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</si>
  <si>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</si>
  <si>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</si>
  <si>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</si>
  <si>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</si>
  <si>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</si>
  <si>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</si>
  <si>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</si>
  <si>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</si>
  <si>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</si>
  <si>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</si>
  <si>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</si>
  <si>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</si>
  <si>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</si>
  <si>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</si>
  <si>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</si>
  <si>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</si>
  <si>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</si>
  <si>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</si>
  <si>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</si>
  <si>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</si>
  <si>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</si>
  <si>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</si>
  <si>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</si>
  <si>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</si>
  <si>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</si>
  <si>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</si>
  <si>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</si>
  <si>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</si>
  <si>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</si>
  <si>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</si>
  <si>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</si>
  <si>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</si>
  <si>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</si>
  <si>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</si>
  <si>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</si>
  <si>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</si>
  <si>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</si>
  <si>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</si>
  <si>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</si>
  <si>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</si>
  <si>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</si>
  <si>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</si>
  <si>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</si>
  <si>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</si>
  <si>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</si>
  <si>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</si>
  <si>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</si>
  <si>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</si>
  <si>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</si>
  <si>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</si>
  <si>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</si>
  <si>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</si>
  <si>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</si>
  <si>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</si>
  <si>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</si>
  <si>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</si>
  <si>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</si>
  <si>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</si>
  <si>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</si>
  <si>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</si>
  <si>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</si>
  <si>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</si>
  <si>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</si>
  <si>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</si>
  <si>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</si>
  <si>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</si>
  <si>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</si>
  <si>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</si>
  <si>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</si>
  <si>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</si>
  <si>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</si>
  <si>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</si>
  <si>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</si>
  <si>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</si>
  <si>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</si>
  <si>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</si>
  <si>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</si>
  <si>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</si>
  <si>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</si>
  <si>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</si>
  <si>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</si>
  <si>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</si>
  <si>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</si>
  <si>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</si>
  <si>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</si>
  <si>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</si>
  <si>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</si>
  <si>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</si>
  <si>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</si>
  <si>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</si>
  <si>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</si>
  <si>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</si>
  <si>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</si>
  <si>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</si>
  <si>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</si>
  <si>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</si>
  <si>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</si>
  <si>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</si>
  <si>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</si>
  <si>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</si>
  <si>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</si>
  <si>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</si>
  <si>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</si>
  <si>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</si>
  <si>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</si>
  <si>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</si>
  <si>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</si>
  <si>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</si>
  <si>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</si>
  <si>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</si>
  <si>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</si>
  <si>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</si>
  <si>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</si>
  <si>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</si>
  <si>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</si>
  <si>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</si>
  <si>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</si>
  <si>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</si>
  <si>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</si>
  <si>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</si>
  <si>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</si>
  <si>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</si>
  <si>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</si>
  <si>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</si>
  <si>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</si>
  <si>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</si>
  <si>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</si>
  <si>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</si>
  <si>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</si>
  <si>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</si>
  <si>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</si>
  <si>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</si>
  <si>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</si>
  <si>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</si>
  <si>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</si>
  <si>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</si>
  <si>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</si>
  <si>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</si>
  <si>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</si>
  <si>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</si>
  <si>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</si>
  <si>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</si>
  <si>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</si>
  <si>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</si>
  <si>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</si>
  <si>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</si>
  <si>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</si>
  <si>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</si>
  <si>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</si>
  <si>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</si>
  <si>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</si>
  <si>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</si>
  <si>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</si>
  <si>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</si>
  <si>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</si>
  <si>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</si>
  <si>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</si>
  <si>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</si>
  <si>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</si>
  <si>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</si>
  <si>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</si>
  <si>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</si>
  <si>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</si>
  <si>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</si>
  <si>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</si>
  <si>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</si>
  <si>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</si>
  <si>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</si>
  <si>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</si>
  <si>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</si>
  <si>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</si>
  <si>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</si>
  <si>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</si>
  <si>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</si>
  <si>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</si>
  <si>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</si>
  <si>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</si>
  <si>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</si>
  <si>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</si>
  <si>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</si>
  <si>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</si>
  <si>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</si>
  <si>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</si>
  <si>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</si>
  <si>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</si>
  <si>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</si>
  <si>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</si>
  <si>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</si>
  <si>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</si>
  <si>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</si>
  <si>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</si>
  <si>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</si>
  <si>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</si>
  <si>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</si>
  <si>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</si>
  <si>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</si>
  <si>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</si>
  <si>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</si>
  <si>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</si>
  <si>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</si>
  <si>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</si>
  <si>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</si>
  <si>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</si>
  <si>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</si>
  <si>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</si>
  <si>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</si>
  <si>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</si>
  <si>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</si>
  <si>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</si>
  <si>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</si>
  <si>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</si>
  <si>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</si>
  <si>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</si>
  <si>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</si>
  <si>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</si>
  <si>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</si>
  <si>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</si>
  <si>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</si>
  <si>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</si>
  <si>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</si>
  <si>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</si>
  <si>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</si>
  <si>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</si>
  <si>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</si>
  <si>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</si>
  <si>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</si>
  <si>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</si>
  <si>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</si>
  <si>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</si>
  <si>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</si>
  <si>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</si>
  <si>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</si>
  <si>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</si>
  <si>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</si>
  <si>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</si>
  <si>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</si>
  <si>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</si>
  <si>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</si>
  <si>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</si>
  <si>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</si>
  <si>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</si>
  <si>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</si>
  <si>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</si>
  <si>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</si>
  <si>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</si>
  <si>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</si>
  <si>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</si>
  <si>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</si>
  <si>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</si>
  <si>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</si>
  <si>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</si>
  <si>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</si>
  <si>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</si>
  <si>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</si>
  <si>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</si>
  <si>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</si>
  <si>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</si>
  <si>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</si>
  <si>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</si>
  <si>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</si>
  <si>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</si>
  <si>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</si>
  <si>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</si>
  <si>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</si>
  <si>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</si>
  <si>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</si>
  <si>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</si>
  <si>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</si>
  <si>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</si>
  <si>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</si>
  <si>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</si>
  <si>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</si>
  <si>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</si>
  <si>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</si>
  <si>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</si>
  <si>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</si>
  <si>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</si>
  <si>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</si>
  <si>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</si>
  <si>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</si>
  <si>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</si>
  <si>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</si>
  <si>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</si>
  <si>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</si>
  <si>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</si>
  <si>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</si>
  <si>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</si>
  <si>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</si>
  <si>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</si>
  <si>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</si>
  <si>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</si>
  <si>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</si>
  <si>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</si>
  <si>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</si>
  <si>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</si>
  <si>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</si>
  <si>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</si>
  <si>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</si>
  <si>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</si>
  <si>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</si>
  <si>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</si>
  <si>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</si>
  <si>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</si>
  <si>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</si>
  <si>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</si>
  <si>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</si>
  <si>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</si>
  <si>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</si>
  <si>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</si>
  <si>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</si>
  <si>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</si>
  <si>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</si>
  <si>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</si>
  <si>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</si>
  <si>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</si>
  <si>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</si>
  <si>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</si>
  <si>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</si>
  <si>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</si>
  <si>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</si>
  <si>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</si>
  <si>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</si>
  <si>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</si>
  <si>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</si>
  <si>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</si>
  <si>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</si>
  <si>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</si>
  <si>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</si>
  <si>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</si>
  <si>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</si>
  <si>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</si>
  <si>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</si>
  <si>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</si>
  <si>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</si>
  <si>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</si>
  <si>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</si>
  <si>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</si>
  <si>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</si>
  <si>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</si>
  <si>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</si>
  <si>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</si>
  <si>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</si>
  <si>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</si>
  <si>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</si>
  <si>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</si>
  <si>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</si>
  <si>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</si>
  <si>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</si>
  <si>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</si>
  <si>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</si>
  <si>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</si>
  <si>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</si>
  <si>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</si>
  <si>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</si>
  <si>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</si>
  <si>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</si>
  <si>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</si>
  <si>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</si>
  <si>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</si>
  <si>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</si>
  <si>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</si>
  <si>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</si>
  <si>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</si>
  <si>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</si>
  <si>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</si>
  <si>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</si>
  <si>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</si>
  <si>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</si>
  <si>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</si>
  <si>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</si>
  <si>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</si>
  <si>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</si>
  <si>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</si>
  <si>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</si>
  <si>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</si>
  <si>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</si>
  <si>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</si>
  <si>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</si>
  <si>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</si>
  <si>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</si>
  <si>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</si>
  <si>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</si>
  <si>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</si>
  <si>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</si>
  <si>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</si>
  <si>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</si>
  <si>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</si>
  <si>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</si>
  <si>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</si>
  <si>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</si>
  <si>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</si>
  <si>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</si>
  <si>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</si>
  <si>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</si>
  <si>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</si>
  <si>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</si>
  <si>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</si>
  <si>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</si>
  <si>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</si>
  <si>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</si>
  <si>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</si>
  <si>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</si>
  <si>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</si>
  <si>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</si>
  <si>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</si>
  <si>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</si>
  <si>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</si>
  <si>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</si>
  <si>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</si>
  <si>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</si>
  <si>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</si>
  <si>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</si>
  <si>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</si>
  <si>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</si>
  <si>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</si>
  <si>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</si>
  <si>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</si>
  <si>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</si>
  <si>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</si>
  <si>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</si>
  <si>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</si>
  <si>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</si>
  <si>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</si>
  <si>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</si>
  <si>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</si>
  <si>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</si>
  <si>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</si>
  <si>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</si>
  <si>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</si>
  <si>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</si>
  <si>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</si>
  <si>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</si>
  <si>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</si>
  <si>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</si>
  <si>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</si>
  <si>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</si>
  <si>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</si>
  <si>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</si>
  <si>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</si>
  <si>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</si>
  <si>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</si>
  <si>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</si>
  <si>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</si>
  <si>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</si>
  <si>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</si>
  <si>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</si>
  <si>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</si>
  <si>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</si>
  <si>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</si>
  <si>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</si>
  <si>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</si>
  <si>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</si>
  <si>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</si>
  <si>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</si>
  <si>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</si>
  <si>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</si>
  <si>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</si>
  <si>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</si>
  <si>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</si>
  <si>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</si>
  <si>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</si>
  <si>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</si>
  <si>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</si>
  <si>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</si>
  <si>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</si>
  <si>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</si>
  <si>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</si>
  <si>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</si>
  <si>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</si>
  <si>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</si>
  <si>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</si>
  <si>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</si>
  <si>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</si>
  <si>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</si>
  <si>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</si>
  <si>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</si>
  <si>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</si>
  <si>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</si>
  <si>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</si>
  <si>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</si>
  <si>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</si>
  <si>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</si>
  <si>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</si>
  <si>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</si>
  <si>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</si>
  <si>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</si>
  <si>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</si>
  <si>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</si>
  <si>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</si>
  <si>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</si>
  <si>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</si>
  <si>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</si>
  <si>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</si>
  <si>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</si>
  <si>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</si>
  <si>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</si>
  <si>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</si>
  <si>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</si>
  <si>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</si>
  <si>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</si>
  <si>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</si>
  <si>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</si>
  <si>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</si>
  <si>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</si>
  <si>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</si>
  <si>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</si>
  <si>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</si>
  <si>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</si>
  <si>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</si>
  <si>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</si>
  <si>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</si>
  <si>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</si>
  <si>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</si>
  <si>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</si>
  <si>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</si>
  <si>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</si>
  <si>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</si>
  <si>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</si>
  <si>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</si>
  <si>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</si>
  <si>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</si>
  <si>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</si>
  <si>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</si>
  <si>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</si>
  <si>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</si>
  <si>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</si>
  <si>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</si>
  <si>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</si>
  <si>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</si>
  <si>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</si>
  <si>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</si>
  <si>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</si>
  <si>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</si>
  <si>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</si>
  <si>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</si>
  <si>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</si>
  <si>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</si>
  <si>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</si>
  <si>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</si>
  <si>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</si>
  <si>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</si>
  <si>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</si>
  <si>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</si>
  <si>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</si>
  <si>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</si>
  <si>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</si>
  <si>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</si>
  <si>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</si>
  <si>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</si>
  <si>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</si>
  <si>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</si>
  <si>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</si>
  <si>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</si>
  <si>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</si>
  <si>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</si>
  <si>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</si>
  <si>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</si>
  <si>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</si>
  <si>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</si>
  <si>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</si>
  <si>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</si>
  <si>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</si>
  <si>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</si>
  <si>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</si>
  <si>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</si>
  <si>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</si>
  <si>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</si>
  <si>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</si>
  <si>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</si>
  <si>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</si>
  <si>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</si>
  <si>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</si>
  <si>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</si>
  <si>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</si>
  <si>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</si>
  <si>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</si>
  <si>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</si>
  <si>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</si>
  <si>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</si>
  <si>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</si>
  <si>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</si>
  <si>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</si>
  <si>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</si>
  <si>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</si>
  <si>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</si>
  <si>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</si>
  <si>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</si>
  <si>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</si>
  <si>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</si>
  <si>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</si>
  <si>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</si>
  <si>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</si>
  <si>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</si>
  <si>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</si>
  <si>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</si>
  <si>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</si>
  <si>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</si>
  <si>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</si>
  <si>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</si>
  <si>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</si>
  <si>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</si>
  <si>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</si>
  <si>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</si>
  <si>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</si>
  <si>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</si>
  <si>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</si>
  <si>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</si>
  <si>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</si>
  <si>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</si>
  <si>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</si>
  <si>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</si>
  <si>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</si>
  <si>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</si>
  <si>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</si>
  <si>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</si>
  <si>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</si>
  <si>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</si>
  <si>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</si>
  <si>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</si>
  <si>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</si>
  <si>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</si>
  <si>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</si>
  <si>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</si>
  <si>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</si>
  <si>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</si>
  <si>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</si>
  <si>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</si>
  <si>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</si>
  <si>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</si>
  <si>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</si>
  <si>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</si>
  <si>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</si>
  <si>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</si>
  <si>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</si>
  <si>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</si>
  <si>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</si>
  <si>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</si>
  <si>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</si>
  <si>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</si>
  <si>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</si>
  <si>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</si>
  <si>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</si>
  <si>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</si>
  <si>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</si>
  <si>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</si>
  <si>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</si>
  <si>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</si>
  <si>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</si>
  <si>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</si>
  <si>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</si>
  <si>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</si>
  <si>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</si>
  <si>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</si>
  <si>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</si>
  <si>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</si>
  <si>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</si>
  <si>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</si>
  <si>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</si>
  <si>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</si>
  <si>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</si>
  <si>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</si>
  <si>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</si>
  <si>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</si>
  <si>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</si>
  <si>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</si>
  <si>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</si>
  <si>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</si>
  <si>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</si>
  <si>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</si>
  <si>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</si>
  <si>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</si>
  <si>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</si>
  <si>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</si>
  <si>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</si>
  <si>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</si>
  <si>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</si>
  <si>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</si>
  <si>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</si>
  <si>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</si>
  <si>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</si>
  <si>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</si>
  <si>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</si>
  <si>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</si>
  <si>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</si>
  <si>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</si>
  <si>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</si>
  <si>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</si>
  <si>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</si>
  <si>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</si>
  <si>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</si>
  <si>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</si>
  <si>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</si>
  <si>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</si>
  <si>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</si>
  <si>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</si>
  <si>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</si>
  <si>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</si>
  <si>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</si>
  <si>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</si>
  <si>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</si>
  <si>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</si>
  <si>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</si>
  <si>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</si>
  <si>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</si>
  <si>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</si>
  <si>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</si>
  <si>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</si>
  <si>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</si>
  <si>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</si>
  <si>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</si>
  <si>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</si>
  <si>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</si>
  <si>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</si>
  <si>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</si>
  <si>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</si>
  <si>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</si>
  <si>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</si>
  <si>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</si>
  <si>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</si>
  <si>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</si>
  <si>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</si>
  <si>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</si>
  <si>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</si>
  <si>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</si>
  <si>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</si>
  <si>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</si>
  <si>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</si>
  <si>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</si>
  <si>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</si>
  <si>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</si>
  <si>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</si>
  <si>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</si>
  <si>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</si>
  <si>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</si>
  <si>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</si>
  <si>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</si>
  <si>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</si>
  <si>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</si>
  <si>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</si>
  <si>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</si>
  <si>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</si>
  <si>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</si>
  <si>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</si>
  <si>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</si>
  <si>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</si>
  <si>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</si>
  <si>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</si>
  <si>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</si>
  <si>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</si>
  <si>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</si>
  <si>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</si>
  <si>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</si>
  <si>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</si>
  <si>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</si>
  <si>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</si>
  <si>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</si>
  <si>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</si>
  <si>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</si>
  <si>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</si>
  <si>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</si>
  <si>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</si>
  <si>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</si>
  <si>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</si>
  <si>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</si>
  <si>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</si>
  <si>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</si>
  <si>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</si>
  <si>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</si>
  <si>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</si>
  <si>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</si>
  <si>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</si>
  <si>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</si>
  <si>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</si>
  <si>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</si>
  <si>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</si>
  <si>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</si>
  <si>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</si>
  <si>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</si>
  <si>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</si>
  <si>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</si>
  <si>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</si>
  <si>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</si>
  <si>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</si>
  <si>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</si>
  <si>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</si>
  <si>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</si>
  <si>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</si>
  <si>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</si>
  <si>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</si>
  <si>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</si>
  <si>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</si>
  <si>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</si>
  <si>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</si>
  <si>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</si>
  <si>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</si>
  <si>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</si>
  <si>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</si>
  <si>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</si>
  <si>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</si>
  <si>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</si>
  <si>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</si>
  <si>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</si>
  <si>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</si>
  <si>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</si>
  <si>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</si>
  <si>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</si>
  <si>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</si>
  <si>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</si>
  <si>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</si>
  <si>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</si>
  <si>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</si>
  <si>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</si>
  <si>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</si>
  <si>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</si>
  <si>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</si>
  <si>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</si>
  <si>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</si>
  <si>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</si>
  <si>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</si>
  <si>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</si>
  <si>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</si>
  <si>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</si>
  <si>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</si>
  <si>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</si>
  <si>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</si>
  <si>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</si>
  <si>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</si>
  <si>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</si>
  <si>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</si>
  <si>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</si>
  <si>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</si>
  <si>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</si>
  <si>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</si>
  <si>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</si>
  <si>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</si>
  <si>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</si>
  <si>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</si>
  <si>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</si>
  <si>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</si>
  <si>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</si>
  <si>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</si>
  <si>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</si>
  <si>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</si>
  <si>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</si>
  <si>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</si>
  <si>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</si>
  <si>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</si>
  <si>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</si>
  <si>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</si>
  <si>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</si>
  <si>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</si>
  <si>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</si>
  <si>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</si>
  <si>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</si>
  <si>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</si>
  <si>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</si>
  <si>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</si>
  <si>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</si>
  <si>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</si>
  <si>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</si>
  <si>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</si>
  <si>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</si>
  <si>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</si>
  <si>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</si>
  <si>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</si>
  <si>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</si>
  <si>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</si>
  <si>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</si>
  <si>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</si>
  <si>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</si>
  <si>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</si>
  <si>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</si>
  <si>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</si>
  <si>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</si>
  <si>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</si>
  <si>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</si>
  <si>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</si>
  <si>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</si>
  <si>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</si>
  <si>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</si>
  <si>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</si>
  <si>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</si>
  <si>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</si>
  <si>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</si>
  <si>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</si>
  <si>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</si>
  <si>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</si>
  <si>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</si>
  <si>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</si>
  <si>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</si>
  <si>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</si>
  <si>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</si>
  <si>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</si>
  <si>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</si>
  <si>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</si>
  <si>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</si>
  <si>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</si>
  <si>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</si>
  <si>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</si>
  <si>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</si>
  <si>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</si>
  <si>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</si>
  <si>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</si>
  <si>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</si>
  <si>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</si>
  <si>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</si>
  <si>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</si>
  <si>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</si>
  <si>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</si>
  <si>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</si>
  <si>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</si>
  <si>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</si>
  <si>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</si>
  <si>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</si>
  <si>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</si>
  <si>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</si>
  <si>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</si>
  <si>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</si>
  <si>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</si>
  <si>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</si>
  <si>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</si>
  <si>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</si>
  <si>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</si>
  <si>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</si>
  <si>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</si>
  <si>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</si>
  <si>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</si>
  <si>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</si>
  <si>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</si>
  <si>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</si>
  <si>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</si>
  <si>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</si>
  <si>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</si>
  <si>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</si>
  <si>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</si>
  <si>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</si>
  <si>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</si>
  <si>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</si>
  <si>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</si>
  <si>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</si>
  <si>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</si>
  <si>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</si>
  <si>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</si>
  <si>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</si>
  <si>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</si>
  <si>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</si>
  <si>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</si>
  <si>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</si>
  <si>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</si>
  <si>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</si>
  <si>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</si>
  <si>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</si>
  <si>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</si>
  <si>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</si>
  <si>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</si>
  <si>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</si>
  <si>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</si>
  <si>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</si>
  <si>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</si>
  <si>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</si>
  <si>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</si>
  <si>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</si>
  <si>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</si>
  <si>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</si>
  <si>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</si>
  <si>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</si>
  <si>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</si>
  <si>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</si>
  <si>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</si>
  <si>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</si>
  <si>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</si>
  <si>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</si>
  <si>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</si>
  <si>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</si>
  <si>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</si>
  <si>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</si>
  <si>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</si>
  <si>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</si>
  <si>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</si>
  <si>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</si>
  <si>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</si>
  <si>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</si>
  <si>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</si>
  <si>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</si>
  <si>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</si>
  <si>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</si>
  <si>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</si>
  <si>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</si>
  <si>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</si>
  <si>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</si>
  <si>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</si>
  <si>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</si>
  <si>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</si>
  <si>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</si>
  <si>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</si>
  <si>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</si>
  <si>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</si>
  <si>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</si>
  <si>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</si>
  <si>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</si>
  <si>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</si>
  <si>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</si>
  <si>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</si>
  <si>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</si>
  <si>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</si>
  <si>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</si>
  <si>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</si>
  <si>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</si>
  <si>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</si>
  <si>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</si>
  <si>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</si>
  <si>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</si>
  <si>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</si>
  <si>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</si>
  <si>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</si>
  <si>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</si>
  <si>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</si>
  <si>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</si>
  <si>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</si>
  <si>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</si>
  <si>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</si>
  <si>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</si>
  <si>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</si>
  <si>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</si>
  <si>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</si>
  <si>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</si>
  <si>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</si>
  <si>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</si>
  <si>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</si>
  <si>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</si>
  <si>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</si>
  <si>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</si>
  <si>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</si>
  <si>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</si>
  <si>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</si>
  <si>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</si>
  <si>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</si>
  <si>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</si>
  <si>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</si>
  <si>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</si>
  <si>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</si>
  <si>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</si>
  <si>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</si>
  <si>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</si>
  <si>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</si>
  <si>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</si>
  <si>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</si>
  <si>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</si>
  <si>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</si>
  <si>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</si>
  <si>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</si>
  <si>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</si>
  <si>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</si>
  <si>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</si>
  <si>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</si>
  <si>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</si>
  <si>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</si>
  <si>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</si>
  <si>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</si>
  <si>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</si>
  <si>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</si>
  <si>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</si>
  <si>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</si>
  <si>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</si>
  <si>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</si>
  <si>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</si>
  <si>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</si>
  <si>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</si>
  <si>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</si>
  <si>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</si>
  <si>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</si>
  <si>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</si>
  <si>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</si>
  <si>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</si>
  <si>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</si>
  <si>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</si>
  <si>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</si>
  <si>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</si>
  <si>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</si>
  <si>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</si>
  <si>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</si>
  <si>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</si>
  <si>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</si>
  <si>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</si>
  <si>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</si>
  <si>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</si>
  <si>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</si>
  <si>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</si>
  <si>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</si>
  <si>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</si>
  <si>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</si>
  <si>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</si>
  <si>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</si>
  <si>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</si>
  <si>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</si>
  <si>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</si>
  <si>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</si>
  <si>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</si>
  <si>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</si>
  <si>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</si>
  <si>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</si>
  <si>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</si>
  <si>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</si>
  <si>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</si>
  <si>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</si>
  <si>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</si>
  <si>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</si>
  <si>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</si>
  <si>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</si>
  <si>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</si>
  <si>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</si>
  <si>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</si>
  <si>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</si>
  <si>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</si>
  <si>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</si>
  <si>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</si>
  <si>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</si>
  <si>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</si>
  <si>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</si>
  <si>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</si>
  <si>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</si>
  <si>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</si>
  <si>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</si>
  <si>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</si>
  <si>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</si>
  <si>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</si>
  <si>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</si>
  <si>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</si>
  <si>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</si>
  <si>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</si>
  <si>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</si>
  <si>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</si>
  <si>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</si>
  <si>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</si>
  <si>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</si>
  <si>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</si>
  <si>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</si>
  <si>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</si>
  <si>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</si>
  <si>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</si>
  <si>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</si>
  <si>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</si>
  <si>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</si>
  <si>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</si>
  <si>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</si>
  <si>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</si>
  <si>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</si>
  <si>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</si>
  <si>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</si>
  <si>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</si>
  <si>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</si>
  <si>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</si>
  <si>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</si>
  <si>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</si>
  <si>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</si>
  <si>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</si>
  <si>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</si>
  <si>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</si>
  <si>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</si>
  <si>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</si>
  <si>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</si>
  <si>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</si>
  <si>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</si>
  <si>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</si>
  <si>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</si>
  <si>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</si>
  <si>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</si>
  <si>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</si>
  <si>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</si>
  <si>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</si>
  <si>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</si>
  <si>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</si>
  <si>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</si>
  <si>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</si>
  <si>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</si>
  <si>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</si>
  <si>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</si>
  <si>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</si>
  <si>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</si>
  <si>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</si>
  <si>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</si>
  <si>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</si>
  <si>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</si>
  <si>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</si>
  <si>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</si>
  <si>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</si>
  <si>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</si>
  <si>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</si>
  <si>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</si>
  <si>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</si>
  <si>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</si>
  <si>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</si>
  <si>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</si>
  <si>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抵押</t>
  </si>
  <si>
    <t>房地产抵押价值</t>
  </si>
  <si>
    <t>其他：</t>
  </si>
  <si>
    <t>企业</t>
  </si>
  <si>
    <t>出让</t>
  </si>
  <si>
    <t>虹泰花苑分摊面积表（商业1幢）</t>
  </si>
  <si>
    <t>房间号</t>
  </si>
  <si>
    <t>分摊土地面积(㎡)</t>
  </si>
  <si>
    <t>实测建筑面积(㎡)</t>
  </si>
  <si>
    <t>实测套内建筑面积(㎡)</t>
  </si>
  <si>
    <t>实测分摊建筑面积(㎡)</t>
  </si>
  <si>
    <t>虹泰花苑分摊面积表（商业2幢）</t>
  </si>
  <si>
    <t>地上</t>
  </si>
  <si>
    <t>独立商业</t>
  </si>
  <si>
    <t>是</t>
  </si>
  <si>
    <t>其他</t>
    <phoneticPr fontId="7" type="noConversion"/>
  </si>
  <si>
    <t>成新度</t>
  </si>
  <si>
    <t>收益法</t>
  </si>
  <si>
    <t>押一</t>
  </si>
  <si>
    <t>按租金收入计税</t>
  </si>
  <si>
    <t>钢混</t>
  </si>
  <si>
    <t>非生产用房</t>
  </si>
  <si>
    <t>正常</t>
  </si>
  <si>
    <t>售价</t>
  </si>
  <si>
    <t>比较法-商业</t>
  </si>
  <si>
    <t>典型户型修正</t>
    <phoneticPr fontId="16" type="noConversion"/>
  </si>
  <si>
    <t>楼面地价</t>
  </si>
  <si>
    <t>未包含在土地购买价格中</t>
  </si>
  <si>
    <t>全部缴纳</t>
  </si>
  <si>
    <t>已包含在土地取得成本中</t>
  </si>
  <si>
    <t>成本法</t>
  </si>
  <si>
    <t>现房</t>
  </si>
  <si>
    <t>地块名称</t>
  </si>
  <si>
    <t>城市</t>
  </si>
  <si>
    <t>用地性质</t>
  </si>
  <si>
    <t>建设用地面积(㎡)</t>
  </si>
  <si>
    <t>规划建筑面积(㎡)</t>
  </si>
  <si>
    <t>容积率</t>
  </si>
  <si>
    <t>出让方式</t>
  </si>
  <si>
    <t>截止日期</t>
  </si>
  <si>
    <t>起始价(万元)</t>
  </si>
  <si>
    <t>成交价(万元)</t>
  </si>
  <si>
    <t>成交楼面价(元/㎡)</t>
  </si>
  <si>
    <t>溢价率</t>
  </si>
  <si>
    <t>受让单位</t>
  </si>
  <si>
    <t>土地星级</t>
  </si>
  <si>
    <t>滨江镇大生宝塔村兴隆组</t>
  </si>
  <si>
    <t>泰州市</t>
  </si>
  <si>
    <t>商业/办公用地</t>
  </si>
  <si>
    <t>小于3.5</t>
  </si>
  <si>
    <t>挂牌</t>
  </si>
  <si>
    <t>2019-07-05</t>
  </si>
  <si>
    <t>泰兴市襟江文旅有限公司</t>
  </si>
  <si>
    <t>0星</t>
  </si>
  <si>
    <t>市区大庆西路52号</t>
  </si>
  <si>
    <t>市区大庆西路49号</t>
  </si>
  <si>
    <t>羌溪路西侧、鼓楼东路北侧1号地块</t>
  </si>
  <si>
    <t>2019-07-03</t>
  </si>
  <si>
    <t>市区大庆路路北侧、如泰运河南侧</t>
  </si>
  <si>
    <t>＜3.5</t>
  </si>
  <si>
    <t>2019-06-05</t>
  </si>
  <si>
    <t>泰兴市民生建设投资集团有限公司</t>
  </si>
  <si>
    <t>滨江镇福泰路东侧地块</t>
  </si>
  <si>
    <t>≤1.6</t>
  </si>
  <si>
    <t>泰兴市瑞泰投资开发有限公司</t>
  </si>
  <si>
    <t>文江路西侧、同德路北侧</t>
  </si>
  <si>
    <t>高新区凤栖路南侧</t>
  </si>
  <si>
    <t>＜4</t>
  </si>
  <si>
    <t>2019-05-31</t>
  </si>
  <si>
    <t>泰兴市智光环保科技有限公司</t>
  </si>
  <si>
    <t>根思乡宣泰路东侧、根南大道南侧地块</t>
  </si>
  <si>
    <t>＜1.6</t>
  </si>
  <si>
    <t>2019-05-23</t>
  </si>
  <si>
    <t>马之军</t>
  </si>
  <si>
    <t>市区文昌路北侧、长征路东侧</t>
  </si>
  <si>
    <t>姚王镇南北新大街东侧地块</t>
  </si>
  <si>
    <t>＜1.7</t>
  </si>
  <si>
    <t>泰兴市恒随贸易有限公司</t>
  </si>
  <si>
    <t>济川南路东侧、同德路北侧</t>
  </si>
  <si>
    <t>市区文昌路北侧、长征路西侧</t>
  </si>
  <si>
    <t>虹桥镇长虹路西侧</t>
  </si>
  <si>
    <t>＜2.5</t>
  </si>
  <si>
    <t>2019-05-20</t>
  </si>
  <si>
    <t>泰兴市虹桥园工业开发有限公司</t>
  </si>
  <si>
    <t>姚王镇334省道南侧地块</t>
  </si>
  <si>
    <t>＜0.6</t>
  </si>
  <si>
    <t>2019-04-26</t>
  </si>
  <si>
    <t>泰兴市汽车运输总公司</t>
  </si>
  <si>
    <t>姚王镇官沟村334省道南侧</t>
  </si>
  <si>
    <t>2019-04-18</t>
  </si>
  <si>
    <t>泰兴市泰通投资发展有限公司</t>
  </si>
  <si>
    <t>姚王镇官沟村334省道北侧</t>
  </si>
  <si>
    <t>2019-04-08</t>
  </si>
  <si>
    <t>滨江镇健康路南侧、瑞祥路西侧地块</t>
  </si>
  <si>
    <t>＜1.4</t>
  </si>
  <si>
    <t>2019-02-27</t>
  </si>
  <si>
    <t>泰兴市润嘉资产管理有限公司</t>
  </si>
  <si>
    <t>宣堡镇宣银路北侧、友谊中沟西侧地块</t>
  </si>
  <si>
    <t>2019-01-21</t>
  </si>
  <si>
    <t>泰兴市宣堡镇世纪大酒店</t>
  </si>
  <si>
    <t>黄桥镇新334省道南侧地块</t>
  </si>
  <si>
    <t>＜0.7</t>
  </si>
  <si>
    <t>宣堡镇郭寨村地块</t>
  </si>
  <si>
    <t>＜1.2</t>
  </si>
  <si>
    <t>2019-01-10</t>
  </si>
  <si>
    <t>泰兴市郭家寨生态农家乐休闲中心</t>
  </si>
  <si>
    <t>古溪镇355省道南侧、官横公路东侧地块</t>
  </si>
  <si>
    <t>＜0.4</t>
  </si>
  <si>
    <t>泰兴市永昌石化有限公司</t>
  </si>
  <si>
    <t>滨江镇飞鸿路东侧、文化东路南侧地块</t>
  </si>
  <si>
    <t>＞1,＜2</t>
  </si>
  <si>
    <t>2018-12-20</t>
  </si>
  <si>
    <t>泰兴市襟江投资有限公司</t>
  </si>
  <si>
    <t>市区龙河路北侧、汽贸城7号地块</t>
  </si>
  <si>
    <t>＜3.3</t>
  </si>
  <si>
    <t>江苏纳臻置业有限公司</t>
  </si>
  <si>
    <t>虹桥镇焦土港北侧</t>
  </si>
  <si>
    <t>＞1,＜3.5</t>
  </si>
  <si>
    <t>2018-12-07</t>
  </si>
  <si>
    <t>古溪镇幸福路西侧、星光路北侧地块</t>
  </si>
  <si>
    <t>2018-11-28</t>
  </si>
  <si>
    <t>泰兴市古汇科技发展有限公司</t>
  </si>
  <si>
    <t>宣堡镇建工路北侧地块</t>
  </si>
  <si>
    <t>＜2</t>
  </si>
  <si>
    <t>2018-11-21</t>
  </si>
  <si>
    <t>江苏金泰堡机械制造有限公司</t>
  </si>
  <si>
    <t>黄桥镇东进西路南侧、金溪路东侧</t>
  </si>
  <si>
    <t>＞1,≤1.6</t>
  </si>
  <si>
    <t>2018-10-31</t>
  </si>
  <si>
    <t>张晓健</t>
  </si>
  <si>
    <t>高新区环溪路南侧、科新路西侧地块</t>
  </si>
  <si>
    <t>2018-10-18</t>
  </si>
  <si>
    <t>黄桥镇金溪路东侧、东华村路北侧</t>
  </si>
  <si>
    <t>＞1,≤2.35</t>
  </si>
  <si>
    <t>2018-06-29</t>
  </si>
  <si>
    <t>江苏省国裕建设集团有限公司</t>
  </si>
  <si>
    <t>济川路东侧、同德路北侧</t>
  </si>
  <si>
    <t>＜4.5</t>
  </si>
  <si>
    <t>泰州市盛泰城镇化建设有限公司</t>
  </si>
  <si>
    <t>银杏路南侧、镇海路东侧6号地块</t>
  </si>
  <si>
    <t>＜1.5</t>
  </si>
  <si>
    <t>2018-05-11</t>
  </si>
  <si>
    <t>泰州天旭汽车贸易有限公司</t>
  </si>
  <si>
    <t>银杏路南侧、镇海路东侧5号地块</t>
  </si>
  <si>
    <t>2018-05-10</t>
  </si>
  <si>
    <t>袁沪</t>
  </si>
  <si>
    <t>银杏路南侧、镇海路东侧4号地块</t>
  </si>
  <si>
    <t>2018-05-09</t>
  </si>
  <si>
    <t>泰兴市鑫宇汽车销售服务有限公司</t>
  </si>
  <si>
    <t>黄桥镇金溪路东侧、银杏路南侧地块</t>
  </si>
  <si>
    <t>＞1且≤1.8</t>
  </si>
  <si>
    <t>2018-03-09</t>
  </si>
  <si>
    <t>胡增华</t>
  </si>
  <si>
    <t>张桥镇江平公路西侧地块</t>
  </si>
  <si>
    <t>2018-03-07</t>
  </si>
  <si>
    <t>江苏泰兴农村商业银行股份有限公司</t>
  </si>
  <si>
    <t>农产品园区粮油路东侧地块</t>
  </si>
  <si>
    <t>2018-01-22</t>
  </si>
  <si>
    <t>泰兴市新睿科技有限公司</t>
  </si>
  <si>
    <t>文江路东侧、同德路南侧</t>
  </si>
  <si>
    <t>2018-01-19</t>
  </si>
  <si>
    <t>泰兴市清源水利建设有限公司</t>
  </si>
  <si>
    <t>文江路西侧、同德路南侧</t>
  </si>
  <si>
    <t>济川路西侧、同德路南昌</t>
  </si>
  <si>
    <t>高新区科创路东侧、文昌东路南侧地块</t>
  </si>
  <si>
    <t>＜3</t>
  </si>
  <si>
    <t>虹桥镇江城大道北侧、飞虹路东侧地块</t>
  </si>
  <si>
    <t>江苏泰丰化工有限公司</t>
  </si>
  <si>
    <t>高新区科创路东侧、凤栖路北侧地块</t>
  </si>
  <si>
    <t>＜2.2</t>
  </si>
  <si>
    <t>滨江镇瑞祥路西侧、丰产路南侧地块</t>
  </si>
  <si>
    <t>2018-01-10</t>
  </si>
  <si>
    <t>泰州思元置业有限公司</t>
  </si>
  <si>
    <t>农产品园区粮油路东、纬二路南侧地块</t>
  </si>
  <si>
    <t>江苏康梦尔大酒店有限公司</t>
  </si>
  <si>
    <t>根思乡宁通高速公路西侧、宣泰公路东侧</t>
  </si>
  <si>
    <t>≤1.5</t>
  </si>
  <si>
    <t>2017-12-01</t>
  </si>
  <si>
    <t>泰州玉鸿投资发展有限公司</t>
  </si>
  <si>
    <t>开发区中港村委会东侧、通江路南侧</t>
  </si>
  <si>
    <t>＜0.5</t>
  </si>
  <si>
    <t>2017-11-01</t>
  </si>
  <si>
    <t>江苏聚源清洗有限公司</t>
  </si>
  <si>
    <t>大庆路南侧、鼓楼北路东侧</t>
  </si>
  <si>
    <t>2017-09-13</t>
  </si>
  <si>
    <t>陈勃</t>
  </si>
  <si>
    <t>典型户型修正</t>
  </si>
  <si>
    <t>江东府</t>
    <phoneticPr fontId="3" type="noConversion"/>
  </si>
  <si>
    <t>长江国际花园</t>
    <phoneticPr fontId="3" type="noConversion"/>
  </si>
  <si>
    <t>盛德华府</t>
    <phoneticPr fontId="3" type="noConversion"/>
  </si>
  <si>
    <t>郑燚</t>
  </si>
  <si>
    <t>崔锴</t>
  </si>
  <si>
    <t>泰兴市虹桥园工业开发有限公司</t>
    <phoneticPr fontId="6" type="noConversion"/>
  </si>
  <si>
    <t>五矿信托</t>
    <phoneticPr fontId="6" type="noConversion"/>
  </si>
  <si>
    <t>江苏省泰州市</t>
    <phoneticPr fontId="6" type="noConversion"/>
  </si>
  <si>
    <r>
      <rPr>
        <sz val="12"/>
        <color theme="9" tint="-0.249977111117893"/>
        <rFont val="宋体"/>
        <family val="3"/>
        <charset val="134"/>
      </rPr>
      <t>泰兴市虹桥镇宏泰花苑商业</t>
    </r>
    <r>
      <rPr>
        <sz val="12"/>
        <color theme="9" tint="-0.249977111117893"/>
        <rFont val="Arial"/>
        <family val="2"/>
      </rPr>
      <t>1</t>
    </r>
    <r>
      <rPr>
        <sz val="12"/>
        <color theme="9" tint="-0.249977111117893"/>
        <rFont val="宋体"/>
        <family val="3"/>
        <charset val="134"/>
      </rPr>
      <t>幢、</t>
    </r>
    <r>
      <rPr>
        <sz val="12"/>
        <color theme="9" tint="-0.249977111117893"/>
        <rFont val="Arial"/>
        <family val="2"/>
      </rPr>
      <t>2</t>
    </r>
    <r>
      <rPr>
        <sz val="12"/>
        <color theme="9" tint="-0.249977111117893"/>
        <rFont val="宋体"/>
        <family val="3"/>
        <charset val="134"/>
      </rPr>
      <t>幢</t>
    </r>
    <phoneticPr fontId="6" type="noConversion"/>
  </si>
  <si>
    <t>商业</t>
    <phoneticPr fontId="6" type="noConversion"/>
  </si>
  <si>
    <t>商业</t>
    <phoneticPr fontId="31" type="noConversion"/>
  </si>
  <si>
    <t>30-40（含）</t>
  </si>
  <si>
    <t>一般</t>
  </si>
  <si>
    <t>较好</t>
  </si>
  <si>
    <t>五通</t>
  </si>
  <si>
    <t>不临街</t>
    <phoneticPr fontId="31" type="noConversion"/>
  </si>
  <si>
    <t>较好</t>
    <phoneticPr fontId="31" type="noConversion"/>
  </si>
  <si>
    <t>一般</t>
    <phoneticPr fontId="31" type="noConversion"/>
  </si>
  <si>
    <t>住宅底商</t>
  </si>
  <si>
    <t>住宅底商</t>
    <phoneticPr fontId="31" type="noConversion"/>
  </si>
  <si>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</si>
  <si>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</si>
  <si>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</si>
  <si>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</si>
  <si>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</si>
  <si>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</si>
  <si>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通路</t>
  </si>
  <si>
    <t>通电</t>
  </si>
  <si>
    <t>通讯</t>
  </si>
  <si>
    <t>通下水</t>
  </si>
  <si>
    <t>2019-1-0549-P01DYGJ1</t>
  </si>
  <si>
    <t>总价</t>
  </si>
  <si>
    <t>收益比率</t>
  </si>
  <si>
    <t>序号</t>
    <phoneticPr fontId="143" type="noConversion"/>
  </si>
  <si>
    <t>坐落</t>
    <phoneticPr fontId="143" type="noConversion"/>
  </si>
  <si>
    <t>泰兴市虹桥镇宏泰花苑商业1幢101室</t>
    <phoneticPr fontId="143" type="noConversion"/>
  </si>
  <si>
    <t>编号</t>
    <phoneticPr fontId="143" type="noConversion"/>
  </si>
  <si>
    <t>泰兴市虹桥镇宏泰花苑商业1幢102室</t>
  </si>
  <si>
    <t>泰兴市虹桥镇宏泰花苑商业1幢103室</t>
  </si>
  <si>
    <t>泰兴市虹桥镇宏泰花苑商业1幢104室</t>
  </si>
  <si>
    <t>泰兴市虹桥镇宏泰花苑商业1幢105室</t>
  </si>
  <si>
    <t>泰兴市虹桥镇宏泰花苑商业1幢106室</t>
  </si>
  <si>
    <t>泰兴市虹桥镇宏泰花苑商业1幢107室</t>
  </si>
  <si>
    <t>泰兴市虹桥镇宏泰花苑商业1幢108室</t>
  </si>
  <si>
    <t>泰兴市虹桥镇宏泰花苑商业1幢109室</t>
  </si>
  <si>
    <t>泰兴市虹桥镇宏泰花苑商业1幢110室</t>
  </si>
  <si>
    <t>泰兴市虹桥镇宏泰花苑商业1幢111室</t>
  </si>
  <si>
    <t>泰兴市虹桥镇宏泰花苑商业1幢112室</t>
  </si>
  <si>
    <t>泰兴市虹桥镇宏泰花苑商业1幢113室</t>
  </si>
  <si>
    <t>泰兴市虹桥镇宏泰花苑商业1幢114室</t>
  </si>
  <si>
    <t>泰兴市虹桥镇宏泰花苑商业1幢115室</t>
  </si>
  <si>
    <t>泰兴市虹桥镇宏泰花苑商业1幢116室</t>
  </si>
  <si>
    <t>泰兴市虹桥镇宏泰花苑商业1幢117室</t>
  </si>
  <si>
    <t>泰兴市虹桥镇宏泰花苑商业2幢101室</t>
    <phoneticPr fontId="143" type="noConversion"/>
  </si>
  <si>
    <t>泰兴市虹桥镇宏泰花苑商业2幢102室</t>
  </si>
  <si>
    <t>泰兴市虹桥镇宏泰花苑商业2幢103室</t>
  </si>
  <si>
    <t>泰兴市虹桥镇宏泰花苑商业2幢104室</t>
  </si>
  <si>
    <t>泰兴市虹桥镇宏泰花苑商业2幢105室</t>
  </si>
  <si>
    <t>泰兴市虹桥镇宏泰花苑商业2幢106室</t>
  </si>
  <si>
    <t>泰兴市虹桥镇宏泰花苑商业2幢107室</t>
  </si>
  <si>
    <t>泰兴市虹桥镇宏泰花苑商业2幢108室</t>
  </si>
  <si>
    <t>泰兴市虹桥镇宏泰花苑商业2幢109室</t>
  </si>
  <si>
    <t>泰兴市虹桥镇宏泰花苑商业2幢110室</t>
  </si>
  <si>
    <t>泰兴市虹桥镇宏泰花苑商业2幢111室</t>
  </si>
  <si>
    <t>泰兴市虹桥镇宏泰花苑商业2幢112室</t>
  </si>
  <si>
    <t>泰兴市虹桥镇宏泰花苑商业2幢113室</t>
  </si>
  <si>
    <t>泰兴市虹桥镇宏泰花苑商业2幢114室</t>
  </si>
  <si>
    <t>泰兴市虹桥镇宏泰花苑商业2幢115室</t>
  </si>
  <si>
    <t>泰兴市虹桥镇宏泰花苑商业2幢116室</t>
  </si>
  <si>
    <t>泰兴市虹桥镇宏泰花苑商业2幢117室</t>
  </si>
  <si>
    <t>泰兴市虹桥镇宏泰花苑商业2幢118室</t>
  </si>
  <si>
    <t>泰兴市虹桥镇宏泰花苑商业2幢119室</t>
  </si>
  <si>
    <r>
      <t>苏（</t>
    </r>
    <r>
      <rPr>
        <sz val="10.5"/>
        <color theme="1"/>
        <rFont val="Arial"/>
        <family val="2"/>
      </rPr>
      <t>2018</t>
    </r>
    <r>
      <rPr>
        <sz val="10.5"/>
        <color theme="1"/>
        <rFont val="宋体"/>
        <family val="3"/>
        <charset val="134"/>
        <scheme val="minor"/>
      </rPr>
      <t>）泰兴市不动产权第</t>
    </r>
    <r>
      <rPr>
        <sz val="10.5"/>
        <color theme="1"/>
        <rFont val="Arial"/>
        <family val="2"/>
      </rPr>
      <t>0031488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</si>
  <si>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</si>
  <si>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</si>
  <si>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</si>
  <si>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</si>
  <si>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</si>
  <si>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</si>
  <si>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</si>
  <si>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</si>
  <si>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0031475号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</si>
  <si>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0031476号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</si>
  <si>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0031477号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</si>
  <si>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0031478号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</si>
  <si>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0031479号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</si>
  <si>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0031480号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</si>
  <si>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</si>
  <si>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</si>
  <si>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</si>
  <si>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</si>
  <si>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0031468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</si>
  <si>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0031502</t>
    </r>
    <r>
      <rPr>
        <sz val="10.5"/>
        <color theme="1"/>
        <rFont val="宋体"/>
        <family val="3"/>
        <charset val="134"/>
        <scheme val="minor"/>
      </rPr>
      <t>号</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</si>
  <si>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</si>
  <si>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</si>
  <si>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</si>
  <si>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</si>
  <si>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0031492</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</si>
  <si>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0031493</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</si>
  <si>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0031494</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</si>
  <si>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</si>
  <si>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</si>
  <si>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</si>
  <si>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</si>
  <si>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</si>
  <si>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</si>
  <si>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</si>
  <si>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0031487</t>
    </r>
    <r>
      <rPr>
        <sz val="10.5"/>
        <color theme="1"/>
        <rFont val="宋体"/>
        <family val="3"/>
        <charset val="134"/>
      </rPr>
      <t>号</t>
    </r>
    <r>
      <rPr>
        <sz val="10.5"/>
        <color theme="1"/>
        <rFont val="宋体"/>
        <family val="3"/>
        <charset val="134"/>
        <scheme val="minor"/>
      </rPr>
      <t/>
    </r>
    <phoneticPr fontId="143" type="noConversion"/>
  </si>
  <si>
    <t>建筑品质</t>
    <phoneticPr fontId="31" type="noConversion"/>
  </si>
  <si>
    <t>较好</t>
    <phoneticPr fontId="31" type="noConversion"/>
  </si>
  <si>
    <r>
      <t>1</t>
    </r>
    <r>
      <rPr>
        <sz val="11"/>
        <color indexed="8"/>
        <rFont val="宋体"/>
        <family val="3"/>
        <charset val="134"/>
      </rPr>
      <t>（</t>
    </r>
    <r>
      <rPr>
        <sz val="11"/>
        <color indexed="8"/>
        <rFont val="Arial"/>
        <family val="2"/>
      </rPr>
      <t>1</t>
    </r>
    <r>
      <rPr>
        <sz val="11"/>
        <color indexed="8"/>
        <rFont val="宋体"/>
        <family val="3"/>
        <charset val="134"/>
      </rPr>
      <t>托</t>
    </r>
    <r>
      <rPr>
        <sz val="11"/>
        <color indexed="8"/>
        <rFont val="Arial"/>
        <family val="2"/>
      </rPr>
      <t>2</t>
    </r>
    <r>
      <rPr>
        <sz val="11"/>
        <color indexed="8"/>
        <rFont val="宋体"/>
        <family val="3"/>
        <charset val="134"/>
      </rPr>
      <t>）</t>
    </r>
    <phoneticPr fontId="31" type="noConversion"/>
  </si>
  <si>
    <t>1（1托2）</t>
  </si>
  <si>
    <t>单面临街</t>
  </si>
  <si>
    <t>单面临街</t>
    <phoneticPr fontId="31" type="noConversion"/>
  </si>
  <si>
    <t>收益法 (2)</t>
  </si>
  <si>
    <t>收益法 (2)</t>
    <phoneticPr fontId="16" type="noConversion"/>
  </si>
  <si>
    <t>其他</t>
  </si>
  <si>
    <t>收益法（汇总）</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</si>
</sst>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8"/>
      <color indexed="8"/>
      <name val="宋体"/>
      <family val="3"/>
      <charset val="134"/>
    </font>
    <font>
      <sz val="18"/>
      <color rgb="FF000000"/>
      <name val="宋体"/>
      <family val="3"/>
      <charset val="134"/>
    </font>
    <font>
      <sz val="11"/>
      <color rgb="FF282828"/>
      <name val="Tahoma"/>
      <family val="2"/>
    </font>
    <font>
      <sz val="10.5"/>
      <color theme="1"/>
      <name val="宋体"/>
      <family val="3"/>
      <charset val="134"/>
      <scheme val="minor"/>
    </font>
    <font>
      <sz val="10.5"/>
      <color theme="1"/>
      <name val="Arial"/>
      <family val="2"/>
    </font>
    <font>
      <sz val="10.5"/>
      <color theme="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6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86" fontId="251" fillId="0" borderId="1" xfId="0" applyNumberFormat="1" applyFont="1" applyFill="1" applyBorder="1" applyAlignment="1">
      <alignment horizontal="center" vertical="center"/>
    </xf>
    <xf numFmtId="176" fontId="155" fillId="0" borderId="1" xfId="0" applyNumberFormat="1" applyFont="1" applyFill="1" applyBorder="1" applyAlignment="1">
      <alignment horizontal="center" vertical="center"/>
    </xf>
    <xf numFmtId="176" fontId="155" fillId="0" borderId="1" xfId="0" applyNumberFormat="1" applyFont="1" applyFill="1" applyBorder="1" applyAlignment="1">
      <alignment vertical="center"/>
    </xf>
    <xf numFmtId="188" fontId="155" fillId="0" borderId="1" xfId="0" applyNumberFormat="1" applyFont="1" applyFill="1" applyBorder="1" applyAlignment="1">
      <alignment horizontal="center" vertical="center"/>
    </xf>
    <xf numFmtId="186" fontId="0" fillId="0" borderId="1" xfId="0" applyNumberFormat="1" applyFill="1" applyBorder="1" applyAlignment="1"/>
    <xf numFmtId="176" fontId="0" fillId="0" borderId="1" xfId="0" applyNumberFormat="1" applyFill="1" applyBorder="1" applyAlignment="1"/>
    <xf numFmtId="188" fontId="0" fillId="0" borderId="1" xfId="0" applyNumberFormat="1" applyFill="1" applyBorder="1" applyAlignment="1"/>
    <xf numFmtId="176" fontId="0" fillId="0" borderId="0" xfId="0" applyNumberFormat="1">
      <alignment vertical="center"/>
    </xf>
    <xf numFmtId="176" fontId="101" fillId="0" borderId="0" xfId="0" applyNumberFormat="1" applyFont="1">
      <alignment vertical="center"/>
    </xf>
    <xf numFmtId="177" fontId="80" fillId="0" borderId="1" xfId="1" applyNumberFormat="1" applyFont="1" applyFill="1" applyBorder="1" applyAlignment="1" applyProtection="1">
      <alignment vertical="center"/>
      <protection locked="0" hidden="1"/>
    </xf>
    <xf numFmtId="186" fontId="0" fillId="0" borderId="1" xfId="0" applyNumberFormat="1" applyFill="1" applyBorder="1" applyAlignment="1" applyProtection="1">
      <protection locked="0"/>
    </xf>
    <xf numFmtId="176" fontId="0" fillId="0" borderId="1" xfId="0" applyNumberFormat="1" applyFill="1" applyBorder="1" applyAlignment="1" applyProtection="1">
      <protection locked="0"/>
    </xf>
    <xf numFmtId="0" fontId="56" fillId="0" borderId="0" xfId="17"/>
    <xf numFmtId="0" fontId="56" fillId="5" borderId="0" xfId="17" applyFill="1"/>
    <xf numFmtId="0" fontId="0" fillId="5" borderId="0" xfId="0" applyFill="1">
      <alignment vertical="center"/>
    </xf>
    <xf numFmtId="177" fontId="0" fillId="0" borderId="0" xfId="0" applyNumberFormat="1">
      <alignment vertical="center"/>
    </xf>
    <xf numFmtId="177" fontId="0" fillId="5" borderId="0" xfId="0" applyNumberFormat="1" applyFill="1">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54" fillId="6" borderId="15" xfId="0" applyNumberFormat="1" applyFont="1" applyFill="1" applyBorder="1" applyAlignment="1" applyProtection="1">
      <alignment horizontal="center" vertical="center" wrapText="1"/>
      <protection locked="0"/>
    </xf>
    <xf numFmtId="0" fontId="256" fillId="0" borderId="0" xfId="0" applyFont="1">
      <alignment vertical="center"/>
    </xf>
    <xf numFmtId="186" fontId="99" fillId="0" borderId="1" xfId="0" applyNumberFormat="1" applyFont="1" applyFill="1" applyBorder="1" applyAlignment="1">
      <alignment horizontal="center" vertical="center" wrapText="1"/>
    </xf>
    <xf numFmtId="0" fontId="0" fillId="0" borderId="0" xfId="0" applyAlignment="1">
      <alignment horizontal="center" vertical="center" wrapText="1"/>
    </xf>
    <xf numFmtId="0" fontId="99" fillId="0" borderId="1" xfId="0" applyFont="1" applyBorder="1" applyAlignment="1">
      <alignment horizontal="center" vertical="center" wrapText="1"/>
    </xf>
    <xf numFmtId="176" fontId="155" fillId="0" borderId="1" xfId="0" applyNumberFormat="1" applyFont="1" applyFill="1" applyBorder="1" applyAlignment="1">
      <alignment horizontal="center" vertical="center" wrapText="1"/>
    </xf>
    <xf numFmtId="188" fontId="155" fillId="0" borderId="1" xfId="0" applyNumberFormat="1" applyFont="1" applyFill="1" applyBorder="1" applyAlignment="1">
      <alignment horizontal="center" vertical="center" wrapText="1"/>
    </xf>
    <xf numFmtId="0" fontId="0" fillId="0" borderId="1" xfId="0" applyBorder="1" applyAlignment="1">
      <alignment horizontal="center" vertical="center" wrapText="1"/>
    </xf>
    <xf numFmtId="176" fontId="0" fillId="0" borderId="1" xfId="0" applyNumberFormat="1" applyFill="1" applyBorder="1" applyAlignment="1">
      <alignment horizontal="center" vertical="center" wrapText="1"/>
    </xf>
    <xf numFmtId="188" fontId="0" fillId="0" borderId="1" xfId="0" applyNumberFormat="1" applyFill="1" applyBorder="1" applyAlignment="1">
      <alignment horizontal="center" vertical="center" wrapText="1"/>
    </xf>
    <xf numFmtId="0" fontId="257" fillId="0" borderId="1" xfId="0" applyFont="1" applyBorder="1" applyAlignment="1">
      <alignment horizontal="center" vertical="center" wrapText="1"/>
    </xf>
    <xf numFmtId="186" fontId="202" fillId="0" borderId="1" xfId="0" applyNumberFormat="1" applyFont="1" applyFill="1" applyBorder="1" applyAlignment="1">
      <alignment horizontal="center" vertical="center" wrapText="1"/>
    </xf>
    <xf numFmtId="176" fontId="202" fillId="0" borderId="1" xfId="0" applyNumberFormat="1" applyFont="1" applyFill="1" applyBorder="1" applyAlignment="1">
      <alignment horizontal="center" vertical="center" wrapText="1"/>
    </xf>
    <xf numFmtId="176" fontId="0" fillId="5" borderId="1" xfId="0" applyNumberFormat="1" applyFill="1" applyBorder="1" applyAlignment="1">
      <alignment horizontal="center" vertical="center" wrapText="1"/>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7" fillId="5" borderId="1" xfId="0" applyFont="1" applyFill="1" applyBorder="1" applyAlignment="1" applyProtection="1">
      <alignment horizontal="center" vertical="center" wrapText="1"/>
      <protection locked="0"/>
    </xf>
    <xf numFmtId="0" fontId="133" fillId="6" borderId="23" xfId="0" applyFont="1" applyFill="1" applyBorder="1" applyProtection="1">
      <alignment vertical="center"/>
    </xf>
    <xf numFmtId="0" fontId="133" fillId="6" borderId="25"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3" xfId="0" applyFont="1" applyFill="1" applyBorder="1" applyAlignment="1" applyProtection="1">
      <alignment horizontal="lef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50" fillId="6" borderId="5"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5" fillId="6" borderId="47" xfId="0" applyFont="1" applyFill="1" applyBorder="1" applyAlignment="1" applyProtection="1">
      <alignment horizontal="center" vertical="center"/>
    </xf>
    <xf numFmtId="0" fontId="105"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08" fillId="6" borderId="1" xfId="0" applyFont="1" applyFill="1" applyBorder="1" applyAlignment="1" applyProtection="1">
      <alignment horizontal="center" vertical="center" wrapText="1"/>
    </xf>
    <xf numFmtId="192" fontId="134" fillId="6" borderId="1" xfId="0" applyNumberFormat="1"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34" fillId="6" borderId="1" xfId="0" applyFont="1" applyFill="1" applyBorder="1" applyAlignment="1" applyProtection="1">
      <alignment horizontal="center"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23"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86" fontId="254" fillId="0" borderId="1" xfId="0" applyNumberFormat="1" applyFont="1" applyFill="1" applyBorder="1" applyAlignment="1">
      <alignment horizontal="center"/>
    </xf>
    <xf numFmtId="186" fontId="255" fillId="0" borderId="1" xfId="0" applyNumberFormat="1" applyFont="1" applyFill="1" applyBorder="1" applyAlignment="1">
      <alignment horizontal="center"/>
    </xf>
    <xf numFmtId="186" fontId="0" fillId="0" borderId="1" xfId="0" applyNumberFormat="1" applyFill="1" applyBorder="1" applyAlignment="1">
      <alignment horizontal="center"/>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3">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209550</xdr:colOff>
      <xdr:row>32</xdr:row>
      <xdr:rowOff>114300</xdr:rowOff>
    </xdr:from>
    <xdr:to>
      <xdr:col>6</xdr:col>
      <xdr:colOff>647000</xdr:colOff>
      <xdr:row>58</xdr:row>
      <xdr:rowOff>47076</xdr:rowOff>
    </xdr:to>
    <xdr:pic>
      <xdr:nvPicPr>
        <xdr:cNvPr id="2" name="图片 1"/>
        <xdr:cNvPicPr>
          <a:picLocks noChangeAspect="1"/>
        </xdr:cNvPicPr>
      </xdr:nvPicPr>
      <xdr:blipFill>
        <a:blip xmlns:r="http://schemas.openxmlformats.org/officeDocument/2006/relationships" r:embed="rId1"/>
        <a:stretch>
          <a:fillRect/>
        </a:stretch>
      </xdr:blipFill>
      <xdr:spPr>
        <a:xfrm>
          <a:off x="209550" y="5600700"/>
          <a:ext cx="5600000" cy="4390476"/>
        </a:xfrm>
        <a:prstGeom prst="rect">
          <a:avLst/>
        </a:prstGeom>
      </xdr:spPr>
    </xdr:pic>
    <xdr:clientData/>
  </xdr:twoCellAnchor>
  <xdr:twoCellAnchor editAs="oneCell">
    <xdr:from>
      <xdr:col>8</xdr:col>
      <xdr:colOff>485775</xdr:colOff>
      <xdr:row>32</xdr:row>
      <xdr:rowOff>114300</xdr:rowOff>
    </xdr:from>
    <xdr:to>
      <xdr:col>16</xdr:col>
      <xdr:colOff>504174</xdr:colOff>
      <xdr:row>56</xdr:row>
      <xdr:rowOff>161405</xdr:rowOff>
    </xdr:to>
    <xdr:pic>
      <xdr:nvPicPr>
        <xdr:cNvPr id="3" name="图片 2"/>
        <xdr:cNvPicPr>
          <a:picLocks noChangeAspect="1"/>
        </xdr:cNvPicPr>
      </xdr:nvPicPr>
      <xdr:blipFill>
        <a:blip xmlns:r="http://schemas.openxmlformats.org/officeDocument/2006/relationships" r:embed="rId2"/>
        <a:stretch>
          <a:fillRect/>
        </a:stretch>
      </xdr:blipFill>
      <xdr:spPr>
        <a:xfrm>
          <a:off x="5972175" y="5600700"/>
          <a:ext cx="5209524" cy="4161905"/>
        </a:xfrm>
        <a:prstGeom prst="rect">
          <a:avLst/>
        </a:prstGeom>
      </xdr:spPr>
    </xdr:pic>
    <xdr:clientData/>
  </xdr:twoCellAnchor>
  <xdr:twoCellAnchor editAs="oneCell">
    <xdr:from>
      <xdr:col>0</xdr:col>
      <xdr:colOff>390525</xdr:colOff>
      <xdr:row>57</xdr:row>
      <xdr:rowOff>161772</xdr:rowOff>
    </xdr:from>
    <xdr:to>
      <xdr:col>6</xdr:col>
      <xdr:colOff>103598</xdr:colOff>
      <xdr:row>77</xdr:row>
      <xdr:rowOff>123008</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9934422"/>
          <a:ext cx="4875623" cy="3390236"/>
        </a:xfrm>
        <a:prstGeom prst="rect">
          <a:avLst/>
        </a:prstGeom>
      </xdr:spPr>
    </xdr:pic>
    <xdr:clientData/>
  </xdr:twoCellAnchor>
  <xdr:twoCellAnchor editAs="oneCell">
    <xdr:from>
      <xdr:col>0</xdr:col>
      <xdr:colOff>152400</xdr:colOff>
      <xdr:row>78</xdr:row>
      <xdr:rowOff>10634</xdr:rowOff>
    </xdr:from>
    <xdr:to>
      <xdr:col>8</xdr:col>
      <xdr:colOff>94228</xdr:colOff>
      <xdr:row>108</xdr:row>
      <xdr:rowOff>8714</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13383734"/>
          <a:ext cx="6475978" cy="5141580"/>
        </a:xfrm>
        <a:prstGeom prst="rect">
          <a:avLst/>
        </a:prstGeom>
      </xdr:spPr>
    </xdr:pic>
    <xdr:clientData/>
  </xdr:twoCellAnchor>
  <xdr:twoCellAnchor editAs="oneCell">
    <xdr:from>
      <xdr:col>0</xdr:col>
      <xdr:colOff>271002</xdr:colOff>
      <xdr:row>106</xdr:row>
      <xdr:rowOff>57149</xdr:rowOff>
    </xdr:from>
    <xdr:to>
      <xdr:col>8</xdr:col>
      <xdr:colOff>284607</xdr:colOff>
      <xdr:row>133</xdr:row>
      <xdr:rowOff>18248</xdr:rowOff>
    </xdr:to>
    <xdr:pic>
      <xdr:nvPicPr>
        <xdr:cNvPr id="6" name="图片 5"/>
        <xdr:cNvPicPr>
          <a:picLocks noChangeAspect="1"/>
        </xdr:cNvPicPr>
      </xdr:nvPicPr>
      <xdr:blipFill>
        <a:blip xmlns:r="http://schemas.openxmlformats.org/officeDocument/2006/relationships" r:embed="rId5"/>
        <a:stretch>
          <a:fillRect/>
        </a:stretch>
      </xdr:blipFill>
      <xdr:spPr>
        <a:xfrm>
          <a:off x="271002" y="18230849"/>
          <a:ext cx="6547755" cy="459024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21" sqref="B21"/>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江苏省泰州市泰兴市虹桥镇宏泰花苑商业1幢、2幢房地产抵押价值预评估</v>
      </c>
    </row>
    <row r="3" spans="1:2" s="1591" customFormat="1">
      <c r="A3" s="1589" t="s">
        <v>1217</v>
      </c>
      <c r="B3" s="1590" t="str">
        <f>'预评函-封皮'!B40</f>
        <v>泰兴市虹桥园工业开发有限公司</v>
      </c>
    </row>
    <row r="4" spans="1:2" s="1591" customFormat="1">
      <c r="A4" s="1589" t="s">
        <v>1218</v>
      </c>
      <c r="B4" s="1590" t="str">
        <f ca="1">'预评函-封皮'!B46</f>
        <v>郑燚（注册号：1120070131)、崔锴（注册号：1120100036)</v>
      </c>
    </row>
    <row r="5" spans="1:2" s="1585" customFormat="1" ht="15" thickBot="1">
      <c r="A5" s="1592" t="s">
        <v>1219</v>
      </c>
      <c r="B5" s="1593" t="str">
        <f>'预评函-封皮'!B49</f>
        <v>康正预评字2019-1-0549-P01DYGJ1号</v>
      </c>
    </row>
    <row r="6" spans="1:2" s="1588" customFormat="1" ht="15" thickTop="1">
      <c r="A6" s="1586" t="s">
        <v>1220</v>
      </c>
      <c r="B6" s="1587" t="str">
        <f>'预评函-1'!A4</f>
        <v>受贵公司委托，我公司对江苏省泰州市泰兴市虹桥镇宏泰花苑商业1幢、2幢房地产抵押价值进行了预评估。</v>
      </c>
    </row>
    <row r="7" spans="1:2" s="1591" customFormat="1">
      <c r="A7" s="1589" t="s">
        <v>1260</v>
      </c>
      <c r="B7" s="1590" t="str">
        <f>'预评函-1'!A7</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为估价委托人在向五矿信托办理贷款手续过程中，确定房地产抵押贷款额度提供参考依据而评估房地产抵押价值。</v>
      </c>
    </row>
    <row r="12" spans="1:2" s="1591" customFormat="1">
      <c r="A12" s="1589" t="s">
        <v>1222</v>
      </c>
      <c r="B12" s="1590" t="str">
        <f>'预评函-1'!A15</f>
        <v>2019年9月3日（评估专业人员实地查勘之日）</v>
      </c>
    </row>
    <row r="13" spans="1:2" s="1591" customFormat="1">
      <c r="A13" s="1589" t="s">
        <v>1223</v>
      </c>
      <c r="B13" s="1590" t="str">
        <f>'预评函-1'!A18</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4" spans="1:2" s="1591" customFormat="1">
      <c r="A14" s="1589" t="s">
        <v>1224</v>
      </c>
      <c r="B14" s="1590" t="str">
        <f>'预评函-1'!A19</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
      </c>
    </row>
    <row r="18" spans="1:2" s="1585" customFormat="1" ht="15" thickBot="1">
      <c r="A18" s="1592" t="s">
        <v>1228</v>
      </c>
      <c r="B18" s="1593" t="str">
        <f>'预评函-1'!A24</f>
        <v>本次评估采用的主估价方法为基准地价系数修正法和收益法。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4534</v>
      </c>
    </row>
    <row r="21" spans="1:2" s="1591" customFormat="1">
      <c r="A21" s="1589" t="s">
        <v>1231</v>
      </c>
      <c r="B21" s="1590">
        <f ca="1">'预评函-2'!D7</f>
        <v>11355</v>
      </c>
    </row>
    <row r="22" spans="1:2" s="1591" customFormat="1">
      <c r="A22" s="1589" t="s">
        <v>1232</v>
      </c>
      <c r="B22" s="1590" t="str">
        <f ca="1">'预评函-2'!D6</f>
        <v>肆仟伍佰叁拾肆万元整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4534</v>
      </c>
    </row>
    <row r="31" spans="1:2" s="1591" customFormat="1">
      <c r="A31" s="1589" t="s">
        <v>1270</v>
      </c>
      <c r="B31" s="1590">
        <f ca="1">'预评函-2'!D15</f>
        <v>11355</v>
      </c>
    </row>
    <row r="32" spans="1:2" s="1591" customFormat="1">
      <c r="A32" s="1589" t="s">
        <v>1237</v>
      </c>
      <c r="B32" s="1590" t="str">
        <f ca="1">'预评函-2'!D14</f>
        <v>肆仟伍佰叁拾肆万元整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江苏省泰州市泰兴市虹桥镇宏泰花苑商业1幢、2幢房地产</v>
      </c>
    </row>
    <row r="42" spans="1:2" s="1591" customFormat="1">
      <c r="A42" s="1589" t="s">
        <v>1284</v>
      </c>
      <c r="B42" s="1590" t="str">
        <f>'预评函-3'!B2</f>
        <v>建筑面积</v>
      </c>
    </row>
    <row r="43" spans="1:2" s="1591" customFormat="1">
      <c r="A43" s="1589" t="s">
        <v>1285</v>
      </c>
      <c r="B43" s="1590">
        <f>'预评函-3'!B4</f>
        <v>3992.9400000000005</v>
      </c>
    </row>
    <row r="44" spans="1:2" s="1591" customFormat="1">
      <c r="A44" s="1589" t="s">
        <v>1269</v>
      </c>
      <c r="B44" s="1590" t="str">
        <f>'预评函-3'!C2</f>
        <v>(分摊)土地面积</v>
      </c>
    </row>
    <row r="45" spans="1:2" s="1591" customFormat="1">
      <c r="A45" s="1589" t="s">
        <v>1241</v>
      </c>
      <c r="B45" s="1590">
        <f>'预评函-3'!C4</f>
        <v>0</v>
      </c>
    </row>
    <row r="46" spans="1:2" s="1591" customFormat="1">
      <c r="A46" s="1589" t="s">
        <v>1267</v>
      </c>
      <c r="B46" s="1590" t="str">
        <f>'预评函-3'!D2</f>
        <v>出让国有建设用地使用权价值</v>
      </c>
    </row>
    <row r="47" spans="1:2" s="1591" customFormat="1">
      <c r="A47" s="1589" t="s">
        <v>1242</v>
      </c>
      <c r="B47" s="1590">
        <f ca="1">'预评函-3'!D4</f>
        <v>2267</v>
      </c>
    </row>
    <row r="48" spans="1:2" s="1591" customFormat="1">
      <c r="A48" s="1589" t="s">
        <v>1243</v>
      </c>
      <c r="B48" s="1590">
        <f ca="1">'预评函-3'!E4</f>
        <v>5677</v>
      </c>
    </row>
    <row r="49" spans="1:2" s="1591" customFormat="1">
      <c r="A49" s="1589" t="s">
        <v>1244</v>
      </c>
      <c r="B49" s="1590" t="str">
        <f ca="1">'预评函-3'!D5</f>
        <v>贰仟贰佰陆拾柒万元整</v>
      </c>
    </row>
    <row r="50" spans="1:2" s="1591" customFormat="1">
      <c r="A50" s="1589" t="s">
        <v>1268</v>
      </c>
      <c r="B50" s="1590" t="str">
        <f>'预评函-3'!F2</f>
        <v>在建建筑物价值</v>
      </c>
    </row>
    <row r="51" spans="1:2" s="1591" customFormat="1">
      <c r="A51" s="1589" t="s">
        <v>1245</v>
      </c>
      <c r="B51" s="1590">
        <f ca="1">'预评函-3'!F4</f>
        <v>2267</v>
      </c>
    </row>
    <row r="52" spans="1:2" s="1591" customFormat="1">
      <c r="A52" s="1589" t="s">
        <v>1246</v>
      </c>
      <c r="B52" s="1590">
        <f ca="1">'预评函-3'!G4</f>
        <v>5678</v>
      </c>
    </row>
    <row r="53" spans="1:2" s="1591" customFormat="1">
      <c r="A53" s="1589" t="s">
        <v>1274</v>
      </c>
      <c r="B53" s="1590" t="str">
        <f ca="1">'预评函-3'!F5</f>
        <v>贰仟贰佰陆拾柒万元整</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v>
      </c>
    </row>
    <row r="67" spans="1:2" s="1591" customFormat="1">
      <c r="A67" s="1589" t="s">
        <v>1265</v>
      </c>
      <c r="B67" s="1590" t="str">
        <f>'预评函-4'!A21</f>
        <v>——</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崔锴</v>
      </c>
    </row>
    <row r="73" spans="1:2" s="1585" customFormat="1" ht="15" thickBot="1">
      <c r="A73" s="1592" t="s">
        <v>1259</v>
      </c>
      <c r="B73" s="1593">
        <f ca="1">'预评函-4'!B5</f>
        <v>1120100036</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28" t="str">
        <f>项目基本情况!B1</f>
        <v>江苏省泰州市泰兴市虹桥镇宏泰花苑商业1幢、2幢房地产抵押价值预评估</v>
      </c>
      <c r="C37" s="3028"/>
      <c r="D37" s="3028"/>
      <c r="E37" s="3028"/>
      <c r="F37" s="3028"/>
      <c r="G37" s="3028"/>
      <c r="H37" s="3028"/>
      <c r="I37" s="3028"/>
    </row>
    <row r="38" spans="1:9">
      <c r="A38" s="1015"/>
      <c r="B38" s="1015"/>
    </row>
    <row r="39" spans="1:9">
      <c r="A39" s="1013" t="s">
        <v>818</v>
      </c>
      <c r="B39" s="1013" t="s">
        <v>820</v>
      </c>
    </row>
    <row r="40" spans="1:9">
      <c r="A40" s="1013"/>
      <c r="B40" s="1939" t="str">
        <f>项目基本情况!B5</f>
        <v>泰兴市虹桥园工业开发有限公司</v>
      </c>
    </row>
    <row r="41" spans="1:9">
      <c r="A41" s="1013"/>
      <c r="B41" s="1013"/>
    </row>
    <row r="42" spans="1:9">
      <c r="A42" s="1013" t="s">
        <v>818</v>
      </c>
      <c r="B42" s="1013" t="s">
        <v>821</v>
      </c>
    </row>
    <row r="43" spans="1:9">
      <c r="A43" s="1013"/>
      <c r="B43" s="1939" t="s">
        <v>822</v>
      </c>
    </row>
    <row r="44" spans="1:9">
      <c r="A44" s="1013"/>
      <c r="B44" s="1013"/>
    </row>
    <row r="45" spans="1:9">
      <c r="A45" s="1013" t="s">
        <v>818</v>
      </c>
      <c r="B45" s="1013" t="s">
        <v>823</v>
      </c>
    </row>
    <row r="46" spans="1:9" s="1013" customFormat="1" ht="12.75">
      <c r="B46" s="1939" t="str">
        <f ca="1">项目基本情况!K4</f>
        <v>郑燚（注册号：1120070131)、崔锴（注册号：1120100036)</v>
      </c>
    </row>
    <row r="47" spans="1:9">
      <c r="A47" s="1013"/>
      <c r="B47" s="1013" t="str">
        <f>项目基本情况!K5</f>
        <v/>
      </c>
    </row>
    <row r="48" spans="1:9">
      <c r="A48" s="1013" t="s">
        <v>818</v>
      </c>
      <c r="B48" s="1013" t="s">
        <v>824</v>
      </c>
    </row>
    <row r="49" spans="2:2">
      <c r="B49" s="1939" t="str">
        <f>"康正预评字"&amp;项目基本情况!B2&amp;"号"</f>
        <v>康正预评字2019-1-0549-P01DYGJ1号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2" customWidth="1"/>
    <col min="2" max="16384" width="9" style="1942"/>
  </cols>
  <sheetData>
    <row r="1" spans="1:1" ht="23.25">
      <c r="A1" s="1941" t="s">
        <v>1606</v>
      </c>
    </row>
    <row r="2" spans="1:1">
      <c r="A2" s="1943"/>
    </row>
    <row r="3" spans="1:1" ht="18">
      <c r="A3" s="1944" t="str">
        <f>项目基本情况!B5&amp;"："</f>
        <v>泰兴市虹桥园工业开发有限公司：</v>
      </c>
    </row>
    <row r="4" spans="1:1" ht="36">
      <c r="A4" s="1945" t="str">
        <f>"受贵公司委托，我公司对"&amp;项目基本情况!S1&amp;"进行了预评估。"</f>
        <v>受贵公司委托，我公司对江苏省泰州市泰兴市虹桥镇宏泰花苑商业1幢、2幢房地产抵押价值进行了预评估。</v>
      </c>
    </row>
    <row r="5" spans="1:1" ht="18.75">
      <c r="A5" s="1946" t="s">
        <v>1607</v>
      </c>
    </row>
    <row r="6" spans="1:1" ht="18.75">
      <c r="A6" s="1947" t="s">
        <v>1608</v>
      </c>
    </row>
    <row r="7" spans="1:1" ht="54">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1" ht="57.75">
      <c r="A8" s="1948" t="s">
        <v>1609</v>
      </c>
    </row>
    <row r="9" spans="1:1" ht="18.75">
      <c r="A9" s="1947" t="s">
        <v>1610</v>
      </c>
    </row>
    <row r="10" spans="1:1" ht="72">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1" spans="1:1" ht="76.5">
      <c r="A11" s="1948" t="s">
        <v>1611</v>
      </c>
    </row>
    <row r="12" spans="1:1" ht="18.75">
      <c r="A12" s="1946" t="s">
        <v>1612</v>
      </c>
    </row>
    <row r="13" spans="1:1" ht="38.25" customHeight="1">
      <c r="A13" s="1949" t="str">
        <f>IF(项目基本情况!B8="抵押",IF(项目基本情况!B5=项目基本情况!B6,定义!C51,定义!B51),定义!D51)</f>
        <v>为估价委托人在向五矿信托办理贷款手续过程中，确定房地产抵押贷款额度提供参考依据而评估房地产抵押价值。</v>
      </c>
    </row>
    <row r="14" spans="1:1" ht="18.75">
      <c r="A14" s="1950" t="s">
        <v>1613</v>
      </c>
    </row>
    <row r="15" spans="1:1" ht="18">
      <c r="A15" s="1951" t="str">
        <f>TEXT(项目基本情况!D3,"yyyy年m月d日;;")&amp;IF(项目基本情况!D3=项目基本情况!B3,"（评估专业人员实地查勘之日）","")</f>
        <v>2019年9月3日（评估专业人员实地查勘之日）</v>
      </c>
    </row>
    <row r="16" spans="1:1" ht="18.75">
      <c r="A16" s="1950" t="s">
        <v>1614</v>
      </c>
    </row>
    <row r="17" spans="1:1" ht="75">
      <c r="A17" s="1945" t="s">
        <v>1615</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5" t="str">
        <f>IF(项目基本情况!B9="房地产市场价值","——",IF(项目基本情况!E9="——","",定义!C57))</f>
        <v/>
      </c>
    </row>
    <row r="23" spans="1:1" ht="18.75">
      <c r="A23" s="1950" t="s">
        <v>1604</v>
      </c>
    </row>
    <row r="24" spans="1:1" ht="18">
      <c r="A24" s="1952" t="str">
        <f>"本次评估采用的主估价方法为"&amp;结果表!K4&amp;"和"&amp;结果表!L4&amp;"。"</f>
        <v>本次评估采用的主估价方法为基准地价系数修正法和收益法。</v>
      </c>
    </row>
    <row r="25" spans="1:1" ht="18">
      <c r="A25" s="1952"/>
    </row>
    <row r="26" spans="1:1" ht="18.75">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1616</v>
      </c>
      <c r="B1" s="1956"/>
      <c r="C1" s="1956"/>
      <c r="D1" s="1956"/>
      <c r="E1" s="1956"/>
    </row>
    <row r="2" spans="1:5" ht="78" customHeight="1">
      <c r="A2" s="303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33"/>
      <c r="C2" s="3033"/>
      <c r="D2" s="3033"/>
      <c r="E2" s="3033"/>
    </row>
    <row r="3" spans="1:5" ht="18">
      <c r="A3" s="3034" t="str">
        <f>IF(项目基本情况!B9="房地产市场价值","估价结果一览表（市场价值不需“结果表-1”）","估价结果一览表")</f>
        <v>估价结果一览表</v>
      </c>
      <c r="B3" s="3034"/>
      <c r="C3" s="3034"/>
      <c r="D3" s="3034"/>
      <c r="E3" s="3034"/>
    </row>
    <row r="4" spans="1:5" ht="19.5" thickBot="1">
      <c r="A4" s="1958"/>
      <c r="B4" s="3032" t="s">
        <v>1625</v>
      </c>
      <c r="C4" s="3032"/>
      <c r="D4" s="3032"/>
      <c r="E4" s="1958"/>
    </row>
    <row r="5" spans="1:5" ht="16.5" thickTop="1">
      <c r="A5" s="1956"/>
      <c r="B5" s="3030" t="s">
        <v>1617</v>
      </c>
      <c r="C5" s="1959" t="s">
        <v>1618</v>
      </c>
      <c r="D5" s="1038">
        <f ca="1">结果表!H101</f>
        <v>4534</v>
      </c>
      <c r="E5" s="1956"/>
    </row>
    <row r="6" spans="1:5" ht="15.75">
      <c r="A6" s="1956"/>
      <c r="B6" s="3030"/>
      <c r="C6" s="1959" t="s">
        <v>1619</v>
      </c>
      <c r="D6" s="1038" t="str">
        <f ca="1">NUMBERSTRING(INT(D5*10000),2)&amp;"元整"</f>
        <v>肆仟伍佰叁拾肆万元整</v>
      </c>
      <c r="E6" s="1956"/>
    </row>
    <row r="7" spans="1:5" ht="15.75">
      <c r="A7" s="1956"/>
      <c r="B7" s="3035"/>
      <c r="C7" s="1960" t="s">
        <v>1620</v>
      </c>
      <c r="D7" s="1039">
        <f ca="1">结果表!H102</f>
        <v>11355</v>
      </c>
      <c r="E7" s="1956"/>
    </row>
    <row r="8" spans="1:5" ht="15.75">
      <c r="A8" s="1956"/>
      <c r="B8" s="3036" t="str">
        <f>结果表!E103</f>
        <v>2.估价师知悉的法定优先受偿款</v>
      </c>
      <c r="C8" s="1961" t="s">
        <v>1621</v>
      </c>
      <c r="D8" s="1039">
        <f>结果表!H103</f>
        <v>0</v>
      </c>
      <c r="E8" s="1956"/>
    </row>
    <row r="9" spans="1:5" ht="15.75">
      <c r="A9" s="1956"/>
      <c r="B9" s="3038"/>
      <c r="C9" s="1959" t="s">
        <v>1619</v>
      </c>
      <c r="D9" s="1038" t="str">
        <f>NUMBERSTRING(INT(D8*10000),2)&amp;"元整"</f>
        <v>零元整</v>
      </c>
      <c r="E9" s="1956"/>
    </row>
    <row r="10" spans="1:5" ht="15">
      <c r="A10" s="1956"/>
      <c r="B10" s="1962" t="s">
        <v>1624</v>
      </c>
      <c r="C10" s="1963" t="s">
        <v>1622</v>
      </c>
      <c r="D10" s="1040">
        <f>结果表!H104</f>
        <v>0</v>
      </c>
      <c r="E10" s="1956"/>
    </row>
    <row r="11" spans="1:5" ht="15">
      <c r="A11" s="1956"/>
      <c r="B11" s="1962" t="s">
        <v>1626</v>
      </c>
      <c r="C11" s="1963" t="s">
        <v>1627</v>
      </c>
      <c r="D11" s="1040">
        <f>结果表!H105</f>
        <v>0</v>
      </c>
      <c r="E11" s="1956"/>
    </row>
    <row r="12" spans="1:5" ht="15">
      <c r="A12" s="1956"/>
      <c r="B12" s="1962" t="s">
        <v>1628</v>
      </c>
      <c r="C12" s="1963" t="s">
        <v>1627</v>
      </c>
      <c r="D12" s="1040">
        <f>结果表!H106</f>
        <v>0</v>
      </c>
      <c r="E12" s="1956"/>
    </row>
    <row r="13" spans="1:5" ht="15.75">
      <c r="A13" s="1956"/>
      <c r="B13" s="3029" t="str">
        <f>结果表!E107</f>
        <v>3.房地产抵押价值</v>
      </c>
      <c r="C13" s="1964" t="s">
        <v>1618</v>
      </c>
      <c r="D13" s="1041">
        <f ca="1">结果表!H107</f>
        <v>4534</v>
      </c>
      <c r="E13" s="1956"/>
    </row>
    <row r="14" spans="1:5" ht="15.75">
      <c r="A14" s="1956"/>
      <c r="B14" s="3030"/>
      <c r="C14" s="1959" t="s">
        <v>1619</v>
      </c>
      <c r="D14" s="1038" t="str">
        <f ca="1">NUMBERSTRING(INT(D13*10000),2)&amp;"元整"</f>
        <v>肆仟伍佰叁拾肆万元整</v>
      </c>
      <c r="E14" s="1956"/>
    </row>
    <row r="15" spans="1:5" ht="15">
      <c r="A15" s="1956"/>
      <c r="B15" s="3035"/>
      <c r="C15" s="1960" t="s">
        <v>1629</v>
      </c>
      <c r="D15" s="1050">
        <f ca="1">结果表!H108</f>
        <v>11355</v>
      </c>
      <c r="E15" s="1956"/>
    </row>
    <row r="16" spans="1:5" ht="15">
      <c r="A16" s="1956"/>
      <c r="B16" s="3036" t="str">
        <f>结果表!E109</f>
        <v>——</v>
      </c>
      <c r="C16" s="1964" t="s">
        <v>1630</v>
      </c>
      <c r="D16" s="1965" t="str">
        <f>结果表!H109</f>
        <v>——</v>
      </c>
      <c r="E16" s="1956"/>
    </row>
    <row r="17" spans="1:5" ht="15.75">
      <c r="A17" s="1956"/>
      <c r="B17" s="3037"/>
      <c r="C17" s="1959" t="s">
        <v>1631</v>
      </c>
      <c r="D17" s="1038" t="e">
        <f>NUMBERSTRING(INT(D16*10000),2)&amp;"元整"</f>
        <v>#VALUE!</v>
      </c>
      <c r="E17" s="1956"/>
    </row>
    <row r="18" spans="1:5" ht="15">
      <c r="A18" s="1956"/>
      <c r="B18" s="3038"/>
      <c r="C18" s="1960" t="s">
        <v>1620</v>
      </c>
      <c r="D18" s="1050" t="str">
        <f>结果表!H110</f>
        <v>——</v>
      </c>
      <c r="E18" s="1956"/>
    </row>
    <row r="19" spans="1:5" ht="15.75">
      <c r="A19" s="1956"/>
      <c r="B19" s="3029" t="str">
        <f>结果表!E111</f>
        <v>——</v>
      </c>
      <c r="C19" s="1964" t="s">
        <v>1618</v>
      </c>
      <c r="D19" s="1039" t="str">
        <f>结果表!H111</f>
        <v>——</v>
      </c>
      <c r="E19" s="1956"/>
    </row>
    <row r="20" spans="1:5" ht="15.75">
      <c r="A20" s="1956"/>
      <c r="B20" s="3030"/>
      <c r="C20" s="1959" t="s">
        <v>1631</v>
      </c>
      <c r="D20" s="1038" t="e">
        <f>NUMBERSTRING(INT(D19*10000),2)&amp;"元整"</f>
        <v>#VALUE!</v>
      </c>
      <c r="E20" s="1956"/>
    </row>
    <row r="21" spans="1:5" ht="15.75" thickBot="1">
      <c r="A21" s="1956"/>
      <c r="B21" s="3031"/>
      <c r="C21" s="1966" t="s">
        <v>1629</v>
      </c>
      <c r="D21" s="1051" t="str">
        <f>结果表!H112</f>
        <v>——</v>
      </c>
      <c r="E21" s="1956"/>
    </row>
    <row r="22" spans="1:5" ht="15" thickTop="1">
      <c r="A22" s="1956"/>
      <c r="B22" s="1967" t="s">
        <v>1632</v>
      </c>
      <c r="C22" s="1956"/>
      <c r="D22" s="1956"/>
      <c r="E22" s="1956"/>
    </row>
    <row r="23" spans="1:5">
      <c r="A23" s="1956"/>
      <c r="B23" s="1956"/>
      <c r="C23" s="1956"/>
      <c r="D23" s="1956"/>
      <c r="E23" s="1956"/>
    </row>
    <row r="24" spans="1:5" ht="18.75">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2" customWidth="1"/>
    <col min="2" max="9" width="12.125" style="1942" customWidth="1"/>
    <col min="10" max="16384" width="9" style="1942"/>
  </cols>
  <sheetData>
    <row r="1" spans="1:9" ht="18.75" thickBot="1">
      <c r="A1" s="3048" t="str">
        <f>IF(项目基本情况!B9="房地产市场价值","估价结果一览表","结果表-2")</f>
        <v>结果表-2</v>
      </c>
      <c r="B1" s="3048"/>
      <c r="C1" s="3048"/>
      <c r="D1" s="3048"/>
      <c r="E1" s="3048"/>
      <c r="F1" s="3048"/>
      <c r="G1" s="3048"/>
      <c r="H1" s="3048"/>
      <c r="I1" s="3048"/>
    </row>
    <row r="2" spans="1:9" ht="30" customHeight="1" thickTop="1">
      <c r="A2" s="3049" t="s">
        <v>1636</v>
      </c>
      <c r="B2" s="3049" t="s">
        <v>1637</v>
      </c>
      <c r="C2" s="3049" t="s">
        <v>1638</v>
      </c>
      <c r="D2" s="3049" t="str">
        <f>结果表!D116</f>
        <v>出让国有建设用地使用权价值</v>
      </c>
      <c r="E2" s="3049"/>
      <c r="F2" s="3049" t="str">
        <f>结果表!F116</f>
        <v>在建建筑物价值</v>
      </c>
      <c r="G2" s="3049"/>
      <c r="H2" s="3049" t="str">
        <f>IF(项目基本情况!B9="房地产市场价值","房地产市场价值","房地产价值")</f>
        <v>房地产价值</v>
      </c>
      <c r="I2" s="3049"/>
    </row>
    <row r="3" spans="1:9" ht="15">
      <c r="A3" s="3043"/>
      <c r="B3" s="3043"/>
      <c r="C3" s="3043"/>
      <c r="D3" s="1042" t="s">
        <v>1633</v>
      </c>
      <c r="E3" s="1042" t="s">
        <v>1639</v>
      </c>
      <c r="F3" s="1042" t="s">
        <v>1633</v>
      </c>
      <c r="G3" s="1042" t="s">
        <v>1634</v>
      </c>
      <c r="H3" s="1042" t="s">
        <v>1633</v>
      </c>
      <c r="I3" s="1042" t="s">
        <v>1634</v>
      </c>
    </row>
    <row r="4" spans="1:9" ht="30">
      <c r="A4" s="1970" t="str">
        <f>项目基本情况!S2</f>
        <v>江苏省泰州市泰兴市虹桥镇宏泰花苑商业1幢、2幢房地产</v>
      </c>
      <c r="B4" s="1042">
        <f>项目基本情况!C17</f>
        <v>3992.9400000000005</v>
      </c>
      <c r="C4" s="1042">
        <f>项目基本情况!C18</f>
        <v>0</v>
      </c>
      <c r="D4" s="1042">
        <f ca="1">结果表!D118</f>
        <v>2267</v>
      </c>
      <c r="E4" s="1042">
        <f ca="1">结果表!E118</f>
        <v>5677</v>
      </c>
      <c r="F4" s="1042">
        <f ca="1">结果表!F118</f>
        <v>2267</v>
      </c>
      <c r="G4" s="1042">
        <f ca="1">结果表!G118</f>
        <v>5678</v>
      </c>
      <c r="H4" s="1042">
        <f ca="1">结果表!H118</f>
        <v>4534</v>
      </c>
      <c r="I4" s="1042">
        <f ca="1">结果表!I118</f>
        <v>11355</v>
      </c>
    </row>
    <row r="5" spans="1:9" ht="30" customHeight="1">
      <c r="A5" s="3043" t="s">
        <v>1635</v>
      </c>
      <c r="B5" s="3043"/>
      <c r="C5" s="3043"/>
      <c r="D5" s="3044" t="str">
        <f ca="1">结果表!D119</f>
        <v>贰仟贰佰陆拾柒万元整</v>
      </c>
      <c r="E5" s="3044"/>
      <c r="F5" s="3044" t="str">
        <f ca="1">结果表!F119</f>
        <v>贰仟贰佰陆拾柒万元整</v>
      </c>
      <c r="G5" s="3044"/>
      <c r="H5" s="3044" t="str">
        <f ca="1">结果表!H119</f>
        <v>肆仟伍佰叁拾肆万元整</v>
      </c>
      <c r="I5" s="3044"/>
    </row>
    <row r="6" spans="1:9" ht="15.75">
      <c r="A6" s="3042" t="str">
        <f>结果表!A120</f>
        <v>估价师知悉的法定优先受偿款</v>
      </c>
      <c r="B6" s="3042"/>
      <c r="C6" s="3042"/>
      <c r="D6" s="3042">
        <f>结果表!D120</f>
        <v>0</v>
      </c>
      <c r="E6" s="3042"/>
      <c r="F6" s="3042"/>
      <c r="G6" s="3042"/>
      <c r="H6" s="3042"/>
      <c r="I6" s="3042"/>
    </row>
    <row r="7" spans="1:9" ht="15">
      <c r="A7" s="3043" t="s">
        <v>1635</v>
      </c>
      <c r="B7" s="3043"/>
      <c r="C7" s="3043"/>
      <c r="D7" s="3045" t="str">
        <f>结果表!D121</f>
        <v>零元整</v>
      </c>
      <c r="E7" s="3046"/>
      <c r="F7" s="3046"/>
      <c r="G7" s="3046"/>
      <c r="H7" s="3046"/>
      <c r="I7" s="3047"/>
    </row>
    <row r="8" spans="1:9" ht="15.75">
      <c r="A8" s="3042" t="str">
        <f>结果表!A122</f>
        <v>房地产抵押价值</v>
      </c>
      <c r="B8" s="3042"/>
      <c r="C8" s="3042"/>
      <c r="D8" s="3042">
        <f ca="1">结果表!D122</f>
        <v>4534</v>
      </c>
      <c r="E8" s="3042"/>
      <c r="F8" s="3042"/>
      <c r="G8" s="3042"/>
      <c r="H8" s="3042"/>
      <c r="I8" s="3042"/>
    </row>
    <row r="9" spans="1:9" ht="15">
      <c r="A9" s="3043" t="s">
        <v>1635</v>
      </c>
      <c r="B9" s="3043"/>
      <c r="C9" s="3043"/>
      <c r="D9" s="3044" t="str">
        <f ca="1">结果表!D123</f>
        <v>肆仟伍佰叁拾肆万元整</v>
      </c>
      <c r="E9" s="3044"/>
      <c r="F9" s="3044"/>
      <c r="G9" s="3044"/>
      <c r="H9" s="3044"/>
      <c r="I9" s="3044"/>
    </row>
    <row r="10" spans="1:9" ht="15.75">
      <c r="A10" s="3042" t="str">
        <f>结果表!A124</f>
        <v/>
      </c>
      <c r="B10" s="3042"/>
      <c r="C10" s="3042"/>
      <c r="D10" s="3042" t="str">
        <f>结果表!D124</f>
        <v>——</v>
      </c>
      <c r="E10" s="3042"/>
      <c r="F10" s="3042"/>
      <c r="G10" s="3042"/>
      <c r="H10" s="3042"/>
      <c r="I10" s="3042"/>
    </row>
    <row r="11" spans="1:9" ht="15">
      <c r="A11" s="3043" t="s">
        <v>1635</v>
      </c>
      <c r="B11" s="3043"/>
      <c r="C11" s="3043"/>
      <c r="D11" s="3044" t="e">
        <f>结果表!D125</f>
        <v>#VALUE!</v>
      </c>
      <c r="E11" s="3044"/>
      <c r="F11" s="3044"/>
      <c r="G11" s="3044"/>
      <c r="H11" s="3044"/>
      <c r="I11" s="3044"/>
    </row>
    <row r="12" spans="1:9" ht="15.75">
      <c r="A12" s="3042" t="str">
        <f>结果表!A126</f>
        <v/>
      </c>
      <c r="B12" s="3042"/>
      <c r="C12" s="3042"/>
      <c r="D12" s="3042" t="str">
        <f>结果表!D126</f>
        <v>——</v>
      </c>
      <c r="E12" s="3042"/>
      <c r="F12" s="3042"/>
      <c r="G12" s="3042"/>
      <c r="H12" s="3042"/>
      <c r="I12" s="3042"/>
    </row>
    <row r="13" spans="1:9" ht="15.75" thickBot="1">
      <c r="A13" s="3039" t="s">
        <v>1635</v>
      </c>
      <c r="B13" s="3039"/>
      <c r="C13" s="3039"/>
      <c r="D13" s="3040" t="e">
        <f>结果表!D127</f>
        <v>#VALUE!</v>
      </c>
      <c r="E13" s="3040"/>
      <c r="F13" s="3040"/>
      <c r="G13" s="3040"/>
      <c r="H13" s="3040"/>
      <c r="I13" s="3040"/>
    </row>
    <row r="14" spans="1:9" ht="15" thickTop="1">
      <c r="A14" s="3041" t="s">
        <v>1640</v>
      </c>
      <c r="B14" s="3041"/>
      <c r="C14" s="3041"/>
      <c r="D14" s="3041"/>
      <c r="E14" s="3041"/>
      <c r="F14" s="3041"/>
      <c r="G14" s="3041"/>
      <c r="H14" s="3041"/>
      <c r="I14" s="3041"/>
    </row>
    <row r="16" spans="1:9" ht="18.75">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2" customWidth="1"/>
    <col min="2" max="3" width="22.375" style="1942" customWidth="1"/>
    <col min="4" max="4" width="23" style="1942" customWidth="1"/>
    <col min="5" max="16384" width="9" style="1942"/>
  </cols>
  <sheetData>
    <row r="1" spans="1:4" ht="18.75">
      <c r="A1" s="3056" t="s">
        <v>1657</v>
      </c>
      <c r="B1" s="3056"/>
      <c r="C1" s="3056"/>
      <c r="D1" s="3056"/>
    </row>
    <row r="2" spans="1:4" ht="18">
      <c r="A2" s="3057" t="s">
        <v>1641</v>
      </c>
      <c r="B2" s="3057"/>
      <c r="C2" s="3057"/>
      <c r="D2" s="3057"/>
    </row>
    <row r="3" spans="1:4" ht="18.75">
      <c r="A3" s="1974" t="s">
        <v>1642</v>
      </c>
      <c r="B3" s="1974" t="s">
        <v>1643</v>
      </c>
      <c r="C3" s="1974" t="s">
        <v>1644</v>
      </c>
      <c r="D3" s="1974" t="s">
        <v>1645</v>
      </c>
    </row>
    <row r="4" spans="1:4" ht="56.25" customHeight="1">
      <c r="A4" s="1975" t="str">
        <f>项目基本情况!B4</f>
        <v>郑燚</v>
      </c>
      <c r="B4" s="1976">
        <f ca="1">项目基本情况!C4</f>
        <v>1120070131</v>
      </c>
      <c r="C4" s="1977"/>
      <c r="D4" s="1978" t="s">
        <v>1646</v>
      </c>
    </row>
    <row r="5" spans="1:4" ht="56.25" customHeight="1">
      <c r="A5" s="1975" t="str">
        <f>项目基本情况!D4</f>
        <v>崔锴</v>
      </c>
      <c r="B5" s="1976">
        <f ca="1">项目基本情况!E4</f>
        <v>1120100036</v>
      </c>
      <c r="C5" s="1979"/>
      <c r="D5" s="1978" t="s">
        <v>1646</v>
      </c>
    </row>
    <row r="6" spans="1:4" ht="18">
      <c r="A6" s="3057" t="s">
        <v>1647</v>
      </c>
      <c r="B6" s="3057"/>
      <c r="C6" s="3057"/>
      <c r="D6" s="3057"/>
    </row>
    <row r="7" spans="1:4" ht="18.75">
      <c r="A7" s="1974" t="s">
        <v>1642</v>
      </c>
      <c r="B7" s="1976" t="s">
        <v>1648</v>
      </c>
      <c r="C7" s="1974" t="s">
        <v>1644</v>
      </c>
      <c r="D7" s="1974" t="s">
        <v>1645</v>
      </c>
    </row>
    <row r="8" spans="1:4" ht="56.25" customHeight="1">
      <c r="A8" s="1980" t="s">
        <v>866</v>
      </c>
      <c r="B8" s="1980" t="s">
        <v>1</v>
      </c>
      <c r="C8" s="1977"/>
      <c r="D8" s="1978" t="s">
        <v>1646</v>
      </c>
    </row>
    <row r="9" spans="1:4">
      <c r="A9" s="727"/>
      <c r="B9" s="727"/>
      <c r="C9" s="727"/>
      <c r="D9" s="727"/>
    </row>
    <row r="10" spans="1:4" ht="18.75">
      <c r="A10" s="1981" t="s">
        <v>1649</v>
      </c>
      <c r="B10" s="727"/>
      <c r="C10" s="727"/>
      <c r="D10" s="727"/>
    </row>
    <row r="11" spans="1:4" ht="30" customHeight="1">
      <c r="A11" s="3058" t="s">
        <v>1650</v>
      </c>
      <c r="B11" s="3050"/>
      <c r="C11" s="3050"/>
      <c r="D11" s="3050"/>
    </row>
    <row r="12" spans="1:4" ht="15.75">
      <c r="A12" s="305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55"/>
      <c r="C12" s="3055"/>
      <c r="D12" s="3055"/>
    </row>
    <row r="13" spans="1:4" ht="30" customHeight="1">
      <c r="A13" s="305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55"/>
      <c r="C13" s="3055"/>
      <c r="D13" s="3055"/>
    </row>
    <row r="14" spans="1:4" ht="15.75" customHeight="1">
      <c r="A14" s="3050" t="str">
        <f>IF(项目基本情况!B8="抵押","4.本次评估估价师所知悉的法定优先受偿款情况说明如下：","——")</f>
        <v>4.本次评估估价师所知悉的法定优先受偿款情况说明如下：</v>
      </c>
      <c r="B14" s="3055"/>
      <c r="C14" s="3055"/>
      <c r="D14" s="3055"/>
    </row>
    <row r="15" spans="1:4" ht="42" customHeight="1">
      <c r="A15" s="305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50"/>
      <c r="C15" s="3050"/>
      <c r="D15" s="3050"/>
    </row>
    <row r="16" spans="1:4" ht="30" customHeight="1">
      <c r="A16" s="3052" t="s">
        <v>1651</v>
      </c>
      <c r="B16" s="3052"/>
      <c r="C16" s="3052"/>
      <c r="D16" s="3052"/>
    </row>
    <row r="17" spans="1:4" ht="144" customHeight="1">
      <c r="A17" s="3052" t="s">
        <v>1652</v>
      </c>
      <c r="B17" s="3052"/>
      <c r="C17" s="3052"/>
      <c r="D17" s="3052"/>
    </row>
    <row r="18" spans="1:4" ht="15.75" customHeight="1">
      <c r="A18" s="3050" t="str">
        <f>IF(项目基本情况!B8="抵押",结果表!K120,"——")</f>
        <v>故，本次评估不存在估价师知悉的法定优先受偿款</v>
      </c>
      <c r="B18" s="3050"/>
      <c r="C18" s="3050"/>
      <c r="D18" s="3050"/>
    </row>
    <row r="19" spans="1:4" ht="46.5" customHeight="1">
      <c r="A19" s="305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50"/>
      <c r="C19" s="3050"/>
      <c r="D19" s="3050"/>
    </row>
    <row r="20" spans="1:4" ht="57.75" customHeight="1">
      <c r="A20" s="305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50"/>
      <c r="C20" s="3050"/>
      <c r="D20" s="3050"/>
    </row>
    <row r="21" spans="1:4" ht="57.75" customHeight="1">
      <c r="A21" s="305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53"/>
      <c r="C21" s="3053"/>
      <c r="D21" s="3053"/>
    </row>
    <row r="22" spans="1:4" ht="18.75" customHeight="1">
      <c r="A22" s="3054" t="s">
        <v>1653</v>
      </c>
      <c r="B22" s="3054"/>
      <c r="C22" s="3054"/>
      <c r="D22" s="3054"/>
    </row>
    <row r="23" spans="1:4">
      <c r="A23" s="1982"/>
      <c r="B23" s="1954"/>
      <c r="C23" s="1954"/>
      <c r="D23" s="1954"/>
    </row>
    <row r="24" spans="1:4">
      <c r="A24" s="1982"/>
      <c r="B24" s="1954"/>
      <c r="C24" s="1954"/>
      <c r="D24" s="1954"/>
    </row>
    <row r="25" spans="1:4" ht="18.75">
      <c r="A25" s="1983" t="s">
        <v>1654</v>
      </c>
    </row>
    <row r="26" spans="1:4" ht="18">
      <c r="A26" s="1952"/>
    </row>
    <row r="27" spans="1:4" ht="18.75">
      <c r="A27" s="1952" t="s">
        <v>1655</v>
      </c>
    </row>
    <row r="30" spans="1:4" ht="18.75">
      <c r="D30" s="1983" t="s">
        <v>1656</v>
      </c>
    </row>
    <row r="31" spans="1:4" ht="13.5" customHeight="1">
      <c r="C31" s="3051">
        <v>42551</v>
      </c>
      <c r="D31" s="305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0" customWidth="1"/>
    <col min="3" max="10" width="12.5" style="1940" customWidth="1"/>
    <col min="11" max="16384" width="9" style="1940"/>
  </cols>
  <sheetData>
    <row r="1" spans="1:10" ht="18.75">
      <c r="A1" s="1973" t="s">
        <v>867</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0" customWidth="1"/>
    <col min="2" max="16384" width="14.5" style="1972"/>
  </cols>
  <sheetData>
    <row r="1" spans="1:7" s="1987" customFormat="1" ht="18.75">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3.5">
      <c r="A15" s="3064" t="s">
        <v>1664</v>
      </c>
      <c r="B15" s="3059" t="s">
        <v>136</v>
      </c>
      <c r="C15" s="3060"/>
    </row>
    <row r="16" spans="1:7" ht="13.5">
      <c r="A16" s="3065"/>
      <c r="B16" s="3059" t="s">
        <v>69</v>
      </c>
      <c r="C16" s="3060"/>
    </row>
    <row r="17" spans="1:3" ht="13.5">
      <c r="A17" s="3065"/>
      <c r="B17" s="3062" t="s">
        <v>1665</v>
      </c>
      <c r="C17" s="1997" t="s">
        <v>1664</v>
      </c>
    </row>
    <row r="18" spans="1:3" ht="13.5">
      <c r="A18" s="3065"/>
      <c r="B18" s="3062"/>
      <c r="C18" s="1997" t="s">
        <v>1666</v>
      </c>
    </row>
    <row r="19" spans="1:3" ht="13.5">
      <c r="A19" s="3065"/>
      <c r="B19" s="3062"/>
      <c r="C19" s="1997" t="s">
        <v>1667</v>
      </c>
    </row>
    <row r="20" spans="1:3" ht="13.5">
      <c r="A20" s="3066"/>
      <c r="B20" s="3061" t="s">
        <v>1668</v>
      </c>
      <c r="C20" s="3060"/>
    </row>
    <row r="21" spans="1:3" ht="13.5">
      <c r="A21" s="1998" t="s">
        <v>1669</v>
      </c>
      <c r="B21" s="1999"/>
      <c r="C21" s="2000"/>
    </row>
    <row r="22" spans="1:3" ht="13.5">
      <c r="A22" s="3063" t="s">
        <v>1670</v>
      </c>
      <c r="B22" s="3061" t="s">
        <v>1671</v>
      </c>
      <c r="C22" s="3060"/>
    </row>
    <row r="23" spans="1:3" ht="13.5">
      <c r="A23" s="3063"/>
      <c r="B23" s="3061" t="s">
        <v>1672</v>
      </c>
      <c r="C23" s="3060"/>
    </row>
    <row r="24" spans="1:3" ht="13.5">
      <c r="A24" s="3063"/>
      <c r="B24" s="3061" t="s">
        <v>1673</v>
      </c>
      <c r="C24" s="3060"/>
    </row>
    <row r="25" spans="1:3" ht="13.5">
      <c r="A25" s="3063"/>
      <c r="B25" s="3062" t="s">
        <v>1674</v>
      </c>
      <c r="C25" s="1997" t="s">
        <v>1675</v>
      </c>
    </row>
    <row r="26" spans="1:3" ht="13.5">
      <c r="A26" s="3063"/>
      <c r="B26" s="3062"/>
      <c r="C26" s="1997" t="s">
        <v>1676</v>
      </c>
    </row>
    <row r="27" spans="1:3" ht="13.5">
      <c r="A27" s="3063"/>
      <c r="B27" s="3062"/>
      <c r="C27" s="1997" t="s">
        <v>1677</v>
      </c>
    </row>
    <row r="28" spans="1:3" ht="13.5">
      <c r="A28" s="3063"/>
      <c r="B28" s="3062"/>
      <c r="C28" s="1997" t="s">
        <v>1678</v>
      </c>
    </row>
    <row r="29" spans="1:3" ht="13.5">
      <c r="A29" s="3063"/>
      <c r="B29" s="3062"/>
      <c r="C29" s="1997" t="s">
        <v>1679</v>
      </c>
    </row>
    <row r="30" spans="1:3" ht="13.5">
      <c r="A30" s="3063"/>
      <c r="B30" s="3062"/>
      <c r="C30" s="1997" t="s">
        <v>1680</v>
      </c>
    </row>
    <row r="31" spans="1:3" ht="13.5">
      <c r="A31" s="3063"/>
      <c r="B31" s="3062"/>
      <c r="C31" s="1997" t="s">
        <v>1681</v>
      </c>
    </row>
    <row r="32" spans="1:3" ht="13.5">
      <c r="A32" s="3063"/>
      <c r="B32" s="3062"/>
      <c r="C32" s="1997" t="s">
        <v>1682</v>
      </c>
    </row>
    <row r="33" spans="1:3" ht="13.5">
      <c r="A33" s="3063"/>
      <c r="B33" s="3062"/>
      <c r="C33" s="1997" t="s">
        <v>1683</v>
      </c>
    </row>
    <row r="34" spans="1:3">
      <c r="A34" s="2001" t="s">
        <v>76</v>
      </c>
    </row>
    <row r="37" spans="1:3">
      <c r="A37" s="2001" t="s">
        <v>1684</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43717</v>
      </c>
      <c r="C2" s="1018" t="s">
        <v>826</v>
      </c>
      <c r="D2" s="1018"/>
    </row>
    <row r="3" spans="1:6" ht="24" customHeight="1">
      <c r="A3" s="1019" t="s">
        <v>827</v>
      </c>
      <c r="B3" s="1020" t="s">
        <v>828</v>
      </c>
      <c r="C3" s="2340" t="s">
        <v>829</v>
      </c>
      <c r="D3" s="2343" t="s">
        <v>830</v>
      </c>
      <c r="E3" s="1021" t="s">
        <v>831</v>
      </c>
      <c r="F3" s="1020" t="s">
        <v>829</v>
      </c>
    </row>
    <row r="4" spans="1:6" ht="24" customHeight="1">
      <c r="A4" s="1700" t="s">
        <v>832</v>
      </c>
      <c r="B4" s="1021">
        <f ca="1">IF(C4&lt;B2,"已过期",1119970066)</f>
        <v>1119970066</v>
      </c>
      <c r="C4" s="2341">
        <v>43849</v>
      </c>
      <c r="D4" s="2344" t="s">
        <v>832</v>
      </c>
      <c r="E4" s="1021">
        <f ca="1">IF(F4&lt;B2,"已过期",96010014)</f>
        <v>96010014</v>
      </c>
      <c r="F4" s="1029">
        <v>47118</v>
      </c>
    </row>
    <row r="5" spans="1:6" ht="24" customHeight="1">
      <c r="A5" s="1700" t="s">
        <v>833</v>
      </c>
      <c r="B5" s="1021">
        <f ca="1">IF(C5&lt;B2,"已过期",1119970074)</f>
        <v>1119970074</v>
      </c>
      <c r="C5" s="2341">
        <v>43849</v>
      </c>
      <c r="D5" s="2344" t="s">
        <v>833</v>
      </c>
      <c r="E5" s="1021">
        <f ca="1">IF(F5&lt;B2,"已过期",2002110027)</f>
        <v>2002110027</v>
      </c>
      <c r="F5" s="1029">
        <v>46752</v>
      </c>
    </row>
    <row r="6" spans="1:6" ht="24" customHeight="1">
      <c r="A6" s="1700" t="s">
        <v>834</v>
      </c>
      <c r="B6" s="1021">
        <f ca="1">IF(C6&lt;B2,"已过期",1119970111)</f>
        <v>1119970111</v>
      </c>
      <c r="C6" s="2341">
        <v>43849</v>
      </c>
      <c r="D6" s="2344" t="s">
        <v>834</v>
      </c>
      <c r="E6" s="1021">
        <f ca="1">IF(F6&lt;B2,"已过期",94010078)</f>
        <v>94010078</v>
      </c>
      <c r="F6" s="1029">
        <v>46387</v>
      </c>
    </row>
    <row r="7" spans="1:6" ht="24" customHeight="1">
      <c r="A7" s="1700" t="s">
        <v>835</v>
      </c>
      <c r="B7" s="1021">
        <f ca="1">IF(C7&lt;B2,"已过期",1120050019)</f>
        <v>1120050019</v>
      </c>
      <c r="C7" s="2341">
        <v>44395</v>
      </c>
      <c r="D7" s="2344" t="s">
        <v>835</v>
      </c>
      <c r="E7" s="1021">
        <f ca="1">IF(F7&lt;B2,"已过期",2002110030)</f>
        <v>2002110030</v>
      </c>
      <c r="F7" s="1029">
        <v>46387</v>
      </c>
    </row>
    <row r="8" spans="1:6" ht="24" customHeight="1">
      <c r="A8" s="1700" t="s">
        <v>836</v>
      </c>
      <c r="B8" s="1021">
        <f ca="1">IF(C8&lt;B2,"已过期",1120000080)</f>
        <v>1120000080</v>
      </c>
      <c r="C8" s="2341">
        <v>43849</v>
      </c>
      <c r="D8" s="2344" t="s">
        <v>836</v>
      </c>
      <c r="E8" s="1021">
        <f ca="1">IF(F8&lt;B2,"已过期",2000110082)</f>
        <v>2000110082</v>
      </c>
      <c r="F8" s="1029">
        <v>46387</v>
      </c>
    </row>
    <row r="9" spans="1:6" ht="24" customHeight="1">
      <c r="A9" s="1700" t="s">
        <v>837</v>
      </c>
      <c r="B9" s="1021">
        <f ca="1">IF(C9&lt;B2,"已过期",1419970001)</f>
        <v>1419970001</v>
      </c>
      <c r="C9" s="2341">
        <v>43867</v>
      </c>
      <c r="D9" s="2344" t="s">
        <v>837</v>
      </c>
      <c r="E9" s="1021">
        <f ca="1">IF(F9&lt;B2,"已过期",2002110125)</f>
        <v>2002110125</v>
      </c>
      <c r="F9" s="1029">
        <v>47118</v>
      </c>
    </row>
    <row r="10" spans="1:6" ht="24" customHeight="1">
      <c r="A10" s="1700" t="s">
        <v>838</v>
      </c>
      <c r="B10" s="1021">
        <f ca="1">IF(C10&lt;B2,"已过期",1120060040)</f>
        <v>1120060040</v>
      </c>
      <c r="C10" s="2341">
        <v>44554</v>
      </c>
      <c r="D10" s="2344" t="s">
        <v>838</v>
      </c>
      <c r="E10" s="1021">
        <f ca="1">IF(F10&lt;B2,"已过期",2004110096)</f>
        <v>2004110096</v>
      </c>
      <c r="F10" s="1029">
        <v>47118</v>
      </c>
    </row>
    <row r="11" spans="1:6" ht="24" customHeight="1">
      <c r="A11" s="1700" t="s">
        <v>839</v>
      </c>
      <c r="B11" s="1021">
        <f ca="1">IF(C11&lt;B2,"已过期",1120100036)</f>
        <v>1120100036</v>
      </c>
      <c r="C11" s="2341">
        <v>44675</v>
      </c>
      <c r="D11" s="2344" t="s">
        <v>839</v>
      </c>
      <c r="E11" s="1021">
        <f ca="1">IF(F11&lt;B2,"已过期",2010110070)</f>
        <v>2010110070</v>
      </c>
      <c r="F11" s="1029">
        <v>47907</v>
      </c>
    </row>
    <row r="12" spans="1:6" ht="24" customHeight="1">
      <c r="A12" s="1700"/>
      <c r="B12" s="1021"/>
      <c r="C12" s="2924"/>
      <c r="D12" s="1700"/>
      <c r="E12" s="1021"/>
      <c r="F12" s="1029"/>
    </row>
    <row r="13" spans="1:6" ht="24" customHeight="1">
      <c r="A13" s="1700" t="s">
        <v>840</v>
      </c>
      <c r="B13" s="1021">
        <f ca="1">IF(C13&lt;B2,"已过期",1120070131)</f>
        <v>1120070131</v>
      </c>
      <c r="C13" s="2341">
        <v>43814</v>
      </c>
      <c r="D13" s="2344" t="s">
        <v>840</v>
      </c>
      <c r="E13" s="1021">
        <f ca="1">IF(F13&lt;B2,"已过期",2014110011)</f>
        <v>2014110011</v>
      </c>
      <c r="F13" s="1029">
        <v>49302</v>
      </c>
    </row>
    <row r="14" spans="1:6" ht="24" customHeight="1">
      <c r="A14" s="1700" t="s">
        <v>3043</v>
      </c>
      <c r="B14" s="1021">
        <f ca="1">IF(C14&lt;B2,"已过期",1120040230)</f>
        <v>1120040230</v>
      </c>
      <c r="C14" s="2341">
        <v>43835</v>
      </c>
      <c r="D14" s="2344" t="s">
        <v>3043</v>
      </c>
      <c r="E14" s="1021">
        <f ca="1">IF(F14&lt;B2,"已过期",98030020)</f>
        <v>98030020</v>
      </c>
      <c r="F14" s="1029">
        <v>47118</v>
      </c>
    </row>
    <row r="15" spans="1:6" ht="24" customHeight="1">
      <c r="A15" s="1701" t="s">
        <v>3044</v>
      </c>
      <c r="B15" s="1021">
        <f ca="1">IF(C15&lt;B2,"已过期",1120070085)</f>
        <v>1120070085</v>
      </c>
      <c r="C15" s="2341">
        <v>43814</v>
      </c>
      <c r="D15" s="2345" t="s">
        <v>3044</v>
      </c>
      <c r="E15" s="1021">
        <f ca="1">IF(F15&lt;B2,"已过期",2004110128)</f>
        <v>2004110128</v>
      </c>
      <c r="F15" s="1022">
        <v>47118</v>
      </c>
    </row>
    <row r="16" spans="1:6" ht="24" customHeight="1">
      <c r="A16" s="1700" t="s">
        <v>3045</v>
      </c>
      <c r="B16" s="1021">
        <f ca="1">IF(C16&lt;B2,"已过期",1120140022)</f>
        <v>1120140022</v>
      </c>
      <c r="C16" s="2924">
        <v>44029</v>
      </c>
      <c r="D16" s="2344" t="s">
        <v>3045</v>
      </c>
      <c r="E16" s="1021">
        <f ca="1">IF(F16&lt;B2,"已过期",2008110059)</f>
        <v>2008110059</v>
      </c>
      <c r="F16" s="1029">
        <v>47177</v>
      </c>
    </row>
    <row r="17" spans="1:7" ht="24" customHeight="1">
      <c r="A17" s="1700"/>
      <c r="B17" s="1021"/>
      <c r="C17" s="2341"/>
      <c r="D17" s="2344" t="s">
        <v>3046</v>
      </c>
      <c r="E17" s="1021">
        <f ca="1">IF(F17&lt;B2,"已过期",2014110076)</f>
        <v>2014110076</v>
      </c>
      <c r="F17" s="1029">
        <v>49302</v>
      </c>
    </row>
    <row r="18" spans="1:7" ht="24" customHeight="1">
      <c r="A18" s="1700"/>
      <c r="B18" s="1021"/>
      <c r="C18" s="2341"/>
      <c r="D18" s="2344"/>
      <c r="E18" s="1021"/>
      <c r="F18" s="1029"/>
    </row>
    <row r="19" spans="1:7" ht="24" customHeight="1">
      <c r="A19" s="1700"/>
      <c r="B19" s="1021"/>
      <c r="C19" s="2341"/>
      <c r="D19" s="2344"/>
      <c r="E19" s="1021"/>
      <c r="F19" s="1021"/>
    </row>
    <row r="20" spans="1:7" ht="24" customHeight="1">
      <c r="A20" s="1700"/>
      <c r="B20" s="1021"/>
      <c r="C20" s="2341"/>
      <c r="D20" s="2344"/>
      <c r="E20" s="1021"/>
      <c r="F20" s="1021"/>
    </row>
    <row r="21" spans="1:7" ht="24" customHeight="1">
      <c r="A21" s="1700"/>
      <c r="B21" s="1021"/>
      <c r="C21" s="2341"/>
      <c r="D21" s="2344" t="s">
        <v>841</v>
      </c>
      <c r="E21" s="1021">
        <f ca="1">IF(F21&lt;B2,"已过期",2011110090)</f>
        <v>2011110090</v>
      </c>
      <c r="F21" s="1029">
        <v>48302</v>
      </c>
    </row>
    <row r="22" spans="1:7" ht="24" customHeight="1">
      <c r="A22" s="1700" t="s">
        <v>842</v>
      </c>
      <c r="B22" s="1021">
        <f ca="1">IF(C22&lt;B2,"已过期",1120020033)</f>
        <v>1120020033</v>
      </c>
      <c r="C22" s="2924">
        <v>44339</v>
      </c>
      <c r="D22" s="2344" t="s">
        <v>842</v>
      </c>
      <c r="E22" s="1021">
        <f ca="1">IF(F22&lt;B2,"已过期",2000110137)</f>
        <v>2000110137</v>
      </c>
      <c r="F22" s="1029">
        <v>46387</v>
      </c>
    </row>
    <row r="23" spans="1:7" ht="24" customHeight="1">
      <c r="A23" s="1700"/>
      <c r="B23" s="1021"/>
      <c r="C23" s="2341"/>
      <c r="D23" s="2344"/>
      <c r="E23" s="1021"/>
      <c r="F23" s="1021"/>
    </row>
    <row r="24" spans="1:7" s="1023" customFormat="1" ht="24" customHeight="1">
      <c r="A24" s="1701" t="s">
        <v>1329</v>
      </c>
      <c r="B24" s="1701" t="s">
        <v>1329</v>
      </c>
      <c r="C24" s="2342" t="s">
        <v>1329</v>
      </c>
      <c r="D24" s="2345" t="s">
        <v>1329</v>
      </c>
      <c r="E24" s="1701" t="s">
        <v>1329</v>
      </c>
      <c r="F24" s="1701" t="s">
        <v>1329</v>
      </c>
    </row>
    <row r="25" spans="1:7" ht="24" customHeight="1">
      <c r="A25" s="3067" t="s">
        <v>843</v>
      </c>
      <c r="B25" s="3067"/>
      <c r="C25" s="3067"/>
      <c r="D25" s="3067"/>
      <c r="E25" s="3067"/>
      <c r="F25" s="3067"/>
      <c r="G25" s="3067"/>
    </row>
    <row r="26" spans="1:7" s="1024" customFormat="1" ht="24" customHeight="1">
      <c r="A26" s="3068" t="s">
        <v>844</v>
      </c>
      <c r="B26" s="3068"/>
      <c r="C26" s="3069"/>
      <c r="D26" s="3070" t="s">
        <v>845</v>
      </c>
      <c r="E26" s="3068"/>
      <c r="F26" s="3068"/>
    </row>
    <row r="27" spans="1:7" s="1026" customFormat="1" ht="24" customHeight="1">
      <c r="A27" s="1025" t="s">
        <v>846</v>
      </c>
      <c r="B27" s="1020" t="s">
        <v>847</v>
      </c>
      <c r="C27" s="2340" t="s">
        <v>848</v>
      </c>
      <c r="D27" s="2348" t="s">
        <v>846</v>
      </c>
      <c r="E27" s="1020" t="s">
        <v>847</v>
      </c>
      <c r="F27" s="1020" t="s">
        <v>848</v>
      </c>
    </row>
    <row r="28" spans="1:7" s="1026" customFormat="1" ht="24" customHeight="1">
      <c r="A28" s="1027" t="s">
        <v>849</v>
      </c>
      <c r="B28" s="1028" t="s">
        <v>850</v>
      </c>
      <c r="C28" s="2346">
        <v>43725</v>
      </c>
      <c r="D28" s="2349" t="s">
        <v>851</v>
      </c>
      <c r="E28" s="1027" t="s">
        <v>852</v>
      </c>
      <c r="F28" s="1056">
        <v>44377</v>
      </c>
    </row>
    <row r="29" spans="1:7" s="1026" customFormat="1" ht="24" customHeight="1">
      <c r="A29" s="1027"/>
      <c r="B29" s="1027"/>
      <c r="C29" s="2347"/>
      <c r="D29" s="2349" t="s">
        <v>853</v>
      </c>
      <c r="E29" s="1200" t="s">
        <v>3050</v>
      </c>
      <c r="F29" s="1201">
        <v>43646</v>
      </c>
    </row>
    <row r="30" spans="1:7" ht="24" customHeight="1">
      <c r="C30" s="1030"/>
      <c r="D30" s="1030"/>
    </row>
  </sheetData>
  <sheetProtection sheet="1" objects="1" scenarios="1"/>
  <mergeCells count="3">
    <mergeCell ref="A25:G25"/>
    <mergeCell ref="A26:C26"/>
    <mergeCell ref="D26:F26"/>
  </mergeCells>
  <phoneticPr fontId="86" type="noConversion"/>
  <conditionalFormatting sqref="C28">
    <cfRule type="expression" dxfId="232" priority="88">
      <formula>AND($C28-TODAY()&lt;30,TODAY()&lt;$C28)</formula>
    </cfRule>
  </conditionalFormatting>
  <conditionalFormatting sqref="C28 F4">
    <cfRule type="cellIs" dxfId="231" priority="90" stopIfTrue="1" operator="lessThan">
      <formula>$B$2</formula>
    </cfRule>
  </conditionalFormatting>
  <conditionalFormatting sqref="C5">
    <cfRule type="expression" dxfId="230" priority="85">
      <formula>AND($C5-TODAY()&lt;30,TODAY()&lt;$C5)</formula>
    </cfRule>
  </conditionalFormatting>
  <conditionalFormatting sqref="C5 F5">
    <cfRule type="cellIs" dxfId="229" priority="86" stopIfTrue="1" operator="lessThan">
      <formula>$B$2</formula>
    </cfRule>
  </conditionalFormatting>
  <conditionalFormatting sqref="F6 F8 F10">
    <cfRule type="cellIs" dxfId="228" priority="84" stopIfTrue="1" operator="lessThan">
      <formula>$B$2</formula>
    </cfRule>
  </conditionalFormatting>
  <conditionalFormatting sqref="C4:C11 C13 C23 C17:C21">
    <cfRule type="expression" dxfId="227" priority="82">
      <formula>AND($C4-TODAY()&lt;30,TODAY()&lt;$C4)</formula>
    </cfRule>
  </conditionalFormatting>
  <conditionalFormatting sqref="F7 F9 F11 C4:C11 C13 C23 C17:C21">
    <cfRule type="cellIs" dxfId="226" priority="83" stopIfTrue="1" operator="lessThan">
      <formula>$B$2</formula>
    </cfRule>
  </conditionalFormatting>
  <conditionalFormatting sqref="C18">
    <cfRule type="expression" dxfId="225" priority="72">
      <formula>AND($C18-TODAY()&lt;30,TODAY()&lt;$C18)</formula>
    </cfRule>
  </conditionalFormatting>
  <conditionalFormatting sqref="C18">
    <cfRule type="cellIs" dxfId="224" priority="73" stopIfTrue="1" operator="lessThan">
      <formula>$B$2</formula>
    </cfRule>
  </conditionalFormatting>
  <conditionalFormatting sqref="C20">
    <cfRule type="expression" dxfId="223" priority="70">
      <formula>AND($C20-TODAY()&lt;30,TODAY()&lt;$C20)</formula>
    </cfRule>
  </conditionalFormatting>
  <conditionalFormatting sqref="C20">
    <cfRule type="cellIs" dxfId="222" priority="71" stopIfTrue="1" operator="lessThan">
      <formula>$B$2</formula>
    </cfRule>
  </conditionalFormatting>
  <conditionalFormatting sqref="C17">
    <cfRule type="expression" dxfId="221" priority="64">
      <formula>AND($C17-TODAY()&lt;30,TODAY()&lt;$C17)</formula>
    </cfRule>
  </conditionalFormatting>
  <conditionalFormatting sqref="C17">
    <cfRule type="cellIs" dxfId="220" priority="65" stopIfTrue="1" operator="lessThan">
      <formula>$B$2</formula>
    </cfRule>
  </conditionalFormatting>
  <conditionalFormatting sqref="C19">
    <cfRule type="expression" dxfId="219" priority="62">
      <formula>AND($C19-TODAY()&lt;30,TODAY()&lt;$C19)</formula>
    </cfRule>
  </conditionalFormatting>
  <conditionalFormatting sqref="C19">
    <cfRule type="cellIs" dxfId="218" priority="63" stopIfTrue="1" operator="lessThan">
      <formula>$B$2</formula>
    </cfRule>
  </conditionalFormatting>
  <conditionalFormatting sqref="C21">
    <cfRule type="expression" dxfId="217" priority="60">
      <formula>AND($C21-TODAY()&lt;30,TODAY()&lt;$C21)</formula>
    </cfRule>
  </conditionalFormatting>
  <conditionalFormatting sqref="C21">
    <cfRule type="cellIs" dxfId="216" priority="61" stopIfTrue="1" operator="lessThan">
      <formula>$B$2</formula>
    </cfRule>
  </conditionalFormatting>
  <conditionalFormatting sqref="C23">
    <cfRule type="expression" dxfId="215" priority="58">
      <formula>AND($C23-TODAY()&lt;30,TODAY()&lt;$C23)</formula>
    </cfRule>
  </conditionalFormatting>
  <conditionalFormatting sqref="C23">
    <cfRule type="cellIs" dxfId="214" priority="59" stopIfTrue="1" operator="lessThan">
      <formula>$B$2</formula>
    </cfRule>
  </conditionalFormatting>
  <conditionalFormatting sqref="F18">
    <cfRule type="cellIs" dxfId="213" priority="55" stopIfTrue="1" operator="lessThan">
      <formula>$B$2</formula>
    </cfRule>
  </conditionalFormatting>
  <conditionalFormatting sqref="F22">
    <cfRule type="cellIs" dxfId="212" priority="54" stopIfTrue="1" operator="lessThan">
      <formula>$B$2</formula>
    </cfRule>
  </conditionalFormatting>
  <conditionalFormatting sqref="F21">
    <cfRule type="cellIs" dxfId="211" priority="53" stopIfTrue="1" operator="lessThan">
      <formula>$B$2</formula>
    </cfRule>
  </conditionalFormatting>
  <conditionalFormatting sqref="B4:B11 E4:E11 B17:B23 E18:E23 B13 E13">
    <cfRule type="cellIs" dxfId="210" priority="51" stopIfTrue="1" operator="equal">
      <formula>"已过期"</formula>
    </cfRule>
  </conditionalFormatting>
  <conditionalFormatting sqref="A24:F24">
    <cfRule type="cellIs" dxfId="209" priority="47" stopIfTrue="1" operator="equal">
      <formula>"已过期"</formula>
    </cfRule>
  </conditionalFormatting>
  <conditionalFormatting sqref="F28">
    <cfRule type="expression" dxfId="208" priority="45">
      <formula>AND($E28-TODAY()&lt;30,TODAY()&lt;$E28)</formula>
    </cfRule>
  </conditionalFormatting>
  <conditionalFormatting sqref="F28">
    <cfRule type="cellIs" dxfId="207" priority="46" stopIfTrue="1" operator="lessThan">
      <formula>$B$2</formula>
    </cfRule>
  </conditionalFormatting>
  <conditionalFormatting sqref="F29">
    <cfRule type="expression" dxfId="206" priority="41" stopIfTrue="1">
      <formula>AND($E29-TODAY()&lt;30,TODAY()&lt;$E29)</formula>
    </cfRule>
  </conditionalFormatting>
  <conditionalFormatting sqref="F29">
    <cfRule type="cellIs" dxfId="205" priority="42" stopIfTrue="1" operator="lessThan">
      <formula>$B$2</formula>
    </cfRule>
  </conditionalFormatting>
  <conditionalFormatting sqref="F13">
    <cfRule type="cellIs" dxfId="204" priority="34" stopIfTrue="1" operator="lessThan">
      <formula>$B$2</formula>
    </cfRule>
  </conditionalFormatting>
  <conditionalFormatting sqref="C12">
    <cfRule type="expression" dxfId="203" priority="32">
      <formula>AND($C12-TODAY()&lt;30,TODAY()&lt;$C12)</formula>
    </cfRule>
  </conditionalFormatting>
  <conditionalFormatting sqref="C12">
    <cfRule type="cellIs" dxfId="202" priority="33" stopIfTrue="1" operator="lessThan">
      <formula>$B$2</formula>
    </cfRule>
  </conditionalFormatting>
  <conditionalFormatting sqref="C12">
    <cfRule type="expression" dxfId="201" priority="30">
      <formula>AND($C12-TODAY()&lt;30,TODAY()&lt;$C12)</formula>
    </cfRule>
  </conditionalFormatting>
  <conditionalFormatting sqref="C12">
    <cfRule type="cellIs" dxfId="200" priority="31" stopIfTrue="1" operator="lessThan">
      <formula>$B$2</formula>
    </cfRule>
  </conditionalFormatting>
  <conditionalFormatting sqref="B12">
    <cfRule type="cellIs" dxfId="199" priority="29" stopIfTrue="1" operator="equal">
      <formula>"已过期"</formula>
    </cfRule>
  </conditionalFormatting>
  <conditionalFormatting sqref="E12">
    <cfRule type="cellIs" dxfId="198" priority="28" stopIfTrue="1" operator="equal">
      <formula>"已过期"</formula>
    </cfRule>
  </conditionalFormatting>
  <conditionalFormatting sqref="F12">
    <cfRule type="cellIs" dxfId="197" priority="27" stopIfTrue="1" operator="lessThan">
      <formula>$B$2</formula>
    </cfRule>
  </conditionalFormatting>
  <conditionalFormatting sqref="C22">
    <cfRule type="expression" dxfId="196" priority="25">
      <formula>AND($C22-TODAY()&lt;30,TODAY()&lt;$C22)</formula>
    </cfRule>
  </conditionalFormatting>
  <conditionalFormatting sqref="C22">
    <cfRule type="cellIs" dxfId="195" priority="26" stopIfTrue="1" operator="lessThan">
      <formula>$B$2</formula>
    </cfRule>
  </conditionalFormatting>
  <conditionalFormatting sqref="C22">
    <cfRule type="expression" dxfId="194" priority="23">
      <formula>AND($C22-TODAY()&lt;30,TODAY()&lt;$C22)</formula>
    </cfRule>
  </conditionalFormatting>
  <conditionalFormatting sqref="C22">
    <cfRule type="cellIs" dxfId="193" priority="24" stopIfTrue="1" operator="lessThan">
      <formula>$B$2</formula>
    </cfRule>
  </conditionalFormatting>
  <conditionalFormatting sqref="C16">
    <cfRule type="expression" dxfId="192" priority="21">
      <formula>AND($C16-TODAY()&lt;30,TODAY()&lt;$C16)</formula>
    </cfRule>
  </conditionalFormatting>
  <conditionalFormatting sqref="C16">
    <cfRule type="cellIs" dxfId="191" priority="22" stopIfTrue="1" operator="lessThan">
      <formula>$B$2</formula>
    </cfRule>
  </conditionalFormatting>
  <conditionalFormatting sqref="C16">
    <cfRule type="expression" dxfId="190" priority="19">
      <formula>AND($C16-TODAY()&lt;30,TODAY()&lt;$C16)</formula>
    </cfRule>
  </conditionalFormatting>
  <conditionalFormatting sqref="C16">
    <cfRule type="cellIs" dxfId="189" priority="20" stopIfTrue="1" operator="lessThan">
      <formula>$B$2</formula>
    </cfRule>
  </conditionalFormatting>
  <conditionalFormatting sqref="B16">
    <cfRule type="cellIs" dxfId="188" priority="18" stopIfTrue="1" operator="equal">
      <formula>"已过期"</formula>
    </cfRule>
  </conditionalFormatting>
  <conditionalFormatting sqref="C14:C15">
    <cfRule type="expression" dxfId="187" priority="16">
      <formula>AND($C14-TODAY()&lt;30,TODAY()&lt;$C14)</formula>
    </cfRule>
  </conditionalFormatting>
  <conditionalFormatting sqref="C14:C15">
    <cfRule type="cellIs" dxfId="186" priority="17" stopIfTrue="1" operator="lessThan">
      <formula>$B$2</formula>
    </cfRule>
  </conditionalFormatting>
  <conditionalFormatting sqref="C14">
    <cfRule type="expression" dxfId="185" priority="14">
      <formula>AND($C14-TODAY()&lt;30,TODAY()&lt;$C14)</formula>
    </cfRule>
  </conditionalFormatting>
  <conditionalFormatting sqref="C14">
    <cfRule type="cellIs" dxfId="184" priority="15" stopIfTrue="1" operator="lessThan">
      <formula>$B$2</formula>
    </cfRule>
  </conditionalFormatting>
  <conditionalFormatting sqref="C15">
    <cfRule type="expression" dxfId="183" priority="12">
      <formula>AND($C15-TODAY()&lt;30,TODAY()&lt;$C15)</formula>
    </cfRule>
  </conditionalFormatting>
  <conditionalFormatting sqref="C15">
    <cfRule type="cellIs" dxfId="182" priority="13" stopIfTrue="1" operator="lessThan">
      <formula>$B$2</formula>
    </cfRule>
  </conditionalFormatting>
  <conditionalFormatting sqref="B14">
    <cfRule type="cellIs" dxfId="181" priority="11" stopIfTrue="1" operator="equal">
      <formula>"已过期"</formula>
    </cfRule>
  </conditionalFormatting>
  <conditionalFormatting sqref="B15">
    <cfRule type="cellIs" dxfId="180" priority="10" stopIfTrue="1" operator="equal">
      <formula>"已过期"</formula>
    </cfRule>
  </conditionalFormatting>
  <conditionalFormatting sqref="A15">
    <cfRule type="cellIs" dxfId="179" priority="9" stopIfTrue="1" operator="equal">
      <formula>"已过期"</formula>
    </cfRule>
  </conditionalFormatting>
  <conditionalFormatting sqref="C15">
    <cfRule type="expression" dxfId="178" priority="8">
      <formula>AND($C15-TODAY()&lt;30,TODAY()&lt;$C15)</formula>
    </cfRule>
  </conditionalFormatting>
  <conditionalFormatting sqref="F16">
    <cfRule type="cellIs" dxfId="177" priority="7" stopIfTrue="1" operator="lessThan">
      <formula>$B$2</formula>
    </cfRule>
  </conditionalFormatting>
  <conditionalFormatting sqref="E16 E14">
    <cfRule type="cellIs" dxfId="176" priority="6" stopIfTrue="1" operator="equal">
      <formula>"已过期"</formula>
    </cfRule>
  </conditionalFormatting>
  <conditionalFormatting sqref="E15">
    <cfRule type="cellIs" dxfId="175" priority="5" stopIfTrue="1" operator="equal">
      <formula>"已过期"</formula>
    </cfRule>
  </conditionalFormatting>
  <conditionalFormatting sqref="D15">
    <cfRule type="cellIs" dxfId="174" priority="4" stopIfTrue="1" operator="equal">
      <formula>"已过期"</formula>
    </cfRule>
  </conditionalFormatting>
  <conditionalFormatting sqref="F17">
    <cfRule type="cellIs" dxfId="173" priority="3" stopIfTrue="1" operator="lessThan">
      <formula>$B$2</formula>
    </cfRule>
  </conditionalFormatting>
  <conditionalFormatting sqref="E17">
    <cfRule type="cellIs" dxfId="172" priority="2" stopIfTrue="1" operator="equal">
      <formula>"已过期"</formula>
    </cfRule>
  </conditionalFormatting>
  <conditionalFormatting sqref="F14">
    <cfRule type="cellIs" dxfId="171"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27" sqref="H27"/>
    </sheetView>
  </sheetViews>
  <sheetFormatPr defaultColWidth="9" defaultRowHeight="13.5"/>
  <cols>
    <col min="1" max="1" width="13.5" style="2021" customWidth="1"/>
    <col min="2" max="2" width="23.25" style="1972" customWidth="1"/>
    <col min="3" max="3" width="13" style="2016" customWidth="1"/>
    <col min="4" max="4" width="5.75" style="2013" customWidth="1"/>
    <col min="5" max="5" width="7.125" style="2013" customWidth="1"/>
    <col min="6" max="6" width="10.625" style="2013" customWidth="1"/>
    <col min="7" max="7" width="7.5" style="2013" customWidth="1"/>
    <col min="8" max="8" width="9" style="2016" customWidth="1"/>
    <col min="9" max="9" width="11.625" style="2016" customWidth="1"/>
    <col min="10" max="10" width="9" style="2016" customWidth="1"/>
    <col min="11" max="19" width="9" style="2013" customWidth="1"/>
    <col min="20" max="23" width="9" style="2016" customWidth="1"/>
    <col min="24" max="24" width="21.125" style="1972" customWidth="1"/>
    <col min="25" max="16384" width="9" style="1972"/>
  </cols>
  <sheetData>
    <row r="1" spans="1:23" s="2010" customFormat="1" ht="27">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3079</v>
      </c>
      <c r="C17" s="2012"/>
    </row>
    <row r="18" spans="1:3">
      <c r="A18" s="2011" t="s">
        <v>1762</v>
      </c>
      <c r="B18" s="2011" t="s">
        <v>3356</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为估价委托人在向五矿信托办理贷款手续过程中，确定房地产抵押贷款额度提供参考依据而评估房地产抵押价值。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泰兴市虹桥园工业开发有限公司拟使用江苏省泰州市泰兴市虹桥镇宏泰花苑商业1幢、2幢房地产作为抵押担保物，向五矿信托办理贷款手续。五矿信托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71"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3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71"/>
      <c r="B54" s="2019" t="s">
        <v>861</v>
      </c>
      <c r="C54" s="2016" t="s">
        <v>1277</v>
      </c>
    </row>
    <row r="55" spans="1:4">
      <c r="A55" s="3071"/>
      <c r="B55" s="2019" t="s">
        <v>862</v>
      </c>
      <c r="C55" s="2016" t="s">
        <v>1278</v>
      </c>
    </row>
    <row r="56" spans="1:4">
      <c r="A56" s="3071"/>
      <c r="B56" s="2019" t="s">
        <v>863</v>
      </c>
      <c r="C56" s="2016" t="s">
        <v>1282</v>
      </c>
    </row>
    <row r="57" spans="1:4">
      <c r="A57" s="3071"/>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19" sqref="J19"/>
    </sheetView>
  </sheetViews>
  <sheetFormatPr defaultColWidth="10" defaultRowHeight="18" customHeight="1"/>
  <cols>
    <col min="1" max="1" width="14.875" style="2029" customWidth="1"/>
    <col min="2" max="2" width="10" style="2029" customWidth="1"/>
    <col min="3" max="3" width="11.5" style="2029" customWidth="1"/>
    <col min="4" max="6" width="10" style="2029" customWidth="1"/>
    <col min="7" max="7" width="10.75" style="2029" customWidth="1"/>
    <col min="8" max="8" width="10" style="2029" customWidth="1"/>
    <col min="9" max="9" width="11.125" style="2152" customWidth="1"/>
    <col min="10" max="10" width="10" style="2029" customWidth="1"/>
    <col min="11" max="11" width="10" style="2153" customWidth="1"/>
    <col min="12" max="13" width="10" style="2154" customWidth="1"/>
    <col min="14" max="14" width="10" style="2029" customWidth="1"/>
    <col min="15" max="15" width="10" style="2152" customWidth="1"/>
    <col min="16" max="17" width="10" style="2029"/>
    <col min="18" max="18" width="10" style="2029" customWidth="1"/>
    <col min="19" max="16384" width="10" style="2029"/>
  </cols>
  <sheetData>
    <row r="1" spans="1:19" ht="38.25" customHeight="1" thickBot="1">
      <c r="A1" s="2022" t="s">
        <v>1771</v>
      </c>
      <c r="B1" s="3080" t="str">
        <f>IF(B10="北京市","北京市",C10)&amp;F10&amp;IF(结果表!G1="在建","出让国有建设用地使用权及在建建筑物",IF(结果表!G1="土地","出让国有建设用地使用权",))&amp;B9&amp;"预评估"</f>
        <v>江苏省泰州市泰兴市虹桥镇宏泰花苑商业1幢、2幢房地产抵押价值预评估</v>
      </c>
      <c r="C1" s="3081"/>
      <c r="D1" s="3081"/>
      <c r="E1" s="3081"/>
      <c r="F1" s="3081"/>
      <c r="G1" s="3081"/>
      <c r="H1" s="3081"/>
      <c r="I1" s="3082"/>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江苏省泰州市泰兴市虹桥镇宏泰花苑商业1幢、2幢房地产抵押价值</v>
      </c>
    </row>
    <row r="2" spans="1:19" ht="18" customHeight="1">
      <c r="A2" s="2023" t="s">
        <v>1772</v>
      </c>
      <c r="B2" s="3004" t="s">
        <v>3271</v>
      </c>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江苏省泰州市泰兴市虹桥镇宏泰花苑商业1幢、2幢房地产</v>
      </c>
    </row>
    <row r="3" spans="1:19" ht="18" customHeight="1">
      <c r="A3" s="2032" t="s">
        <v>1773</v>
      </c>
      <c r="B3" s="2033">
        <v>43711</v>
      </c>
      <c r="C3" s="2034" t="s">
        <v>1774</v>
      </c>
      <c r="D3" s="2033">
        <v>43711</v>
      </c>
      <c r="E3" s="2023"/>
      <c r="F3" s="2023"/>
      <c r="G3" s="2023"/>
      <c r="H3" s="2023"/>
      <c r="I3" s="2023"/>
      <c r="J3" s="2023"/>
      <c r="K3" s="2024"/>
      <c r="L3" s="2025"/>
      <c r="M3" s="2025"/>
      <c r="N3" s="2026"/>
      <c r="O3" s="2027"/>
      <c r="P3" s="2026"/>
      <c r="Q3" s="2026"/>
      <c r="R3" s="2026"/>
      <c r="S3" s="2028"/>
    </row>
    <row r="4" spans="1:19" ht="18" customHeight="1" thickBot="1">
      <c r="A4" s="2035" t="s">
        <v>1775</v>
      </c>
      <c r="B4" s="2036" t="s">
        <v>3244</v>
      </c>
      <c r="C4" s="1036">
        <f ca="1">SUMIF(注册房地产估价师,B4,估价师及机构信息!B3:B24)</f>
        <v>1120070131</v>
      </c>
      <c r="D4" s="2036" t="s">
        <v>3245</v>
      </c>
      <c r="E4" s="1037">
        <f ca="1">SUMIF(注册房地产估价师,D4,估价师及机构信息!B3:B24)</f>
        <v>1120100036</v>
      </c>
      <c r="F4" s="2036" t="s">
        <v>70</v>
      </c>
      <c r="G4" s="2037">
        <f>SUMIF(注册房地产估价师,F4,估价师及机构信息!B3:B24)</f>
        <v>0</v>
      </c>
      <c r="H4" s="2036" t="s">
        <v>70</v>
      </c>
      <c r="I4" s="2038">
        <f>SUMIF(注册房地产估价师,H4,估价师及机构信息!B3:B24)</f>
        <v>0</v>
      </c>
      <c r="J4" s="2039"/>
      <c r="K4" s="2040" t="str">
        <f ca="1">CONCATENATE(B4,"（注册号：",C4,")、",D4,"（注册号：",E4,")")</f>
        <v>郑燚（注册号：1120070131)、崔锴（注册号：1120100036)</v>
      </c>
      <c r="L4" s="2025"/>
      <c r="M4" s="2025"/>
      <c r="N4" s="2026"/>
      <c r="O4" s="2027"/>
      <c r="P4" s="2026"/>
      <c r="Q4" s="2026"/>
      <c r="R4" s="2026"/>
      <c r="S4" s="2028"/>
    </row>
    <row r="5" spans="1:19" ht="18" customHeight="1" thickTop="1">
      <c r="A5" s="2041" t="s">
        <v>1776</v>
      </c>
      <c r="B5" s="2996" t="s">
        <v>3246</v>
      </c>
      <c r="C5" s="2042"/>
      <c r="D5" s="2043"/>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thickBot="1">
      <c r="A6" s="2044" t="s">
        <v>1777</v>
      </c>
      <c r="B6" s="2997" t="s">
        <v>3247</v>
      </c>
      <c r="C6" s="2045"/>
      <c r="D6" s="2046"/>
      <c r="E6" s="2031"/>
      <c r="F6" s="2039"/>
      <c r="G6" s="2039"/>
      <c r="H6" s="2039"/>
      <c r="I6" s="2039"/>
      <c r="J6" s="2039"/>
      <c r="K6" s="2047" t="str">
        <f>IF(COUNTIF(B6,"*上海银行*"),"上海银行","")</f>
        <v/>
      </c>
      <c r="L6" s="2025"/>
      <c r="M6" s="2025"/>
      <c r="N6" s="2026"/>
      <c r="O6" s="2027"/>
      <c r="P6" s="2026"/>
      <c r="Q6" s="2026"/>
      <c r="R6" s="2026"/>
    </row>
    <row r="7" spans="1:19" ht="18" customHeight="1" thickTop="1">
      <c r="A7" s="2044" t="s">
        <v>1778</v>
      </c>
      <c r="B7" s="2996" t="s">
        <v>3246</v>
      </c>
      <c r="C7" s="2045"/>
      <c r="D7" s="2046"/>
      <c r="E7" s="2031"/>
      <c r="F7" s="2039"/>
      <c r="G7" s="2039"/>
      <c r="H7" s="2039"/>
      <c r="I7" s="2039"/>
      <c r="J7" s="2039"/>
      <c r="K7" s="2048"/>
      <c r="L7" s="2025"/>
      <c r="M7" s="2025"/>
      <c r="N7" s="2026"/>
      <c r="O7" s="2027"/>
      <c r="P7" s="2026"/>
      <c r="Q7" s="2026"/>
      <c r="R7" s="2026"/>
    </row>
    <row r="8" spans="1:19" ht="18" customHeight="1">
      <c r="A8" s="2044" t="s">
        <v>1779</v>
      </c>
      <c r="B8" s="2049" t="s">
        <v>3054</v>
      </c>
      <c r="C8" s="2050"/>
      <c r="D8" s="3083" t="s">
        <v>1780</v>
      </c>
      <c r="E8" s="2051" t="s">
        <v>3055</v>
      </c>
      <c r="F8" s="2052"/>
      <c r="G8" s="2023"/>
      <c r="H8" s="2023"/>
      <c r="I8" s="2023"/>
      <c r="J8" s="2039"/>
      <c r="K8" s="2040"/>
      <c r="L8" s="2025"/>
      <c r="M8" s="2025"/>
      <c r="N8" s="2026"/>
      <c r="O8" s="2027"/>
      <c r="P8" s="2026"/>
      <c r="Q8" s="2026"/>
      <c r="R8" s="2026"/>
    </row>
    <row r="9" spans="1:19" ht="18" customHeight="1" thickBot="1">
      <c r="A9" s="2037" t="s">
        <v>1781</v>
      </c>
      <c r="B9" s="2053" t="s">
        <v>3055</v>
      </c>
      <c r="C9" s="2054"/>
      <c r="D9" s="3084"/>
      <c r="E9" s="2053" t="s">
        <v>70</v>
      </c>
      <c r="F9" s="2055"/>
      <c r="G9" s="2056"/>
      <c r="H9" s="2056"/>
      <c r="I9" s="2056"/>
      <c r="J9" s="2039"/>
      <c r="K9" s="2048"/>
      <c r="L9" s="2025"/>
      <c r="M9" s="2025"/>
      <c r="N9" s="2026"/>
      <c r="O9" s="2027"/>
      <c r="P9" s="2026"/>
      <c r="Q9" s="2026"/>
      <c r="R9" s="2026"/>
    </row>
    <row r="10" spans="1:19" ht="18" customHeight="1" thickTop="1" thickBot="1">
      <c r="A10" s="2057" t="s">
        <v>1782</v>
      </c>
      <c r="B10" s="2058" t="s">
        <v>3056</v>
      </c>
      <c r="C10" s="2998" t="s">
        <v>3248</v>
      </c>
      <c r="D10" s="2043"/>
      <c r="E10" s="2059" t="s">
        <v>1783</v>
      </c>
      <c r="F10" s="2060" t="s">
        <v>3249</v>
      </c>
      <c r="G10" s="2061"/>
      <c r="H10" s="2062"/>
      <c r="I10" s="2043"/>
      <c r="J10" s="2039"/>
      <c r="K10" s="2048"/>
      <c r="L10" s="2025"/>
      <c r="M10" s="2025"/>
      <c r="N10" s="2026"/>
      <c r="O10" s="2027"/>
      <c r="P10" s="2026"/>
      <c r="Q10" s="2026"/>
      <c r="R10" s="2026"/>
    </row>
    <row r="11" spans="1:19" ht="18" customHeight="1" thickTop="1">
      <c r="A11" s="2063" t="s">
        <v>1784</v>
      </c>
      <c r="B11" s="2064" t="s">
        <v>3057</v>
      </c>
      <c r="C11" s="2996" t="s">
        <v>3246</v>
      </c>
      <c r="D11" s="2065"/>
      <c r="E11" s="2039"/>
      <c r="F11" s="2039"/>
      <c r="G11" s="2039"/>
      <c r="H11" s="2039"/>
      <c r="I11" s="2039"/>
      <c r="J11" s="2039"/>
      <c r="K11" s="2048"/>
      <c r="L11" s="2025"/>
      <c r="M11" s="2025"/>
      <c r="N11" s="2026"/>
      <c r="O11" s="2027"/>
      <c r="P11" s="2026"/>
      <c r="Q11" s="2026"/>
      <c r="R11" s="2026"/>
    </row>
    <row r="12" spans="1:19" ht="18" customHeight="1">
      <c r="A12" s="2066" t="s">
        <v>1785</v>
      </c>
      <c r="B12" s="2064" t="s">
        <v>3058</v>
      </c>
      <c r="C12" s="2067" t="s">
        <v>1786</v>
      </c>
      <c r="D12" s="2068" t="s">
        <v>1787</v>
      </c>
      <c r="E12" s="2068" t="s">
        <v>1788</v>
      </c>
      <c r="F12" s="2068" t="s">
        <v>1789</v>
      </c>
      <c r="G12" s="2068" t="s">
        <v>1790</v>
      </c>
      <c r="H12" s="2068" t="s">
        <v>1791</v>
      </c>
      <c r="I12" s="2068" t="s">
        <v>1792</v>
      </c>
      <c r="J12" s="2039"/>
      <c r="K12" s="2048"/>
      <c r="L12" s="2025"/>
      <c r="M12" s="2025"/>
      <c r="N12" s="2026"/>
      <c r="O12" s="2027"/>
      <c r="P12" s="2026"/>
      <c r="Q12" s="2026"/>
      <c r="R12" s="2026"/>
    </row>
    <row r="13" spans="1:19" ht="18" customHeight="1">
      <c r="A13" s="2069"/>
      <c r="B13" s="2070"/>
      <c r="C13" s="2071" t="s">
        <v>1793</v>
      </c>
      <c r="D13" s="2072"/>
      <c r="E13" s="2072">
        <v>56737</v>
      </c>
      <c r="F13" s="2072"/>
      <c r="G13" s="2072"/>
      <c r="H13" s="2072"/>
      <c r="I13" s="1045"/>
      <c r="J13" s="2039"/>
      <c r="K13" s="2048"/>
      <c r="L13" s="2025"/>
      <c r="M13" s="2025"/>
      <c r="N13" s="2026"/>
      <c r="O13" s="2027"/>
      <c r="P13" s="2026"/>
      <c r="Q13" s="2026"/>
      <c r="R13" s="2026"/>
    </row>
    <row r="14" spans="1:19" ht="18" customHeight="1">
      <c r="A14" s="2069"/>
      <c r="B14" s="2070"/>
      <c r="C14" s="2071" t="s">
        <v>1794</v>
      </c>
      <c r="D14" s="1048"/>
      <c r="E14" s="1048">
        <v>40</v>
      </c>
      <c r="F14" s="1048"/>
      <c r="G14" s="1048"/>
      <c r="H14" s="1048"/>
      <c r="I14" s="1048"/>
      <c r="J14" s="2039"/>
      <c r="K14" s="2073"/>
      <c r="L14" s="2025"/>
      <c r="M14" s="2025"/>
      <c r="N14" s="2026"/>
      <c r="O14" s="2027"/>
      <c r="P14" s="2026"/>
      <c r="Q14" s="2026"/>
      <c r="R14" s="2026"/>
    </row>
    <row r="15" spans="1:19" ht="18" customHeight="1">
      <c r="A15" s="2057"/>
      <c r="B15" s="2074"/>
      <c r="C15" s="2071" t="s">
        <v>1795</v>
      </c>
      <c r="D15" s="1047" t="str">
        <f>IF(B12="出让",IF(D13="","",ROUNDDOWN(MIN((D13-$D$3)/365,D14),2)),D14)</f>
        <v/>
      </c>
      <c r="E15" s="1047">
        <f>IF(B12="出让",IF(E13="","",ROUNDDOWN(MIN((E13-$D$3)/365,E14),2)),E14)</f>
        <v>35.68</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9"/>
      <c r="K15" s="2075"/>
      <c r="L15" s="2076"/>
      <c r="M15" s="2076"/>
      <c r="N15" s="2077"/>
      <c r="O15" s="2076"/>
      <c r="P15" s="2077"/>
      <c r="Q15" s="2026"/>
      <c r="R15" s="2026"/>
    </row>
    <row r="16" spans="1:19" ht="30.75" customHeight="1">
      <c r="A16" s="2059" t="s">
        <v>1796</v>
      </c>
      <c r="B16" s="3090" t="s">
        <v>3250</v>
      </c>
      <c r="C16" s="3091"/>
      <c r="D16" s="3092"/>
      <c r="E16" s="2078" t="s">
        <v>1797</v>
      </c>
      <c r="F16" s="3093">
        <v>35.68</v>
      </c>
      <c r="G16" s="3094"/>
      <c r="H16" s="3094"/>
      <c r="I16" s="3095"/>
      <c r="J16" s="2026"/>
      <c r="K16" s="2075"/>
      <c r="L16" s="2076"/>
      <c r="M16" s="2076"/>
      <c r="N16" s="2077"/>
      <c r="O16" s="2076"/>
      <c r="P16" s="2077"/>
      <c r="Q16" s="2026"/>
      <c r="R16" s="2026"/>
    </row>
    <row r="17" spans="1:22" ht="18" customHeight="1">
      <c r="A17" s="2079" t="s">
        <v>1798</v>
      </c>
      <c r="B17" s="2032" t="s">
        <v>1799</v>
      </c>
      <c r="C17" s="1052">
        <f>'数据-汇总表'!E3</f>
        <v>3992.9400000000005</v>
      </c>
      <c r="D17" s="2080" t="s">
        <v>1800</v>
      </c>
      <c r="E17" s="3096" t="s">
        <v>1801</v>
      </c>
      <c r="F17" s="3097"/>
      <c r="G17" s="3097"/>
      <c r="H17" s="3097"/>
      <c r="I17" s="3098"/>
      <c r="J17" s="2026"/>
      <c r="K17" s="2081"/>
      <c r="L17" s="2076"/>
      <c r="M17" s="2076"/>
      <c r="N17" s="2077"/>
      <c r="O17" s="2076"/>
      <c r="P17" s="2077"/>
      <c r="Q17" s="2026"/>
      <c r="R17" s="2026"/>
      <c r="S17" s="2026"/>
      <c r="T17" s="2026"/>
      <c r="U17" s="2026"/>
      <c r="V17" s="2026"/>
    </row>
    <row r="18" spans="1:22" ht="36" customHeight="1" thickBot="1">
      <c r="A18" s="2082" t="s">
        <v>1802</v>
      </c>
      <c r="B18" s="2035" t="s">
        <v>1803</v>
      </c>
      <c r="C18" s="1442">
        <f>'数据-汇总表'!D3</f>
        <v>0</v>
      </c>
      <c r="D18" s="2083" t="s">
        <v>1800</v>
      </c>
      <c r="E18" s="3099" t="s">
        <v>1804</v>
      </c>
      <c r="F18" s="3100"/>
      <c r="G18" s="3100"/>
      <c r="H18" s="3100"/>
      <c r="I18" s="3101"/>
      <c r="J18" s="2026"/>
      <c r="K18" s="2081"/>
      <c r="L18" s="2076"/>
      <c r="M18" s="2076"/>
      <c r="N18" s="2077"/>
      <c r="O18" s="2076"/>
      <c r="P18" s="2077"/>
      <c r="Q18" s="2026"/>
      <c r="R18" s="2026"/>
      <c r="S18" s="2026"/>
      <c r="T18" s="2026"/>
      <c r="U18" s="2026"/>
      <c r="V18" s="2026"/>
    </row>
    <row r="19" spans="1:22" ht="37.5" customHeight="1" thickTop="1" thickBot="1">
      <c r="A19" s="373" t="s">
        <v>1805</v>
      </c>
      <c r="B19" s="352" t="s">
        <v>1806</v>
      </c>
      <c r="C19" s="2084"/>
      <c r="D19" s="2085" t="s">
        <v>1807</v>
      </c>
      <c r="E19" s="2086"/>
      <c r="F19" s="2087" t="str">
        <f>IF(AND(C19="是",E19="否"),"是否提供他项权证或相关说明","")</f>
        <v/>
      </c>
      <c r="G19" s="2088"/>
      <c r="H19" s="2039"/>
      <c r="I19" s="2039"/>
      <c r="J19" s="2039"/>
      <c r="K19" s="2048"/>
      <c r="L19" s="2025"/>
      <c r="M19" s="2025"/>
      <c r="N19" s="2077"/>
      <c r="O19" s="2076"/>
      <c r="P19" s="2077"/>
      <c r="Q19" s="2026"/>
      <c r="R19" s="2026"/>
      <c r="S19" s="2026"/>
      <c r="T19" s="2026"/>
      <c r="U19" s="2026"/>
      <c r="V19" s="2026"/>
    </row>
    <row r="20" spans="1:22" ht="18" customHeight="1">
      <c r="A20" s="2089" t="s">
        <v>1808</v>
      </c>
      <c r="B20" s="3086" t="s">
        <v>1809</v>
      </c>
      <c r="C20" s="3087"/>
      <c r="D20" s="3088" t="s">
        <v>1810</v>
      </c>
      <c r="E20" s="3089"/>
      <c r="F20" s="2090" t="s">
        <v>1811</v>
      </c>
      <c r="G20" s="2039"/>
      <c r="H20" s="2039"/>
      <c r="I20" s="2039"/>
      <c r="J20" s="2039"/>
      <c r="K20" s="3085" t="s">
        <v>1812</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77"/>
      <c r="O20" s="2076"/>
      <c r="P20" s="2077"/>
      <c r="Q20" s="2026"/>
      <c r="R20" s="2026"/>
      <c r="S20" s="2026"/>
      <c r="T20" s="2026"/>
      <c r="U20" s="2026"/>
      <c r="V20" s="2026"/>
    </row>
    <row r="21" spans="1:22" ht="24.75" customHeight="1">
      <c r="A21" s="2089"/>
      <c r="B21" s="2091" t="s">
        <v>1813</v>
      </c>
      <c r="C21" s="2092" t="s">
        <v>1814</v>
      </c>
      <c r="D21" s="2093" t="s">
        <v>1815</v>
      </c>
      <c r="E21" s="2094" t="s">
        <v>1814</v>
      </c>
      <c r="F21" s="2095"/>
      <c r="G21" s="2039"/>
      <c r="H21" s="2039"/>
      <c r="I21" s="2039"/>
      <c r="J21" s="2039"/>
      <c r="K21" s="3085"/>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77"/>
      <c r="O21" s="2076"/>
      <c r="P21" s="2077"/>
      <c r="Q21" s="2026"/>
      <c r="R21" s="2026"/>
      <c r="S21" s="2026"/>
      <c r="T21" s="2026"/>
      <c r="U21" s="2026"/>
      <c r="V21" s="2026"/>
    </row>
    <row r="22" spans="1:22" ht="24.75" customHeight="1" thickBot="1">
      <c r="A22" s="2089"/>
      <c r="B22" s="2096" t="s">
        <v>1816</v>
      </c>
      <c r="C22" s="2092" t="s">
        <v>1817</v>
      </c>
      <c r="D22" s="2023"/>
      <c r="E22" s="2023"/>
      <c r="F22" s="2097"/>
      <c r="G22" s="2039"/>
      <c r="H22" s="2039"/>
      <c r="I22" s="2039"/>
      <c r="J22" s="2039"/>
      <c r="K22" s="3085"/>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77"/>
      <c r="O22" s="2076"/>
      <c r="P22" s="2077"/>
      <c r="Q22" s="2026"/>
      <c r="R22" s="2026"/>
      <c r="S22" s="2026"/>
      <c r="T22" s="2026"/>
      <c r="U22" s="2026"/>
      <c r="V22" s="2026"/>
    </row>
    <row r="23" spans="1:22" ht="18" customHeight="1">
      <c r="A23" s="2098" t="s">
        <v>1818</v>
      </c>
      <c r="B23" s="183" t="s">
        <v>1819</v>
      </c>
      <c r="C23" s="2099"/>
      <c r="D23" s="2100" t="s">
        <v>1819</v>
      </c>
      <c r="E23" s="2101"/>
      <c r="F23" s="2097"/>
      <c r="G23" s="2039"/>
      <c r="H23" s="2039"/>
      <c r="I23" s="2039"/>
      <c r="J23" s="2039"/>
      <c r="K23" s="2102"/>
      <c r="L23" s="747"/>
      <c r="M23" s="2025"/>
      <c r="N23" s="2077"/>
      <c r="O23" s="2076"/>
      <c r="P23" s="2077"/>
      <c r="Q23" s="2026"/>
      <c r="R23" s="2026"/>
      <c r="S23" s="2026"/>
      <c r="T23" s="2026"/>
      <c r="U23" s="2026"/>
      <c r="V23" s="2026"/>
    </row>
    <row r="24" spans="1:22" ht="18" customHeight="1">
      <c r="A24" s="2103"/>
      <c r="B24" s="183" t="s">
        <v>1820</v>
      </c>
      <c r="C24" s="2104"/>
      <c r="D24" s="2098" t="s">
        <v>1820</v>
      </c>
      <c r="E24" s="2105"/>
      <c r="F24" s="2097"/>
      <c r="G24" s="2039"/>
      <c r="H24" s="2039"/>
      <c r="I24" s="2039"/>
      <c r="J24" s="2039"/>
      <c r="K24" s="2102"/>
      <c r="L24" s="747"/>
      <c r="M24" s="2025"/>
      <c r="N24" s="2077"/>
      <c r="O24" s="2076"/>
      <c r="P24" s="2077"/>
      <c r="Q24" s="2026"/>
      <c r="R24" s="2026"/>
      <c r="S24" s="2026"/>
      <c r="T24" s="2026"/>
      <c r="U24" s="2026"/>
      <c r="V24" s="2026"/>
    </row>
    <row r="25" spans="1:22" ht="18" customHeight="1">
      <c r="A25" s="2103"/>
      <c r="B25" s="183" t="s">
        <v>1821</v>
      </c>
      <c r="C25" s="2104"/>
      <c r="D25" s="2098" t="s">
        <v>1821</v>
      </c>
      <c r="E25" s="2105"/>
      <c r="F25" s="2097"/>
      <c r="G25" s="2039"/>
      <c r="H25" s="2039"/>
      <c r="I25" s="2039"/>
      <c r="J25" s="2039"/>
      <c r="K25" s="2048"/>
      <c r="L25" s="2025"/>
      <c r="M25" s="2025"/>
      <c r="N25" s="2077"/>
      <c r="O25" s="2076"/>
      <c r="P25" s="2077"/>
      <c r="Q25" s="2026"/>
      <c r="R25" s="2026"/>
      <c r="S25" s="2026"/>
      <c r="T25" s="2026"/>
      <c r="U25" s="2026"/>
      <c r="V25" s="2026"/>
    </row>
    <row r="26" spans="1:22" ht="18" customHeight="1" thickBot="1">
      <c r="A26" s="2106"/>
      <c r="B26" s="2107" t="s">
        <v>1822</v>
      </c>
      <c r="C26" s="2108"/>
      <c r="D26" s="2109" t="s">
        <v>1823</v>
      </c>
      <c r="E26" s="2110"/>
      <c r="F26" s="2111"/>
      <c r="G26" s="2056"/>
      <c r="H26" s="2056"/>
      <c r="I26" s="2056"/>
      <c r="J26" s="2039"/>
      <c r="K26" s="2048"/>
      <c r="L26" s="2025"/>
      <c r="M26" s="2025"/>
      <c r="N26" s="2077"/>
      <c r="O26" s="2076"/>
      <c r="P26" s="2077"/>
      <c r="Q26" s="2026"/>
      <c r="R26" s="2026"/>
      <c r="S26" s="2026"/>
      <c r="T26" s="2026"/>
      <c r="U26" s="2026"/>
      <c r="V26" s="2026"/>
    </row>
    <row r="27" spans="1:22" ht="18" customHeight="1" thickTop="1">
      <c r="A27" s="3073" t="s">
        <v>1824</v>
      </c>
      <c r="B27" s="2057" t="s">
        <v>1825</v>
      </c>
      <c r="C27" s="2112"/>
      <c r="D27" s="2113"/>
      <c r="E27" s="2039"/>
      <c r="F27" s="2039"/>
      <c r="G27" s="2039"/>
      <c r="H27" s="2039"/>
      <c r="I27" s="2039"/>
      <c r="J27" s="2026"/>
      <c r="K27" s="2075"/>
      <c r="L27" s="2076"/>
      <c r="M27" s="2076"/>
      <c r="N27" s="2077"/>
      <c r="O27" s="2076"/>
      <c r="P27" s="2077"/>
      <c r="Q27" s="2026"/>
      <c r="R27" s="2026"/>
      <c r="S27" s="2026"/>
      <c r="T27" s="2026"/>
      <c r="U27" s="2026"/>
      <c r="V27" s="2026"/>
    </row>
    <row r="28" spans="1:22" ht="18" customHeight="1">
      <c r="A28" s="3073"/>
      <c r="B28" s="2032" t="s">
        <v>1826</v>
      </c>
      <c r="C28" s="2114"/>
      <c r="D28" s="2115"/>
      <c r="E28" s="2039"/>
      <c r="F28" s="2039"/>
      <c r="G28" s="2039"/>
      <c r="H28" s="2039"/>
      <c r="I28" s="2039"/>
      <c r="J28" s="2026"/>
      <c r="K28" s="2116"/>
      <c r="L28" s="2025"/>
      <c r="M28" s="2025"/>
      <c r="N28" s="2026"/>
      <c r="O28" s="2027"/>
      <c r="P28" s="2026"/>
      <c r="Q28" s="2026"/>
      <c r="R28" s="2026"/>
      <c r="S28" s="2026"/>
      <c r="T28" s="2026"/>
      <c r="U28" s="2026"/>
      <c r="V28" s="2026"/>
    </row>
    <row r="29" spans="1:22" ht="18" customHeight="1">
      <c r="A29" s="3073"/>
      <c r="B29" s="2032" t="s">
        <v>1827</v>
      </c>
      <c r="C29" s="2117"/>
      <c r="D29" s="2118"/>
      <c r="E29" s="2039"/>
      <c r="F29" s="2039"/>
      <c r="G29" s="2039"/>
      <c r="H29" s="2039"/>
      <c r="I29" s="2039"/>
      <c r="J29" s="2026"/>
      <c r="K29" s="2116"/>
      <c r="L29" s="2025"/>
      <c r="M29" s="2025"/>
      <c r="N29" s="2026"/>
      <c r="O29" s="2027"/>
      <c r="P29" s="2026"/>
      <c r="Q29" s="2026"/>
      <c r="R29" s="2026"/>
      <c r="S29" s="2026"/>
      <c r="T29" s="2026"/>
      <c r="U29" s="2026"/>
      <c r="V29" s="2026"/>
    </row>
    <row r="30" spans="1:22" ht="18" customHeight="1">
      <c r="A30" s="3074"/>
      <c r="B30" s="2032" t="s">
        <v>1828</v>
      </c>
      <c r="C30" s="3075"/>
      <c r="D30" s="3076"/>
      <c r="E30" s="2039"/>
      <c r="F30" s="2039"/>
      <c r="G30" s="2039"/>
      <c r="H30" s="2039"/>
      <c r="I30" s="2039"/>
      <c r="J30" s="2026"/>
      <c r="K30" s="2116"/>
      <c r="L30" s="2025"/>
      <c r="M30" s="2025"/>
      <c r="N30" s="2026"/>
      <c r="O30" s="2027"/>
      <c r="P30" s="2026"/>
      <c r="Q30" s="2026"/>
      <c r="R30" s="2026"/>
      <c r="S30" s="2026"/>
      <c r="T30" s="2026"/>
      <c r="U30" s="2026"/>
      <c r="V30" s="2026"/>
    </row>
    <row r="31" spans="1:22" ht="18" customHeight="1">
      <c r="A31" s="3077" t="s">
        <v>1829</v>
      </c>
      <c r="B31" s="2119"/>
      <c r="C31" s="2120" t="str">
        <f>IF(B31="现房","成新及维护状况正常否",IF(B31="在建","工程状态是否正常",IF(B31="土地","是否闲置","-")))</f>
        <v>-</v>
      </c>
      <c r="D31" s="2121"/>
      <c r="E31" s="2122"/>
      <c r="F31" s="2039"/>
      <c r="G31" s="2039"/>
      <c r="H31" s="2039"/>
      <c r="I31" s="2039"/>
      <c r="J31" s="2039"/>
      <c r="K31" s="2047"/>
      <c r="L31" s="2025"/>
      <c r="M31" s="2025"/>
      <c r="N31" s="2026"/>
      <c r="O31" s="2027"/>
      <c r="P31" s="2026"/>
      <c r="Q31" s="2026"/>
      <c r="R31" s="2026"/>
      <c r="S31" s="2026"/>
      <c r="T31" s="2026"/>
      <c r="U31" s="2026"/>
      <c r="V31" s="2026"/>
    </row>
    <row r="32" spans="1:22" ht="18" customHeight="1">
      <c r="A32" s="3078"/>
      <c r="B32" s="2119"/>
      <c r="C32" s="2120" t="str">
        <f>IF(B32="现房","成新及维护状况是否正常",IF(B32="在建","工程状态是否正常",IF(B32="土地","是否闲置","-")))</f>
        <v>-</v>
      </c>
      <c r="D32" s="2121"/>
      <c r="E32" s="2122"/>
      <c r="F32" s="2039"/>
      <c r="G32" s="2039"/>
      <c r="H32" s="2039"/>
      <c r="I32" s="2039"/>
      <c r="J32" s="2039"/>
      <c r="K32" s="2048"/>
      <c r="L32" s="2025"/>
      <c r="M32" s="2025"/>
      <c r="N32" s="2026"/>
      <c r="O32" s="2027"/>
      <c r="P32" s="2026"/>
      <c r="Q32" s="2026"/>
      <c r="R32" s="2026"/>
      <c r="S32" s="2026"/>
      <c r="T32" s="2026"/>
      <c r="U32" s="2026"/>
      <c r="V32" s="2026"/>
    </row>
    <row r="33" spans="1:22" ht="18" customHeight="1">
      <c r="A33" s="3078"/>
      <c r="B33" s="2123"/>
      <c r="C33" s="2063" t="str">
        <f>IF(B33="现房","成新及维护状况是否正常",IF(B33="在建","工程状态是否正常",IF(B33="土地","是否闲置","-")))</f>
        <v>-</v>
      </c>
      <c r="D33" s="2124"/>
      <c r="E33" s="2125"/>
      <c r="F33" s="2039"/>
      <c r="G33" s="2039"/>
      <c r="H33" s="2039"/>
      <c r="I33" s="2039"/>
      <c r="J33" s="2039"/>
      <c r="K33" s="2048"/>
      <c r="L33" s="2025"/>
      <c r="M33" s="2025"/>
      <c r="N33" s="2026"/>
      <c r="O33" s="2027"/>
      <c r="P33" s="2026"/>
      <c r="Q33" s="2026"/>
      <c r="R33" s="2026"/>
      <c r="S33" s="2026"/>
      <c r="T33" s="2026"/>
      <c r="U33" s="2026"/>
      <c r="V33" s="2026"/>
    </row>
    <row r="34" spans="1:22" ht="18" customHeight="1">
      <c r="A34" s="2032" t="s">
        <v>1830</v>
      </c>
      <c r="B34" s="2126" t="s">
        <v>3267</v>
      </c>
      <c r="C34" s="2126" t="s">
        <v>3268</v>
      </c>
      <c r="D34" s="2126" t="s">
        <v>3269</v>
      </c>
      <c r="E34" s="2126" t="s">
        <v>3269</v>
      </c>
      <c r="F34" s="2126" t="s">
        <v>3270</v>
      </c>
      <c r="G34" s="2126"/>
      <c r="H34" s="2126"/>
      <c r="I34" s="2039"/>
      <c r="J34" s="2039"/>
      <c r="K34" s="1793">
        <f>COUNTIF(B34:H34,"——")</f>
        <v>0</v>
      </c>
      <c r="L34" s="2067" t="s">
        <v>1831</v>
      </c>
      <c r="M34" s="2067" t="s">
        <v>1832</v>
      </c>
      <c r="N34" s="2067" t="s">
        <v>1833</v>
      </c>
      <c r="O34" s="2067" t="s">
        <v>1834</v>
      </c>
      <c r="P34" s="2067" t="s">
        <v>1835</v>
      </c>
      <c r="Q34" s="2067" t="s">
        <v>1836</v>
      </c>
      <c r="R34" s="2067" t="s">
        <v>1837</v>
      </c>
      <c r="S34" s="3072" t="s">
        <v>1838</v>
      </c>
      <c r="T34" s="2127" t="str">
        <f>NUMBERSTRING(7-K34,1)&amp;"通"</f>
        <v>七通</v>
      </c>
      <c r="U34" s="2026"/>
      <c r="V34" s="2026"/>
    </row>
    <row r="35" spans="1:22" ht="18" customHeight="1">
      <c r="A35" s="2128"/>
      <c r="B35" s="3079" t="s">
        <v>1839</v>
      </c>
      <c r="C35" s="3079"/>
      <c r="D35" s="3079"/>
      <c r="E35" s="3079"/>
      <c r="F35" s="2129" t="str">
        <f>C10</f>
        <v>江苏省泰州市</v>
      </c>
      <c r="G35" s="2039"/>
      <c r="H35" s="2039"/>
      <c r="I35" s="2039"/>
      <c r="J35" s="2039"/>
      <c r="K35" s="2067"/>
      <c r="L35" s="2067" t="str">
        <f>B34</f>
        <v>通路</v>
      </c>
      <c r="M35" s="48" t="str">
        <f>B34&amp;"、"&amp;C34</f>
        <v>通路、通电</v>
      </c>
      <c r="N35" s="48" t="str">
        <f>B34&amp;"、"&amp;C34&amp;"、"&amp;D34</f>
        <v>通路、通电、通讯</v>
      </c>
      <c r="O35" s="48" t="str">
        <f>B34&amp;"、"&amp;C34&amp;"、"&amp;D34&amp;"、"&amp;E34</f>
        <v>通路、通电、通讯、通讯</v>
      </c>
      <c r="P35" s="48" t="str">
        <f>B34&amp;"、"&amp;C34&amp;"、"&amp;D34&amp;"、"&amp;E34&amp;"、"&amp;F34</f>
        <v>通路、通电、通讯、通讯、通下水</v>
      </c>
      <c r="Q35" s="48" t="str">
        <f>B34&amp;"、"&amp;C34&amp;"、"&amp;D34&amp;"、"&amp;E34&amp;"、"&amp;F34&amp;"、"&amp;G34</f>
        <v>通路、通电、通讯、通讯、通下水、</v>
      </c>
      <c r="R35" s="48" t="str">
        <f>B34&amp;"、"&amp;C34&amp;"、"&amp;D34&amp;"、"&amp;E34&amp;"、"&amp;F34&amp;"、"&amp;G34&amp;"、"&amp;H34</f>
        <v>通路、通电、通讯、通讯、通下水、、</v>
      </c>
      <c r="S35" s="3072"/>
      <c r="T35" s="48" t="str">
        <f>IF(T34="一通",L35,IF(T34="二通",M35,IF(T34="三通",N35,IF(T34="四通",O35,IF(T34="五通",P35,IF(T34="六通",Q35,R35))))))</f>
        <v>通路、通电、通讯、通讯、通下水、、</v>
      </c>
      <c r="U35" s="2026"/>
      <c r="V35" s="2026"/>
    </row>
    <row r="36" spans="1:22" ht="18" customHeight="1">
      <c r="A36" s="2130"/>
      <c r="B36" s="2129" t="s">
        <v>1840</v>
      </c>
      <c r="C36" s="2129" t="s">
        <v>1841</v>
      </c>
      <c r="D36" s="2129" t="s">
        <v>1842</v>
      </c>
      <c r="E36" s="2129" t="s">
        <v>1843</v>
      </c>
      <c r="F36" s="2131"/>
      <c r="G36" s="2039"/>
      <c r="H36" s="2039"/>
      <c r="I36" s="2039"/>
      <c r="J36" s="2039"/>
      <c r="K36" s="2048"/>
      <c r="L36" s="2025"/>
      <c r="M36" s="2025"/>
      <c r="N36" s="2026"/>
      <c r="O36" s="2027"/>
      <c r="P36" s="2026"/>
      <c r="Q36" s="2026"/>
      <c r="R36" s="2026"/>
      <c r="S36" s="2026"/>
      <c r="T36" s="2026"/>
      <c r="U36" s="2026"/>
      <c r="V36" s="2026"/>
    </row>
    <row r="37" spans="1:22" ht="18" customHeight="1">
      <c r="A37" s="2132" t="s">
        <v>1844</v>
      </c>
      <c r="B37" s="2133"/>
      <c r="C37" s="2133"/>
      <c r="D37" s="2133"/>
      <c r="E37" s="2133"/>
      <c r="F37" s="2131"/>
      <c r="G37" s="2039"/>
      <c r="H37" s="2039"/>
      <c r="I37" s="2039"/>
      <c r="J37" s="2039"/>
      <c r="K37" s="2048"/>
      <c r="L37" s="2025"/>
      <c r="M37" s="2025"/>
      <c r="N37" s="2026"/>
      <c r="O37" s="2027"/>
      <c r="P37" s="2026"/>
      <c r="Q37" s="2026"/>
      <c r="R37" s="2026"/>
      <c r="S37" s="2026"/>
      <c r="T37" s="2026"/>
      <c r="U37" s="2026"/>
      <c r="V37" s="2026"/>
    </row>
    <row r="38" spans="1:22" ht="18" customHeight="1" thickBot="1">
      <c r="A38" s="2134" t="s">
        <v>1845</v>
      </c>
      <c r="B38" s="2135"/>
      <c r="C38" s="2135"/>
      <c r="D38" s="2135"/>
      <c r="E38" s="2135"/>
      <c r="F38" s="2136"/>
      <c r="G38" s="2056"/>
      <c r="H38" s="2056"/>
      <c r="I38" s="2056"/>
      <c r="J38" s="2039"/>
      <c r="K38" s="2048"/>
      <c r="L38" s="2025"/>
      <c r="M38" s="2025"/>
      <c r="N38" s="2026"/>
      <c r="O38" s="2027"/>
      <c r="P38" s="2026"/>
      <c r="Q38" s="2026"/>
      <c r="R38" s="2026"/>
      <c r="S38" s="2026"/>
      <c r="T38" s="2026"/>
      <c r="U38" s="2026"/>
      <c r="V38" s="2026"/>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6"/>
      <c r="B40" s="2026"/>
      <c r="C40" s="2026"/>
      <c r="D40" s="2026"/>
      <c r="E40" s="2026"/>
      <c r="F40" s="2026"/>
      <c r="G40" s="2026"/>
      <c r="H40" s="2026"/>
      <c r="I40" s="2142"/>
      <c r="J40" s="2077"/>
      <c r="K40" s="666"/>
      <c r="L40" s="2076"/>
      <c r="M40" s="2076"/>
      <c r="N40" s="2077"/>
      <c r="O40" s="2076"/>
      <c r="P40" s="2026"/>
      <c r="Q40" s="2026"/>
      <c r="R40" s="2026"/>
      <c r="S40" s="2026"/>
      <c r="T40" s="2026"/>
      <c r="U40" s="2026"/>
      <c r="V40" s="2026"/>
    </row>
    <row r="41" spans="1:22" ht="18" customHeight="1">
      <c r="A41" s="8" t="s">
        <v>1847</v>
      </c>
      <c r="B41" s="2143"/>
      <c r="C41" s="2144"/>
      <c r="D41" s="2026"/>
      <c r="E41" s="2026"/>
      <c r="F41" s="2026"/>
      <c r="G41" s="2026"/>
      <c r="H41" s="2026"/>
      <c r="I41" s="2027"/>
      <c r="J41" s="2026"/>
      <c r="K41" s="2116"/>
      <c r="L41" s="2025"/>
      <c r="M41" s="2025"/>
      <c r="N41" s="2026"/>
      <c r="O41" s="2027"/>
      <c r="P41" s="2026"/>
      <c r="Q41" s="2026"/>
      <c r="R41" s="2026"/>
      <c r="S41" s="2026"/>
      <c r="T41" s="2026"/>
      <c r="U41" s="2026"/>
      <c r="V41" s="2026"/>
    </row>
    <row r="42" spans="1:22" ht="18" customHeight="1">
      <c r="A42" s="2067" t="s">
        <v>1848</v>
      </c>
      <c r="B42" s="1793" t="s">
        <v>1849</v>
      </c>
      <c r="C42" s="1793" t="s">
        <v>1850</v>
      </c>
      <c r="D42" s="1793" t="s">
        <v>1851</v>
      </c>
      <c r="E42" s="1793" t="s">
        <v>1852</v>
      </c>
      <c r="F42" s="1793" t="s">
        <v>1853</v>
      </c>
      <c r="G42" s="1793" t="s">
        <v>1854</v>
      </c>
      <c r="H42" s="1793" t="s">
        <v>1855</v>
      </c>
      <c r="I42" s="1793" t="s">
        <v>1856</v>
      </c>
      <c r="J42" s="2145" t="s">
        <v>1857</v>
      </c>
      <c r="K42" s="2068" t="s">
        <v>1858</v>
      </c>
      <c r="L42" s="2068" t="s">
        <v>1859</v>
      </c>
      <c r="M42" s="2068" t="s">
        <v>1860</v>
      </c>
      <c r="N42" s="1793" t="s">
        <v>1861</v>
      </c>
      <c r="O42" s="1793" t="s">
        <v>1862</v>
      </c>
      <c r="P42" s="1793" t="s">
        <v>1863</v>
      </c>
      <c r="Q42" s="2067" t="s">
        <v>1864</v>
      </c>
      <c r="R42" s="2067" t="s">
        <v>1865</v>
      </c>
      <c r="S42" s="2026"/>
      <c r="T42" s="2026"/>
      <c r="U42" s="2026"/>
      <c r="V42" s="2026"/>
    </row>
    <row r="43" spans="1:22" s="2150" customFormat="1" ht="18" customHeight="1">
      <c r="A43" s="2146"/>
      <c r="B43" s="1270"/>
      <c r="C43" s="1270"/>
      <c r="D43" s="1270"/>
      <c r="E43" s="1270"/>
      <c r="F43" s="1270"/>
      <c r="G43" s="1270"/>
      <c r="H43" s="9"/>
      <c r="I43" s="9"/>
      <c r="J43" s="2147"/>
      <c r="K43" s="2148"/>
      <c r="L43" s="2148"/>
      <c r="M43" s="9"/>
      <c r="N43" s="1270"/>
      <c r="O43" s="9"/>
      <c r="P43" s="1270"/>
      <c r="Q43" s="1270"/>
      <c r="R43" s="1270"/>
      <c r="S43" s="2149"/>
      <c r="T43" s="2149"/>
      <c r="U43" s="2149"/>
      <c r="V43" s="2149"/>
    </row>
    <row r="44" spans="1:22" s="2150" customFormat="1" ht="18" customHeight="1">
      <c r="A44" s="2146"/>
      <c r="B44" s="2146"/>
      <c r="C44" s="1270"/>
      <c r="D44" s="1270"/>
      <c r="E44" s="1270"/>
      <c r="F44" s="1270"/>
      <c r="G44" s="1270"/>
      <c r="H44" s="9"/>
      <c r="I44" s="9"/>
      <c r="J44" s="2147"/>
      <c r="K44" s="2148"/>
      <c r="L44" s="2148"/>
      <c r="M44" s="9"/>
      <c r="N44" s="1270"/>
      <c r="O44" s="9"/>
      <c r="P44" s="1270"/>
      <c r="Q44" s="1270"/>
      <c r="R44" s="1270"/>
      <c r="S44" s="2149"/>
      <c r="T44" s="2149"/>
      <c r="U44" s="2149"/>
      <c r="V44" s="2149"/>
    </row>
    <row r="45" spans="1:22" s="2150" customFormat="1" ht="18" customHeight="1">
      <c r="A45" s="2146"/>
      <c r="B45" s="2146"/>
      <c r="C45" s="1270"/>
      <c r="D45" s="1270"/>
      <c r="E45" s="1270"/>
      <c r="F45" s="1270"/>
      <c r="G45" s="1270"/>
      <c r="H45" s="9"/>
      <c r="I45" s="9"/>
      <c r="J45" s="2147"/>
      <c r="K45" s="2148"/>
      <c r="L45" s="2148"/>
      <c r="M45" s="9"/>
      <c r="N45" s="1270"/>
      <c r="O45" s="9"/>
      <c r="P45" s="1270"/>
      <c r="Q45" s="1270"/>
      <c r="R45" s="1270"/>
      <c r="S45" s="2149"/>
      <c r="T45" s="2149"/>
      <c r="U45" s="2149"/>
      <c r="V45" s="2149"/>
    </row>
    <row r="46" spans="1:22" s="2150" customFormat="1" ht="18" customHeight="1">
      <c r="A46" s="2146"/>
      <c r="B46" s="2146"/>
      <c r="C46" s="1270"/>
      <c r="D46" s="1270"/>
      <c r="E46" s="1270"/>
      <c r="F46" s="1270"/>
      <c r="G46" s="1270"/>
      <c r="H46" s="9"/>
      <c r="I46" s="9"/>
      <c r="J46" s="2147"/>
      <c r="K46" s="2148"/>
      <c r="L46" s="2148"/>
      <c r="M46" s="9"/>
      <c r="N46" s="1270"/>
      <c r="O46" s="9"/>
      <c r="P46" s="1270"/>
      <c r="Q46" s="1270"/>
      <c r="R46" s="1270"/>
      <c r="S46" s="2149"/>
      <c r="T46" s="2149"/>
      <c r="U46" s="2149"/>
      <c r="V46" s="2149"/>
    </row>
    <row r="47" spans="1:22" s="2150" customFormat="1" ht="18" customHeight="1">
      <c r="A47" s="2146"/>
      <c r="B47" s="2146"/>
      <c r="C47" s="1270"/>
      <c r="D47" s="1270"/>
      <c r="E47" s="1270"/>
      <c r="F47" s="1270"/>
      <c r="G47" s="1270"/>
      <c r="H47" s="9"/>
      <c r="I47" s="9"/>
      <c r="J47" s="2147"/>
      <c r="K47" s="2148"/>
      <c r="L47" s="2148"/>
      <c r="M47" s="9"/>
      <c r="N47" s="1270"/>
      <c r="O47" s="9"/>
      <c r="P47" s="1270"/>
      <c r="Q47" s="1270"/>
      <c r="R47" s="1270"/>
      <c r="S47" s="2149"/>
      <c r="T47" s="2149"/>
      <c r="U47" s="2149"/>
      <c r="V47" s="2149"/>
    </row>
    <row r="48" spans="1:22" s="2150" customFormat="1" ht="18" customHeight="1">
      <c r="A48" s="2146"/>
      <c r="B48" s="2146"/>
      <c r="C48" s="1270"/>
      <c r="D48" s="1270"/>
      <c r="E48" s="1270"/>
      <c r="F48" s="1270"/>
      <c r="G48" s="1270"/>
      <c r="H48" s="9"/>
      <c r="I48" s="9"/>
      <c r="J48" s="2147"/>
      <c r="K48" s="2148"/>
      <c r="L48" s="2148"/>
      <c r="M48" s="9"/>
      <c r="N48" s="1270"/>
      <c r="O48" s="9"/>
      <c r="P48" s="1270"/>
      <c r="Q48" s="1270"/>
      <c r="R48" s="1270"/>
      <c r="S48" s="2149"/>
      <c r="T48" s="2149"/>
      <c r="U48" s="2149"/>
      <c r="V48" s="2149"/>
    </row>
    <row r="49" spans="1:22" s="2150" customFormat="1" ht="18" customHeight="1">
      <c r="A49" s="2146"/>
      <c r="B49" s="2146"/>
      <c r="C49" s="1270"/>
      <c r="D49" s="1270"/>
      <c r="E49" s="1270"/>
      <c r="F49" s="1270"/>
      <c r="G49" s="1270"/>
      <c r="H49" s="9"/>
      <c r="I49" s="9"/>
      <c r="J49" s="2147"/>
      <c r="K49" s="2148"/>
      <c r="L49" s="2148"/>
      <c r="M49" s="9"/>
      <c r="N49" s="1270"/>
      <c r="O49" s="9"/>
      <c r="P49" s="1270"/>
      <c r="Q49" s="1270"/>
      <c r="R49" s="1270"/>
      <c r="S49" s="2149"/>
      <c r="T49" s="2149"/>
      <c r="U49" s="2149"/>
      <c r="V49" s="2149"/>
    </row>
    <row r="50" spans="1:22" s="2150" customFormat="1" ht="18" customHeight="1">
      <c r="A50" s="2146"/>
      <c r="B50" s="2146"/>
      <c r="C50" s="1270"/>
      <c r="D50" s="1270"/>
      <c r="E50" s="1270"/>
      <c r="F50" s="1270"/>
      <c r="G50" s="1270"/>
      <c r="H50" s="9"/>
      <c r="I50" s="9"/>
      <c r="J50" s="2147"/>
      <c r="K50" s="2148"/>
      <c r="L50" s="2148"/>
      <c r="M50" s="9"/>
      <c r="N50" s="1270"/>
      <c r="O50" s="9"/>
      <c r="P50" s="1270"/>
      <c r="Q50" s="1270"/>
      <c r="R50" s="1270"/>
      <c r="S50" s="2149"/>
      <c r="T50" s="2149"/>
      <c r="U50" s="2149"/>
      <c r="V50" s="2149"/>
    </row>
    <row r="51" spans="1:22" s="2150" customFormat="1" ht="18" customHeight="1">
      <c r="A51" s="2146"/>
      <c r="B51" s="2146"/>
      <c r="C51" s="1270"/>
      <c r="D51" s="1270"/>
      <c r="E51" s="1270"/>
      <c r="F51" s="1270"/>
      <c r="G51" s="1270"/>
      <c r="H51" s="9"/>
      <c r="I51" s="9"/>
      <c r="J51" s="2147"/>
      <c r="K51" s="2148"/>
      <c r="L51" s="2148"/>
      <c r="M51" s="9"/>
      <c r="N51" s="1270"/>
      <c r="O51" s="9"/>
      <c r="P51" s="1270"/>
      <c r="Q51" s="1270"/>
      <c r="R51" s="1270"/>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26" sqref="L26"/>
    </sheetView>
  </sheetViews>
  <sheetFormatPr defaultColWidth="8.875" defaultRowHeight="14.25"/>
  <cols>
    <col min="1" max="1" width="10.625" style="2152" customWidth="1"/>
    <col min="2" max="2" width="11" style="2152" customWidth="1"/>
    <col min="3" max="3" width="10.375" style="2152" customWidth="1"/>
    <col min="4" max="4" width="9.125" style="2152" customWidth="1"/>
    <col min="5" max="6" width="10" style="2215" customWidth="1"/>
    <col min="7" max="8" width="10" style="2152" customWidth="1"/>
    <col min="9" max="9" width="10.625" style="2152" customWidth="1"/>
    <col min="10" max="10" width="9.5" style="2152" customWidth="1"/>
    <col min="11" max="11" width="11" style="2152" customWidth="1"/>
    <col min="12" max="14" width="9.5" style="2152" customWidth="1"/>
    <col min="15" max="15" width="9.875" style="2152" customWidth="1"/>
    <col min="16" max="16" width="9.75" style="2152" customWidth="1"/>
    <col min="17" max="17" width="9.375" style="2152" customWidth="1"/>
    <col min="18" max="18" width="9.25" style="2152" customWidth="1"/>
    <col min="19" max="19" width="10.875" style="2152" customWidth="1"/>
    <col min="20" max="21" width="10.75" style="2152" customWidth="1"/>
    <col min="22" max="22" width="10.875" style="2152" customWidth="1"/>
    <col min="23" max="27" width="10.75" style="2152" customWidth="1"/>
    <col min="28" max="28" width="10.875" style="2152" customWidth="1"/>
    <col min="29" max="29" width="11" style="2152" bestFit="1" customWidth="1"/>
    <col min="30" max="30" width="10" style="2152" bestFit="1" customWidth="1"/>
    <col min="31" max="31" width="9.75" style="2152" customWidth="1"/>
    <col min="32" max="46" width="9.5" style="2152" customWidth="1"/>
    <col min="47" max="47" width="18.125" style="2152" customWidth="1"/>
    <col min="48" max="50" width="9.75" style="2152" customWidth="1"/>
    <col min="51" max="55" width="10.5" style="2152" bestFit="1" customWidth="1"/>
    <col min="56" max="56" width="9.5" style="2152" bestFit="1" customWidth="1"/>
    <col min="57" max="63" width="9.125" style="2152" bestFit="1" customWidth="1"/>
    <col min="64" max="64" width="9.5" style="2152" bestFit="1" customWidth="1"/>
    <col min="65" max="65" width="9.125" style="2152" bestFit="1" customWidth="1"/>
    <col min="66" max="66" width="9.5" style="2152" bestFit="1" customWidth="1"/>
    <col min="67" max="69" width="9.125" style="2152" bestFit="1" customWidth="1"/>
    <col min="70" max="70" width="9.5" style="2152" bestFit="1" customWidth="1"/>
    <col min="71" max="71" width="9" style="2152" customWidth="1"/>
    <col min="72" max="72" width="9.125" style="2152" bestFit="1" customWidth="1"/>
    <col min="73" max="16384" width="8.875" style="2152"/>
  </cols>
  <sheetData>
    <row r="1" spans="1:72" ht="20.25">
      <c r="A1" s="2155"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56"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7" t="s">
        <v>1871</v>
      </c>
      <c r="AZ2" s="1268"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2.75">
      <c r="A3" s="13"/>
      <c r="B3" s="14">
        <f>IF(C3="否",G5-AT5,G5)</f>
        <v>3992.9400000000005</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9"/>
      <c r="AZ3" s="1270"/>
      <c r="BA3" s="1271"/>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ht="13.5"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2.75">
      <c r="A5" s="15" t="s">
        <v>1875</v>
      </c>
      <c r="B5" s="1801"/>
      <c r="C5" s="1801"/>
      <c r="D5" s="1804"/>
      <c r="E5" s="16" t="s">
        <v>1</v>
      </c>
      <c r="F5" s="16">
        <f>SUM(F13:F587)</f>
        <v>0</v>
      </c>
      <c r="G5" s="16">
        <f>SUM(G13:G587)</f>
        <v>3992.9400000000005</v>
      </c>
      <c r="H5" s="16">
        <f t="shared" ref="H5:AT5" si="0">SUM(H13:H656)</f>
        <v>3992.9400000000005</v>
      </c>
      <c r="I5" s="16">
        <f t="shared" si="0"/>
        <v>3992.9400000000005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0"/>
      <c r="AV5" s="15" t="s">
        <v>1875</v>
      </c>
      <c r="AW5" s="1801"/>
      <c r="AX5" s="1801"/>
      <c r="AY5" s="17" t="s">
        <v>3</v>
      </c>
      <c r="AZ5" s="18">
        <f t="shared" ref="AZ5:BT5" si="1">SUM(AZ13:AZ656)</f>
        <v>3992.9400000000005</v>
      </c>
      <c r="BA5" s="18">
        <f t="shared" si="1"/>
        <v>3992.9400000000005</v>
      </c>
      <c r="BB5" s="18">
        <f t="shared" si="1"/>
        <v>3992.9400000000005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2.75">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4.75">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804"/>
      <c r="AU7" s="2172" t="s">
        <v>1884</v>
      </c>
      <c r="AV7" s="23" t="s">
        <v>1885</v>
      </c>
      <c r="AW7" s="2159" t="s">
        <v>1886</v>
      </c>
      <c r="AX7" s="23" t="s">
        <v>1879</v>
      </c>
      <c r="AY7" s="1801"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6"/>
      <c r="K8" s="1816"/>
      <c r="L8" s="1816"/>
      <c r="M8" s="1816"/>
      <c r="N8" s="1816"/>
      <c r="O8" s="1816"/>
      <c r="P8" s="1816"/>
      <c r="Q8" s="1816"/>
      <c r="R8" s="1816"/>
      <c r="S8" s="1816"/>
      <c r="T8" s="1816"/>
      <c r="U8" s="1816"/>
      <c r="V8" s="2179"/>
      <c r="W8" s="1816"/>
      <c r="X8" s="1816"/>
      <c r="Y8" s="1816"/>
      <c r="Z8" s="1816"/>
      <c r="AA8" s="2179"/>
      <c r="AB8" s="2180"/>
      <c r="AC8" s="980" t="s">
        <v>1890</v>
      </c>
      <c r="AD8" s="2181"/>
      <c r="AE8" s="2173"/>
      <c r="AF8" s="1816"/>
      <c r="AG8" s="1816"/>
      <c r="AH8" s="1816"/>
      <c r="AI8" s="1816"/>
      <c r="AJ8" s="1816"/>
      <c r="AK8" s="1816"/>
      <c r="AL8" s="1816"/>
      <c r="AM8" s="1816"/>
      <c r="AN8" s="1816"/>
      <c r="AO8" s="1816"/>
      <c r="AP8" s="1816"/>
      <c r="AQ8" s="1816"/>
      <c r="AR8" s="1816"/>
      <c r="AS8" s="1816"/>
      <c r="AT8" s="1290" t="s">
        <v>1891</v>
      </c>
      <c r="AU8" s="2175" t="s">
        <v>1892</v>
      </c>
      <c r="AV8" s="1290"/>
      <c r="AW8" s="2158"/>
      <c r="AX8" s="1290"/>
      <c r="AY8" s="2159"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6"/>
    </row>
    <row r="9" spans="1:72" s="2182" customFormat="1" ht="12.75">
      <c r="A9" s="2175"/>
      <c r="B9" s="2175"/>
      <c r="C9" s="2175"/>
      <c r="D9" s="2175"/>
      <c r="E9" s="2175"/>
      <c r="F9" s="2175"/>
      <c r="G9" s="1290"/>
      <c r="H9" s="2183" t="s">
        <v>1895</v>
      </c>
      <c r="I9" s="2184" t="s">
        <v>3066</v>
      </c>
      <c r="J9" s="980"/>
      <c r="K9" s="2184"/>
      <c r="L9" s="980"/>
      <c r="M9" s="2184"/>
      <c r="N9" s="980"/>
      <c r="O9" s="2184"/>
      <c r="P9" s="980"/>
      <c r="Q9" s="2184"/>
      <c r="R9" s="980"/>
      <c r="S9" s="2184"/>
      <c r="T9" s="980"/>
      <c r="U9" s="2184"/>
      <c r="V9" s="980"/>
      <c r="W9" s="2184"/>
      <c r="X9" s="2185"/>
      <c r="Y9" s="2184"/>
      <c r="Z9" s="980"/>
      <c r="AA9" s="2184"/>
      <c r="AB9" s="980"/>
      <c r="AC9" s="2176" t="s">
        <v>1895</v>
      </c>
      <c r="AD9" s="15" t="s">
        <v>1896</v>
      </c>
      <c r="AE9" s="1296"/>
      <c r="AF9" s="15" t="s">
        <v>1897</v>
      </c>
      <c r="AG9" s="1296"/>
      <c r="AH9" s="15" t="s">
        <v>1896</v>
      </c>
      <c r="AI9" s="1296"/>
      <c r="AJ9" s="15" t="s">
        <v>1897</v>
      </c>
      <c r="AK9" s="1296"/>
      <c r="AL9" s="15" t="s">
        <v>1896</v>
      </c>
      <c r="AM9" s="1296"/>
      <c r="AN9" s="15" t="s">
        <v>1897</v>
      </c>
      <c r="AO9" s="1296"/>
      <c r="AP9" s="15" t="s">
        <v>1896</v>
      </c>
      <c r="AQ9" s="1296"/>
      <c r="AR9" s="15" t="s">
        <v>1897</v>
      </c>
      <c r="AS9" s="2186"/>
      <c r="AT9" s="2175"/>
      <c r="AU9" s="2175" t="s">
        <v>1898</v>
      </c>
      <c r="AV9" s="1290"/>
      <c r="AW9" s="2158"/>
      <c r="AX9" s="1290"/>
      <c r="AY9" s="28"/>
      <c r="AZ9" s="28" t="s">
        <v>1888</v>
      </c>
      <c r="BA9" s="2187" t="s">
        <v>1899</v>
      </c>
      <c r="BB9" s="2188"/>
      <c r="BC9" s="1336"/>
      <c r="BD9" s="1336"/>
      <c r="BE9" s="1336"/>
      <c r="BF9" s="1336"/>
      <c r="BG9" s="1336"/>
      <c r="BH9" s="1336"/>
      <c r="BI9" s="1336"/>
      <c r="BJ9" s="1336"/>
      <c r="BK9" s="2189"/>
      <c r="BL9" s="15" t="s">
        <v>1900</v>
      </c>
      <c r="BM9" s="1816"/>
      <c r="BN9" s="2178"/>
      <c r="BO9" s="1816"/>
      <c r="BP9" s="1816"/>
      <c r="BQ9" s="1816"/>
      <c r="BR9" s="1816"/>
      <c r="BS9" s="1816"/>
      <c r="BT9" s="26"/>
    </row>
    <row r="10" spans="1:72" s="2182" customFormat="1" ht="12.75">
      <c r="A10" s="2175"/>
      <c r="B10" s="2175"/>
      <c r="C10" s="2175"/>
      <c r="D10" s="2175"/>
      <c r="E10" s="2175"/>
      <c r="F10" s="2175"/>
      <c r="G10" s="1290"/>
      <c r="H10" s="28"/>
      <c r="I10" s="2184" t="s">
        <v>1373</v>
      </c>
      <c r="J10" s="980"/>
      <c r="K10" s="2190"/>
      <c r="L10" s="980"/>
      <c r="M10" s="2190"/>
      <c r="N10" s="980"/>
      <c r="O10" s="2190"/>
      <c r="P10" s="980"/>
      <c r="Q10" s="2190"/>
      <c r="R10" s="980"/>
      <c r="S10" s="2190"/>
      <c r="T10" s="980"/>
      <c r="U10" s="2190"/>
      <c r="V10" s="980"/>
      <c r="W10" s="2190"/>
      <c r="X10" s="980"/>
      <c r="Y10" s="2190"/>
      <c r="Z10" s="980"/>
      <c r="AA10" s="2190"/>
      <c r="AB10" s="980"/>
      <c r="AC10" s="1290"/>
      <c r="AD10" s="15" t="s">
        <v>1901</v>
      </c>
      <c r="AE10" s="2191"/>
      <c r="AF10" s="15" t="s">
        <v>1901</v>
      </c>
      <c r="AG10" s="2191"/>
      <c r="AH10" s="15" t="s">
        <v>1902</v>
      </c>
      <c r="AI10" s="2191"/>
      <c r="AJ10" s="15" t="s">
        <v>1902</v>
      </c>
      <c r="AK10" s="2191"/>
      <c r="AL10" s="15" t="s">
        <v>1903</v>
      </c>
      <c r="AM10" s="1296"/>
      <c r="AN10" s="15" t="s">
        <v>1903</v>
      </c>
      <c r="AO10" s="1296"/>
      <c r="AP10" s="15" t="s">
        <v>1904</v>
      </c>
      <c r="AQ10" s="1296"/>
      <c r="AR10" s="15" t="s">
        <v>1904</v>
      </c>
      <c r="AS10" s="1296"/>
      <c r="AT10" s="2175"/>
      <c r="AU10" s="2175"/>
      <c r="AV10" s="1290"/>
      <c r="AW10" s="2158"/>
      <c r="AX10" s="1290"/>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15" t="str">
        <f>AD9</f>
        <v>地上</v>
      </c>
      <c r="BN10" s="29" t="str">
        <f>AF9</f>
        <v>地下</v>
      </c>
      <c r="BO10" s="1815" t="str">
        <f>AH9</f>
        <v>地上</v>
      </c>
      <c r="BP10" s="29" t="str">
        <f>AJ9</f>
        <v>地下</v>
      </c>
      <c r="BQ10" s="1815" t="str">
        <f>AL9</f>
        <v>地上</v>
      </c>
      <c r="BR10" s="29" t="str">
        <f>AN9</f>
        <v>地下</v>
      </c>
      <c r="BS10" s="1815" t="str">
        <f>AP9</f>
        <v>地上</v>
      </c>
      <c r="BT10" s="2194" t="str">
        <f>AR9</f>
        <v>地下</v>
      </c>
    </row>
    <row r="11" spans="1:72" s="2182" customFormat="1" ht="12.75">
      <c r="A11" s="2175"/>
      <c r="B11" s="2175"/>
      <c r="C11" s="2175"/>
      <c r="D11" s="2175"/>
      <c r="E11" s="2175"/>
      <c r="F11" s="2175"/>
      <c r="G11" s="1290"/>
      <c r="H11" s="2192"/>
      <c r="I11" s="2195" t="s">
        <v>3067</v>
      </c>
      <c r="J11" s="2196"/>
      <c r="K11" s="2195"/>
      <c r="L11" s="2196"/>
      <c r="M11" s="2195"/>
      <c r="N11" s="2196"/>
      <c r="O11" s="2195"/>
      <c r="P11" s="2196"/>
      <c r="Q11" s="2195"/>
      <c r="R11" s="2196"/>
      <c r="S11" s="2195"/>
      <c r="T11" s="2196"/>
      <c r="U11" s="2195"/>
      <c r="V11" s="2196"/>
      <c r="W11" s="2195"/>
      <c r="X11" s="2196"/>
      <c r="Y11" s="2195"/>
      <c r="Z11" s="2196"/>
      <c r="AA11" s="2195"/>
      <c r="AB11" s="2196"/>
      <c r="AC11" s="1290"/>
      <c r="AD11" s="2197" t="s">
        <v>1905</v>
      </c>
      <c r="AE11" s="1817"/>
      <c r="AF11" s="2197" t="s">
        <v>1905</v>
      </c>
      <c r="AG11" s="1817"/>
      <c r="AH11" s="2197" t="s">
        <v>1906</v>
      </c>
      <c r="AI11" s="2198"/>
      <c r="AJ11" s="2197" t="s">
        <v>1906</v>
      </c>
      <c r="AK11" s="1817"/>
      <c r="AL11" s="1815"/>
      <c r="AM11" s="1817"/>
      <c r="AN11" s="1815"/>
      <c r="AO11" s="1817"/>
      <c r="AP11" s="1815"/>
      <c r="AQ11" s="1817"/>
      <c r="AR11" s="1815"/>
      <c r="AS11" s="1817"/>
      <c r="AT11" s="2158"/>
      <c r="AU11" s="2175"/>
      <c r="AV11" s="1290"/>
      <c r="AW11" s="2158"/>
      <c r="AX11" s="1290"/>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90"/>
      <c r="BM11" s="1815" t="str">
        <f>AD10</f>
        <v>公共配套设施</v>
      </c>
      <c r="BN11" s="1815"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2.75">
      <c r="A12" s="2200"/>
      <c r="B12" s="2200"/>
      <c r="C12" s="2200"/>
      <c r="D12" s="2200"/>
      <c r="E12" s="2200"/>
      <c r="F12" s="2200"/>
      <c r="G12" s="30"/>
      <c r="H12" s="2201"/>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2"/>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独立商业</v>
      </c>
      <c r="BC12" s="2205">
        <f>K11</f>
        <v>0</v>
      </c>
      <c r="BD12" s="2205">
        <f>M11</f>
        <v>0</v>
      </c>
      <c r="BE12" s="2180">
        <f>O11</f>
        <v>0</v>
      </c>
      <c r="BF12" s="2180">
        <f>Q11</f>
        <v>0</v>
      </c>
      <c r="BG12" s="2180">
        <f>S11</f>
        <v>0</v>
      </c>
      <c r="BH12" s="2180">
        <f>U11</f>
        <v>0</v>
      </c>
      <c r="BI12" s="2180">
        <f>W11</f>
        <v>0</v>
      </c>
      <c r="BJ12" s="2180">
        <f>Y11</f>
        <v>0</v>
      </c>
      <c r="BK12" s="2180">
        <f>AA11</f>
        <v>0</v>
      </c>
      <c r="BL12" s="1290"/>
      <c r="BM12" s="1815" t="str">
        <f>AD11</f>
        <v>（住宅）</v>
      </c>
      <c r="BN12" s="1815" t="str">
        <f>AF11</f>
        <v>（住宅）</v>
      </c>
      <c r="BO12" s="24" t="str">
        <f>AH11</f>
        <v>（住宅、计出让金）</v>
      </c>
      <c r="BP12" s="24" t="str">
        <f>AJ11</f>
        <v>（住宅、计出让金）</v>
      </c>
      <c r="BQ12" s="24">
        <f>AL11</f>
        <v>0</v>
      </c>
      <c r="BR12" s="24">
        <f>AN11</f>
        <v>0</v>
      </c>
      <c r="BS12" s="25">
        <f>AP11</f>
        <v>0</v>
      </c>
      <c r="BT12" s="2199">
        <f>AR11</f>
        <v>0</v>
      </c>
    </row>
    <row r="13" spans="1:72" s="2160" customFormat="1" ht="12.75">
      <c r="A13" s="1270"/>
      <c r="B13" s="1270"/>
      <c r="C13" s="1270">
        <v>101</v>
      </c>
      <c r="D13" s="2206" t="s">
        <v>3068</v>
      </c>
      <c r="E13" s="16">
        <f>IF($C$3="是",ROUND($A$3*G13/$B$3,2),ROUND($A$3*(G13-AT13)/$B$3,2))</f>
        <v>0</v>
      </c>
      <c r="F13" s="32"/>
      <c r="G13" s="33">
        <f>H13+AC13+AT13</f>
        <v>100.98</v>
      </c>
      <c r="H13" s="20">
        <f>SUMIF(I$12:AB$12,"总值",I13:AB13)</f>
        <v>100.98</v>
      </c>
      <c r="I13" s="2207">
        <f>抵押物清单!C3</f>
        <v>100.98</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101</v>
      </c>
      <c r="AY13" s="1804">
        <f>ROUND($AY$6*AZ13/$AZ$5,2)</f>
        <v>0</v>
      </c>
      <c r="AZ13" s="16">
        <f>BA13+BL13</f>
        <v>100.98</v>
      </c>
      <c r="BA13" s="16">
        <f>SUM(BB13:BK13)</f>
        <v>100.98</v>
      </c>
      <c r="BB13" s="16">
        <f>IF($D13="是",I13-J13,0)</f>
        <v>100.98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2.75">
      <c r="A14" s="1270"/>
      <c r="B14" s="1270"/>
      <c r="C14" s="2146"/>
      <c r="D14" s="2206" t="s">
        <v>3068</v>
      </c>
      <c r="E14" s="16">
        <f>IF($C$3="是",ROUND($A$3*G14/$B$3,2),ROUND($A$3*(G14-AT14)/$B$3,2))</f>
        <v>0</v>
      </c>
      <c r="F14" s="32"/>
      <c r="G14" s="33">
        <f>H14+AC14+AT14</f>
        <v>3891.9600000000005</v>
      </c>
      <c r="H14" s="20">
        <f>SUMIF(I$12:AB$12,"总值",I14:AB14)</f>
        <v>3891.9600000000005</v>
      </c>
      <c r="I14" s="2207">
        <f>抵押物清单!C47-'数据-基础表'!I13</f>
        <v>3891.9600000000005</v>
      </c>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804">
        <f>ROUND($AY$6*AZ14/$AZ$5,2)</f>
        <v>0</v>
      </c>
      <c r="AZ14" s="16">
        <f>BA14+BL14</f>
        <v>3891.9600000000005</v>
      </c>
      <c r="BA14" s="16">
        <f>SUM(BB14:BK14)</f>
        <v>3891.9600000000005</v>
      </c>
      <c r="BB14" s="16">
        <f>IF($D14="是",I14-J14,0)</f>
        <v>3891.9600000000005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2.75">
      <c r="A15" s="1270"/>
      <c r="B15" s="1270"/>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80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2.75">
      <c r="A16" s="1270"/>
      <c r="B16" s="1270"/>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80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2.75">
      <c r="A17" s="1270"/>
      <c r="B17" s="1270"/>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80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93">
        <f t="shared" ref="AV18:AV112" si="11">A18</f>
        <v>0</v>
      </c>
      <c r="AW18" s="1793">
        <f t="shared" ref="AW18:AW112" si="12">B18</f>
        <v>0</v>
      </c>
      <c r="AX18" s="1793">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93">
        <f t="shared" si="11"/>
        <v>0</v>
      </c>
      <c r="AW19" s="1793">
        <f t="shared" si="12"/>
        <v>0</v>
      </c>
      <c r="AX19" s="1793">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93">
        <f t="shared" si="11"/>
        <v>0</v>
      </c>
      <c r="AW20" s="1793">
        <f t="shared" si="12"/>
        <v>0</v>
      </c>
      <c r="AX20" s="1793">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93">
        <f t="shared" si="11"/>
        <v>0</v>
      </c>
      <c r="AW21" s="1793">
        <f t="shared" si="12"/>
        <v>0</v>
      </c>
      <c r="AX21" s="1793">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93">
        <f t="shared" si="11"/>
        <v>0</v>
      </c>
      <c r="AW22" s="1793">
        <f t="shared" si="12"/>
        <v>0</v>
      </c>
      <c r="AX22" s="1793">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93">
        <f t="shared" si="11"/>
        <v>0</v>
      </c>
      <c r="AW23" s="1793">
        <f t="shared" si="12"/>
        <v>0</v>
      </c>
      <c r="AX23" s="1793">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93">
        <f t="shared" si="11"/>
        <v>0</v>
      </c>
      <c r="AW24" s="1793">
        <f t="shared" si="12"/>
        <v>0</v>
      </c>
      <c r="AX24" s="1793">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93">
        <f t="shared" si="11"/>
        <v>0</v>
      </c>
      <c r="AW25" s="1793">
        <f t="shared" si="12"/>
        <v>0</v>
      </c>
      <c r="AX25" s="1793">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93">
        <f t="shared" si="11"/>
        <v>0</v>
      </c>
      <c r="AW26" s="1793">
        <f t="shared" si="12"/>
        <v>0</v>
      </c>
      <c r="AX26" s="1793">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93">
        <f t="shared" si="11"/>
        <v>0</v>
      </c>
      <c r="AW27" s="1793">
        <f t="shared" si="12"/>
        <v>0</v>
      </c>
      <c r="AX27" s="1793">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93">
        <f t="shared" si="11"/>
        <v>0</v>
      </c>
      <c r="AW28" s="1793">
        <f t="shared" si="12"/>
        <v>0</v>
      </c>
      <c r="AX28" s="1793">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93">
        <f t="shared" si="11"/>
        <v>0</v>
      </c>
      <c r="AW29" s="1793">
        <f t="shared" si="12"/>
        <v>0</v>
      </c>
      <c r="AX29" s="1793">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93">
        <f t="shared" si="11"/>
        <v>0</v>
      </c>
      <c r="AW30" s="1793">
        <f t="shared" si="12"/>
        <v>0</v>
      </c>
      <c r="AX30" s="1793">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93">
        <f t="shared" si="11"/>
        <v>0</v>
      </c>
      <c r="AW31" s="1793">
        <f t="shared" si="12"/>
        <v>0</v>
      </c>
      <c r="AX31" s="1793">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93">
        <f t="shared" si="11"/>
        <v>0</v>
      </c>
      <c r="AW32" s="1793">
        <f t="shared" si="12"/>
        <v>0</v>
      </c>
      <c r="AX32" s="1793">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93">
        <f t="shared" si="11"/>
        <v>0</v>
      </c>
      <c r="AW33" s="1793">
        <f t="shared" si="12"/>
        <v>0</v>
      </c>
      <c r="AX33" s="1793">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93">
        <f t="shared" si="11"/>
        <v>0</v>
      </c>
      <c r="AW34" s="1793">
        <f t="shared" si="12"/>
        <v>0</v>
      </c>
      <c r="AX34" s="1793">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93">
        <f t="shared" si="11"/>
        <v>0</v>
      </c>
      <c r="AW35" s="1793">
        <f t="shared" si="12"/>
        <v>0</v>
      </c>
      <c r="AX35" s="1793">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93">
        <f t="shared" si="11"/>
        <v>0</v>
      </c>
      <c r="AW36" s="1793">
        <f t="shared" si="12"/>
        <v>0</v>
      </c>
      <c r="AX36" s="1793">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93">
        <f t="shared" si="11"/>
        <v>0</v>
      </c>
      <c r="AW37" s="1793">
        <f t="shared" si="12"/>
        <v>0</v>
      </c>
      <c r="AX37" s="1793">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93">
        <f t="shared" si="11"/>
        <v>0</v>
      </c>
      <c r="AW38" s="1793">
        <f t="shared" si="12"/>
        <v>0</v>
      </c>
      <c r="AX38" s="1793">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93">
        <f t="shared" si="11"/>
        <v>0</v>
      </c>
      <c r="AW39" s="1793">
        <f t="shared" si="12"/>
        <v>0</v>
      </c>
      <c r="AX39" s="1793">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93">
        <f t="shared" si="11"/>
        <v>0</v>
      </c>
      <c r="AW40" s="1793">
        <f t="shared" si="12"/>
        <v>0</v>
      </c>
      <c r="AX40" s="1793">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93">
        <f t="shared" si="11"/>
        <v>0</v>
      </c>
      <c r="AW41" s="1793">
        <f t="shared" si="12"/>
        <v>0</v>
      </c>
      <c r="AX41" s="1793">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93">
        <f t="shared" si="11"/>
        <v>0</v>
      </c>
      <c r="AW42" s="1793">
        <f t="shared" si="12"/>
        <v>0</v>
      </c>
      <c r="AX42" s="1793">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93">
        <f t="shared" si="11"/>
        <v>0</v>
      </c>
      <c r="AW43" s="1793">
        <f t="shared" si="12"/>
        <v>0</v>
      </c>
      <c r="AX43" s="1793">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93">
        <f t="shared" si="11"/>
        <v>0</v>
      </c>
      <c r="AW44" s="1793">
        <f t="shared" si="12"/>
        <v>0</v>
      </c>
      <c r="AX44" s="1793">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93">
        <f t="shared" si="11"/>
        <v>0</v>
      </c>
      <c r="AW45" s="1793">
        <f t="shared" si="12"/>
        <v>0</v>
      </c>
      <c r="AX45" s="1793">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93">
        <f t="shared" si="11"/>
        <v>0</v>
      </c>
      <c r="AW46" s="1793">
        <f t="shared" si="12"/>
        <v>0</v>
      </c>
      <c r="AX46" s="1793">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93">
        <f t="shared" si="11"/>
        <v>0</v>
      </c>
      <c r="AW47" s="1793">
        <f t="shared" si="12"/>
        <v>0</v>
      </c>
      <c r="AX47" s="1793">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93">
        <f t="shared" si="11"/>
        <v>0</v>
      </c>
      <c r="AW48" s="1793">
        <f t="shared" si="12"/>
        <v>0</v>
      </c>
      <c r="AX48" s="1793">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93">
        <f t="shared" si="11"/>
        <v>0</v>
      </c>
      <c r="AW49" s="1793">
        <f t="shared" si="12"/>
        <v>0</v>
      </c>
      <c r="AX49" s="1793">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93">
        <f t="shared" si="11"/>
        <v>0</v>
      </c>
      <c r="AW50" s="1793">
        <f t="shared" si="12"/>
        <v>0</v>
      </c>
      <c r="AX50" s="1793">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93">
        <f t="shared" si="11"/>
        <v>0</v>
      </c>
      <c r="AW51" s="1793">
        <f t="shared" si="12"/>
        <v>0</v>
      </c>
      <c r="AX51" s="1793">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93">
        <f t="shared" si="11"/>
        <v>0</v>
      </c>
      <c r="AW52" s="1793">
        <f t="shared" si="12"/>
        <v>0</v>
      </c>
      <c r="AX52" s="1793">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93">
        <f t="shared" si="11"/>
        <v>0</v>
      </c>
      <c r="AW53" s="1793">
        <f t="shared" si="12"/>
        <v>0</v>
      </c>
      <c r="AX53" s="1793">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93">
        <f t="shared" si="11"/>
        <v>0</v>
      </c>
      <c r="AW54" s="1793">
        <f t="shared" si="12"/>
        <v>0</v>
      </c>
      <c r="AX54" s="1793">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93">
        <f t="shared" si="11"/>
        <v>0</v>
      </c>
      <c r="AW55" s="1793">
        <f t="shared" si="12"/>
        <v>0</v>
      </c>
      <c r="AX55" s="1793">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93">
        <f t="shared" si="11"/>
        <v>0</v>
      </c>
      <c r="AW56" s="1793">
        <f t="shared" si="12"/>
        <v>0</v>
      </c>
      <c r="AX56" s="1793">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93">
        <f t="shared" si="11"/>
        <v>0</v>
      </c>
      <c r="AW57" s="1793">
        <f t="shared" si="12"/>
        <v>0</v>
      </c>
      <c r="AX57" s="1793">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93">
        <f t="shared" si="11"/>
        <v>0</v>
      </c>
      <c r="AW58" s="1793">
        <f t="shared" si="12"/>
        <v>0</v>
      </c>
      <c r="AX58" s="1793">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93">
        <f t="shared" si="11"/>
        <v>0</v>
      </c>
      <c r="AW59" s="1793">
        <f t="shared" si="12"/>
        <v>0</v>
      </c>
      <c r="AX59" s="1793">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93">
        <f t="shared" si="11"/>
        <v>0</v>
      </c>
      <c r="AW60" s="1793">
        <f t="shared" si="12"/>
        <v>0</v>
      </c>
      <c r="AX60" s="1793">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93">
        <f t="shared" si="11"/>
        <v>0</v>
      </c>
      <c r="AW61" s="1793">
        <f t="shared" si="12"/>
        <v>0</v>
      </c>
      <c r="AX61" s="1793">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93">
        <f t="shared" si="11"/>
        <v>0</v>
      </c>
      <c r="AW62" s="1793">
        <f t="shared" si="12"/>
        <v>0</v>
      </c>
      <c r="AX62" s="1793">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93">
        <f t="shared" si="11"/>
        <v>0</v>
      </c>
      <c r="AW63" s="1793">
        <f t="shared" si="12"/>
        <v>0</v>
      </c>
      <c r="AX63" s="1793">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93">
        <f t="shared" si="11"/>
        <v>0</v>
      </c>
      <c r="AW64" s="1793">
        <f t="shared" si="12"/>
        <v>0</v>
      </c>
      <c r="AX64" s="1793">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93">
        <f t="shared" si="11"/>
        <v>0</v>
      </c>
      <c r="AW65" s="1793">
        <f t="shared" si="12"/>
        <v>0</v>
      </c>
      <c r="AX65" s="1793">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93">
        <f t="shared" si="11"/>
        <v>0</v>
      </c>
      <c r="AW66" s="1793">
        <f t="shared" si="12"/>
        <v>0</v>
      </c>
      <c r="AX66" s="1793">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93">
        <f t="shared" si="11"/>
        <v>0</v>
      </c>
      <c r="AW67" s="1793">
        <f t="shared" si="12"/>
        <v>0</v>
      </c>
      <c r="AX67" s="1793">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93">
        <f t="shared" si="11"/>
        <v>0</v>
      </c>
      <c r="AW68" s="1793">
        <f t="shared" si="12"/>
        <v>0</v>
      </c>
      <c r="AX68" s="1793">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93">
        <f t="shared" si="11"/>
        <v>0</v>
      </c>
      <c r="AW69" s="1793">
        <f t="shared" si="12"/>
        <v>0</v>
      </c>
      <c r="AX69" s="1793">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93">
        <f t="shared" si="11"/>
        <v>0</v>
      </c>
      <c r="AW70" s="1793">
        <f t="shared" si="12"/>
        <v>0</v>
      </c>
      <c r="AX70" s="1793">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93">
        <f t="shared" si="11"/>
        <v>0</v>
      </c>
      <c r="AW71" s="1793">
        <f t="shared" si="12"/>
        <v>0</v>
      </c>
      <c r="AX71" s="1793">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93">
        <f t="shared" si="11"/>
        <v>0</v>
      </c>
      <c r="AW72" s="1793">
        <f t="shared" si="12"/>
        <v>0</v>
      </c>
      <c r="AX72" s="1793">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93">
        <f t="shared" si="11"/>
        <v>0</v>
      </c>
      <c r="AW73" s="1793">
        <f t="shared" si="12"/>
        <v>0</v>
      </c>
      <c r="AX73" s="1793">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93">
        <f t="shared" si="11"/>
        <v>0</v>
      </c>
      <c r="AW74" s="1793">
        <f t="shared" si="12"/>
        <v>0</v>
      </c>
      <c r="AX74" s="1793">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93">
        <f t="shared" si="11"/>
        <v>0</v>
      </c>
      <c r="AW75" s="1793">
        <f t="shared" si="12"/>
        <v>0</v>
      </c>
      <c r="AX75" s="1793">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93">
        <f t="shared" si="11"/>
        <v>0</v>
      </c>
      <c r="AW76" s="1793">
        <f t="shared" si="12"/>
        <v>0</v>
      </c>
      <c r="AX76" s="1793">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93">
        <f t="shared" si="11"/>
        <v>0</v>
      </c>
      <c r="AW77" s="1793">
        <f t="shared" si="12"/>
        <v>0</v>
      </c>
      <c r="AX77" s="1793">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93">
        <f t="shared" si="11"/>
        <v>0</v>
      </c>
      <c r="AW78" s="1793">
        <f t="shared" si="12"/>
        <v>0</v>
      </c>
      <c r="AX78" s="1793">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93">
        <f t="shared" si="11"/>
        <v>0</v>
      </c>
      <c r="AW79" s="1793">
        <f t="shared" si="12"/>
        <v>0</v>
      </c>
      <c r="AX79" s="1793">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93">
        <f t="shared" si="11"/>
        <v>0</v>
      </c>
      <c r="AW80" s="1793">
        <f t="shared" si="12"/>
        <v>0</v>
      </c>
      <c r="AX80" s="1793">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93">
        <f t="shared" si="11"/>
        <v>0</v>
      </c>
      <c r="AW81" s="1793">
        <f t="shared" si="12"/>
        <v>0</v>
      </c>
      <c r="AX81" s="1793">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93">
        <f t="shared" si="11"/>
        <v>0</v>
      </c>
      <c r="AW82" s="1793">
        <f t="shared" si="12"/>
        <v>0</v>
      </c>
      <c r="AX82" s="1793">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93">
        <f t="shared" si="11"/>
        <v>0</v>
      </c>
      <c r="AW83" s="1793">
        <f t="shared" si="12"/>
        <v>0</v>
      </c>
      <c r="AX83" s="1793">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93">
        <f t="shared" si="11"/>
        <v>0</v>
      </c>
      <c r="AW84" s="1793">
        <f t="shared" si="12"/>
        <v>0</v>
      </c>
      <c r="AX84" s="1793">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93">
        <f t="shared" si="11"/>
        <v>0</v>
      </c>
      <c r="AW85" s="1793">
        <f t="shared" si="12"/>
        <v>0</v>
      </c>
      <c r="AX85" s="1793">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93">
        <f t="shared" si="11"/>
        <v>0</v>
      </c>
      <c r="AW86" s="1793">
        <f t="shared" si="12"/>
        <v>0</v>
      </c>
      <c r="AX86" s="1793">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93">
        <f t="shared" si="11"/>
        <v>0</v>
      </c>
      <c r="AW87" s="1793">
        <f t="shared" si="12"/>
        <v>0</v>
      </c>
      <c r="AX87" s="1793">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93">
        <f t="shared" si="11"/>
        <v>0</v>
      </c>
      <c r="AW88" s="1793">
        <f t="shared" si="12"/>
        <v>0</v>
      </c>
      <c r="AX88" s="1793">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93">
        <f t="shared" si="11"/>
        <v>0</v>
      </c>
      <c r="AW89" s="1793">
        <f t="shared" si="12"/>
        <v>0</v>
      </c>
      <c r="AX89" s="1793">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93">
        <f t="shared" si="11"/>
        <v>0</v>
      </c>
      <c r="AW90" s="1793">
        <f t="shared" si="12"/>
        <v>0</v>
      </c>
      <c r="AX90" s="1793">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93">
        <f t="shared" si="11"/>
        <v>0</v>
      </c>
      <c r="AW91" s="1793">
        <f t="shared" si="12"/>
        <v>0</v>
      </c>
      <c r="AX91" s="1793">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93">
        <f t="shared" si="11"/>
        <v>0</v>
      </c>
      <c r="AW92" s="1793">
        <f t="shared" si="12"/>
        <v>0</v>
      </c>
      <c r="AX92" s="1793">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93">
        <f t="shared" si="11"/>
        <v>0</v>
      </c>
      <c r="AW93" s="1793">
        <f t="shared" si="12"/>
        <v>0</v>
      </c>
      <c r="AX93" s="1793">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93">
        <f t="shared" si="11"/>
        <v>0</v>
      </c>
      <c r="AW94" s="1793">
        <f t="shared" si="12"/>
        <v>0</v>
      </c>
      <c r="AX94" s="1793">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93">
        <f t="shared" si="11"/>
        <v>0</v>
      </c>
      <c r="AW95" s="1793">
        <f t="shared" si="12"/>
        <v>0</v>
      </c>
      <c r="AX95" s="1793">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93">
        <f t="shared" si="11"/>
        <v>0</v>
      </c>
      <c r="AW96" s="1793">
        <f t="shared" si="12"/>
        <v>0</v>
      </c>
      <c r="AX96" s="1793">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93">
        <f t="shared" si="11"/>
        <v>0</v>
      </c>
      <c r="AW97" s="1793">
        <f t="shared" si="12"/>
        <v>0</v>
      </c>
      <c r="AX97" s="1793">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93">
        <f t="shared" si="11"/>
        <v>0</v>
      </c>
      <c r="AW98" s="1793">
        <f t="shared" si="12"/>
        <v>0</v>
      </c>
      <c r="AX98" s="1793">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93">
        <f t="shared" si="11"/>
        <v>0</v>
      </c>
      <c r="AW99" s="1793">
        <f t="shared" si="12"/>
        <v>0</v>
      </c>
      <c r="AX99" s="1793">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93">
        <f t="shared" si="11"/>
        <v>0</v>
      </c>
      <c r="AW100" s="1793">
        <f t="shared" si="12"/>
        <v>0</v>
      </c>
      <c r="AX100" s="1793">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93">
        <f t="shared" si="11"/>
        <v>0</v>
      </c>
      <c r="AW101" s="1793">
        <f t="shared" si="12"/>
        <v>0</v>
      </c>
      <c r="AX101" s="1793">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93">
        <f t="shared" si="11"/>
        <v>0</v>
      </c>
      <c r="AW102" s="1793">
        <f t="shared" si="12"/>
        <v>0</v>
      </c>
      <c r="AX102" s="1793">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93">
        <f t="shared" si="11"/>
        <v>0</v>
      </c>
      <c r="AW103" s="1793">
        <f t="shared" si="12"/>
        <v>0</v>
      </c>
      <c r="AX103" s="1793">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93">
        <f t="shared" si="11"/>
        <v>0</v>
      </c>
      <c r="AW104" s="1793">
        <f t="shared" si="12"/>
        <v>0</v>
      </c>
      <c r="AX104" s="1793">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93">
        <f t="shared" si="11"/>
        <v>0</v>
      </c>
      <c r="AW105" s="1793">
        <f t="shared" si="12"/>
        <v>0</v>
      </c>
      <c r="AX105" s="1793">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93">
        <f t="shared" si="11"/>
        <v>0</v>
      </c>
      <c r="AW106" s="1793">
        <f t="shared" si="12"/>
        <v>0</v>
      </c>
      <c r="AX106" s="1793">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93">
        <f t="shared" si="11"/>
        <v>0</v>
      </c>
      <c r="AW107" s="1793">
        <f t="shared" si="12"/>
        <v>0</v>
      </c>
      <c r="AX107" s="1793">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93">
        <f t="shared" si="11"/>
        <v>0</v>
      </c>
      <c r="AW108" s="1793">
        <f t="shared" si="12"/>
        <v>0</v>
      </c>
      <c r="AX108" s="1793">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93">
        <f t="shared" si="11"/>
        <v>0</v>
      </c>
      <c r="AW109" s="1793">
        <f t="shared" si="12"/>
        <v>0</v>
      </c>
      <c r="AX109" s="1793">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93">
        <f t="shared" si="11"/>
        <v>0</v>
      </c>
      <c r="AW110" s="1793">
        <f t="shared" si="12"/>
        <v>0</v>
      </c>
      <c r="AX110" s="1793">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93">
        <f t="shared" si="11"/>
        <v>0</v>
      </c>
      <c r="AW111" s="1793">
        <f t="shared" si="12"/>
        <v>0</v>
      </c>
      <c r="AX111" s="1793">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93">
        <f t="shared" si="11"/>
        <v>0</v>
      </c>
      <c r="AW112" s="1793">
        <f t="shared" si="12"/>
        <v>0</v>
      </c>
      <c r="AX112" s="1793">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93">
        <f t="shared" ref="AV113:AV144" si="62">A113</f>
        <v>0</v>
      </c>
      <c r="AW113" s="1793">
        <f t="shared" ref="AW113:AW144" si="63">B113</f>
        <v>0</v>
      </c>
      <c r="AX113" s="1793">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93">
        <f t="shared" si="62"/>
        <v>0</v>
      </c>
      <c r="AW114" s="1793">
        <f t="shared" si="63"/>
        <v>0</v>
      </c>
      <c r="AX114" s="1793">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93">
        <f t="shared" si="62"/>
        <v>0</v>
      </c>
      <c r="AW115" s="1793">
        <f t="shared" si="63"/>
        <v>0</v>
      </c>
      <c r="AX115" s="1793">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93">
        <f t="shared" si="62"/>
        <v>0</v>
      </c>
      <c r="AW116" s="1793">
        <f t="shared" si="63"/>
        <v>0</v>
      </c>
      <c r="AX116" s="1793">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93">
        <f t="shared" si="62"/>
        <v>0</v>
      </c>
      <c r="AW117" s="1793">
        <f t="shared" si="63"/>
        <v>0</v>
      </c>
      <c r="AX117" s="1793">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93">
        <f t="shared" si="62"/>
        <v>0</v>
      </c>
      <c r="AW118" s="1793">
        <f t="shared" si="63"/>
        <v>0</v>
      </c>
      <c r="AX118" s="1793">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93">
        <f t="shared" si="62"/>
        <v>0</v>
      </c>
      <c r="AW119" s="1793">
        <f t="shared" si="63"/>
        <v>0</v>
      </c>
      <c r="AX119" s="1793">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93">
        <f t="shared" si="62"/>
        <v>0</v>
      </c>
      <c r="AW120" s="1793">
        <f t="shared" si="63"/>
        <v>0</v>
      </c>
      <c r="AX120" s="1793">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93">
        <f t="shared" si="62"/>
        <v>0</v>
      </c>
      <c r="AW121" s="1793">
        <f t="shared" si="63"/>
        <v>0</v>
      </c>
      <c r="AX121" s="1793">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93">
        <f t="shared" si="62"/>
        <v>0</v>
      </c>
      <c r="AW122" s="1793">
        <f t="shared" si="63"/>
        <v>0</v>
      </c>
      <c r="AX122" s="1793">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93">
        <f t="shared" si="62"/>
        <v>0</v>
      </c>
      <c r="AW123" s="1793">
        <f t="shared" si="63"/>
        <v>0</v>
      </c>
      <c r="AX123" s="1793">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93">
        <f t="shared" si="62"/>
        <v>0</v>
      </c>
      <c r="AW124" s="1793">
        <f t="shared" si="63"/>
        <v>0</v>
      </c>
      <c r="AX124" s="1793">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93">
        <f t="shared" si="62"/>
        <v>0</v>
      </c>
      <c r="AW125" s="1793">
        <f t="shared" si="63"/>
        <v>0</v>
      </c>
      <c r="AX125" s="1793">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93">
        <f t="shared" si="62"/>
        <v>0</v>
      </c>
      <c r="AW126" s="1793">
        <f t="shared" si="63"/>
        <v>0</v>
      </c>
      <c r="AX126" s="1793">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93">
        <f t="shared" si="62"/>
        <v>0</v>
      </c>
      <c r="AW127" s="1793">
        <f t="shared" si="63"/>
        <v>0</v>
      </c>
      <c r="AX127" s="1793">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93">
        <f t="shared" si="62"/>
        <v>0</v>
      </c>
      <c r="AW128" s="1793">
        <f t="shared" si="63"/>
        <v>0</v>
      </c>
      <c r="AX128" s="1793">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93">
        <f t="shared" si="62"/>
        <v>0</v>
      </c>
      <c r="AW129" s="1793">
        <f t="shared" si="63"/>
        <v>0</v>
      </c>
      <c r="AX129" s="1793">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93">
        <f t="shared" si="62"/>
        <v>0</v>
      </c>
      <c r="AW130" s="1793">
        <f t="shared" si="63"/>
        <v>0</v>
      </c>
      <c r="AX130" s="1793">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93">
        <f t="shared" si="62"/>
        <v>0</v>
      </c>
      <c r="AW131" s="1793">
        <f t="shared" si="63"/>
        <v>0</v>
      </c>
      <c r="AX131" s="1793">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93">
        <f t="shared" si="62"/>
        <v>0</v>
      </c>
      <c r="AW132" s="1793">
        <f t="shared" si="63"/>
        <v>0</v>
      </c>
      <c r="AX132" s="1793">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93">
        <f t="shared" si="62"/>
        <v>0</v>
      </c>
      <c r="AW133" s="1793">
        <f t="shared" si="63"/>
        <v>0</v>
      </c>
      <c r="AX133" s="1793">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93">
        <f t="shared" si="62"/>
        <v>0</v>
      </c>
      <c r="AW134" s="1793">
        <f t="shared" si="63"/>
        <v>0</v>
      </c>
      <c r="AX134" s="1793">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93">
        <f t="shared" si="62"/>
        <v>0</v>
      </c>
      <c r="AW135" s="1793">
        <f t="shared" si="63"/>
        <v>0</v>
      </c>
      <c r="AX135" s="1793">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93">
        <f t="shared" si="62"/>
        <v>0</v>
      </c>
      <c r="AW136" s="1793">
        <f t="shared" si="63"/>
        <v>0</v>
      </c>
      <c r="AX136" s="1793">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93">
        <f t="shared" si="62"/>
        <v>0</v>
      </c>
      <c r="AW137" s="1793">
        <f t="shared" si="63"/>
        <v>0</v>
      </c>
      <c r="AX137" s="1793">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93">
        <f t="shared" si="62"/>
        <v>0</v>
      </c>
      <c r="AW138" s="1793">
        <f t="shared" si="63"/>
        <v>0</v>
      </c>
      <c r="AX138" s="1793">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93">
        <f t="shared" si="62"/>
        <v>0</v>
      </c>
      <c r="AW139" s="1793">
        <f t="shared" si="63"/>
        <v>0</v>
      </c>
      <c r="AX139" s="1793">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93">
        <f t="shared" si="62"/>
        <v>0</v>
      </c>
      <c r="AW140" s="1793">
        <f t="shared" si="63"/>
        <v>0</v>
      </c>
      <c r="AX140" s="1793">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93">
        <f t="shared" si="62"/>
        <v>0</v>
      </c>
      <c r="AW141" s="1793">
        <f t="shared" si="63"/>
        <v>0</v>
      </c>
      <c r="AX141" s="1793">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93">
        <f t="shared" si="62"/>
        <v>0</v>
      </c>
      <c r="AW142" s="1793">
        <f t="shared" si="63"/>
        <v>0</v>
      </c>
      <c r="AX142" s="1793">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93">
        <f t="shared" si="62"/>
        <v>0</v>
      </c>
      <c r="AW143" s="1793">
        <f t="shared" si="63"/>
        <v>0</v>
      </c>
      <c r="AX143" s="1793">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93">
        <f t="shared" si="62"/>
        <v>0</v>
      </c>
      <c r="AW144" s="1793">
        <f t="shared" si="63"/>
        <v>0</v>
      </c>
      <c r="AX144" s="1793">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93">
        <f t="shared" ref="AV145:AV176" si="91">A145</f>
        <v>0</v>
      </c>
      <c r="AW145" s="1793">
        <f t="shared" ref="AW145:AW176" si="92">B145</f>
        <v>0</v>
      </c>
      <c r="AX145" s="1793">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93">
        <f t="shared" si="91"/>
        <v>0</v>
      </c>
      <c r="AW146" s="1793">
        <f t="shared" si="92"/>
        <v>0</v>
      </c>
      <c r="AX146" s="1793">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93">
        <f t="shared" si="91"/>
        <v>0</v>
      </c>
      <c r="AW147" s="1793">
        <f t="shared" si="92"/>
        <v>0</v>
      </c>
      <c r="AX147" s="1793">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93">
        <f t="shared" si="91"/>
        <v>0</v>
      </c>
      <c r="AW148" s="1793">
        <f t="shared" si="92"/>
        <v>0</v>
      </c>
      <c r="AX148" s="1793">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93">
        <f t="shared" si="91"/>
        <v>0</v>
      </c>
      <c r="AW149" s="1793">
        <f t="shared" si="92"/>
        <v>0</v>
      </c>
      <c r="AX149" s="1793">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93">
        <f t="shared" si="91"/>
        <v>0</v>
      </c>
      <c r="AW150" s="1793">
        <f t="shared" si="92"/>
        <v>0</v>
      </c>
      <c r="AX150" s="1793">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93">
        <f t="shared" si="91"/>
        <v>0</v>
      </c>
      <c r="AW151" s="1793">
        <f t="shared" si="92"/>
        <v>0</v>
      </c>
      <c r="AX151" s="1793">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93">
        <f t="shared" si="91"/>
        <v>0</v>
      </c>
      <c r="AW152" s="1793">
        <f t="shared" si="92"/>
        <v>0</v>
      </c>
      <c r="AX152" s="1793">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93">
        <f t="shared" si="91"/>
        <v>0</v>
      </c>
      <c r="AW153" s="1793">
        <f t="shared" si="92"/>
        <v>0</v>
      </c>
      <c r="AX153" s="1793">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93">
        <f t="shared" si="91"/>
        <v>0</v>
      </c>
      <c r="AW154" s="1793">
        <f t="shared" si="92"/>
        <v>0</v>
      </c>
      <c r="AX154" s="1793">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93">
        <f t="shared" si="91"/>
        <v>0</v>
      </c>
      <c r="AW155" s="1793">
        <f t="shared" si="92"/>
        <v>0</v>
      </c>
      <c r="AX155" s="1793">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93">
        <f t="shared" si="91"/>
        <v>0</v>
      </c>
      <c r="AW156" s="1793">
        <f t="shared" si="92"/>
        <v>0</v>
      </c>
      <c r="AX156" s="1793">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93">
        <f t="shared" si="91"/>
        <v>0</v>
      </c>
      <c r="AW157" s="1793">
        <f t="shared" si="92"/>
        <v>0</v>
      </c>
      <c r="AX157" s="1793">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93">
        <f t="shared" si="91"/>
        <v>0</v>
      </c>
      <c r="AW158" s="1793">
        <f t="shared" si="92"/>
        <v>0</v>
      </c>
      <c r="AX158" s="1793">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93">
        <f t="shared" si="91"/>
        <v>0</v>
      </c>
      <c r="AW159" s="1793">
        <f t="shared" si="92"/>
        <v>0</v>
      </c>
      <c r="AX159" s="1793">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93">
        <f t="shared" si="91"/>
        <v>0</v>
      </c>
      <c r="AW160" s="1793">
        <f t="shared" si="92"/>
        <v>0</v>
      </c>
      <c r="AX160" s="1793">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93">
        <f t="shared" si="91"/>
        <v>0</v>
      </c>
      <c r="AW161" s="1793">
        <f t="shared" si="92"/>
        <v>0</v>
      </c>
      <c r="AX161" s="1793">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93">
        <f t="shared" si="91"/>
        <v>0</v>
      </c>
      <c r="AW162" s="1793">
        <f t="shared" si="92"/>
        <v>0</v>
      </c>
      <c r="AX162" s="1793">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93">
        <f t="shared" si="91"/>
        <v>0</v>
      </c>
      <c r="AW163" s="1793">
        <f t="shared" si="92"/>
        <v>0</v>
      </c>
      <c r="AX163" s="1793">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93">
        <f t="shared" si="91"/>
        <v>0</v>
      </c>
      <c r="AW164" s="1793">
        <f t="shared" si="92"/>
        <v>0</v>
      </c>
      <c r="AX164" s="1793">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93">
        <f t="shared" si="91"/>
        <v>0</v>
      </c>
      <c r="AW165" s="1793">
        <f t="shared" si="92"/>
        <v>0</v>
      </c>
      <c r="AX165" s="1793">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93">
        <f t="shared" si="91"/>
        <v>0</v>
      </c>
      <c r="AW166" s="1793">
        <f t="shared" si="92"/>
        <v>0</v>
      </c>
      <c r="AX166" s="1793">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93">
        <f t="shared" si="91"/>
        <v>0</v>
      </c>
      <c r="AW167" s="1793">
        <f t="shared" si="92"/>
        <v>0</v>
      </c>
      <c r="AX167" s="1793">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93">
        <f t="shared" si="91"/>
        <v>0</v>
      </c>
      <c r="AW168" s="1793">
        <f t="shared" si="92"/>
        <v>0</v>
      </c>
      <c r="AX168" s="1793">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93">
        <f t="shared" si="91"/>
        <v>0</v>
      </c>
      <c r="AW169" s="1793">
        <f t="shared" si="92"/>
        <v>0</v>
      </c>
      <c r="AX169" s="1793">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93">
        <f t="shared" si="91"/>
        <v>0</v>
      </c>
      <c r="AW170" s="1793">
        <f t="shared" si="92"/>
        <v>0</v>
      </c>
      <c r="AX170" s="1793">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93">
        <f t="shared" si="91"/>
        <v>0</v>
      </c>
      <c r="AW171" s="1793">
        <f t="shared" si="92"/>
        <v>0</v>
      </c>
      <c r="AX171" s="1793">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93">
        <f t="shared" si="91"/>
        <v>0</v>
      </c>
      <c r="AW172" s="1793">
        <f t="shared" si="92"/>
        <v>0</v>
      </c>
      <c r="AX172" s="1793">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93">
        <f t="shared" si="91"/>
        <v>0</v>
      </c>
      <c r="AW173" s="1793">
        <f t="shared" si="92"/>
        <v>0</v>
      </c>
      <c r="AX173" s="1793">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93">
        <f t="shared" si="91"/>
        <v>0</v>
      </c>
      <c r="AW174" s="1793">
        <f t="shared" si="92"/>
        <v>0</v>
      </c>
      <c r="AX174" s="1793">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93">
        <f t="shared" si="91"/>
        <v>0</v>
      </c>
      <c r="AW175" s="1793">
        <f t="shared" si="92"/>
        <v>0</v>
      </c>
      <c r="AX175" s="1793">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93">
        <f t="shared" si="91"/>
        <v>0</v>
      </c>
      <c r="AW176" s="1793">
        <f t="shared" si="92"/>
        <v>0</v>
      </c>
      <c r="AX176" s="1793">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93">
        <f t="shared" ref="AV177:AV207" si="120">A177</f>
        <v>0</v>
      </c>
      <c r="AW177" s="1793">
        <f t="shared" ref="AW177:AW207" si="121">B177</f>
        <v>0</v>
      </c>
      <c r="AX177" s="1793">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93">
        <f t="shared" si="120"/>
        <v>0</v>
      </c>
      <c r="AW178" s="1793">
        <f t="shared" si="121"/>
        <v>0</v>
      </c>
      <c r="AX178" s="1793">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93">
        <f t="shared" si="120"/>
        <v>0</v>
      </c>
      <c r="AW179" s="1793">
        <f t="shared" si="121"/>
        <v>0</v>
      </c>
      <c r="AX179" s="1793">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93">
        <f t="shared" si="120"/>
        <v>0</v>
      </c>
      <c r="AW180" s="1793">
        <f t="shared" si="121"/>
        <v>0</v>
      </c>
      <c r="AX180" s="1793">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93">
        <f t="shared" si="120"/>
        <v>0</v>
      </c>
      <c r="AW181" s="1793">
        <f t="shared" si="121"/>
        <v>0</v>
      </c>
      <c r="AX181" s="1793">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93">
        <f t="shared" si="120"/>
        <v>0</v>
      </c>
      <c r="AW182" s="1793">
        <f t="shared" si="121"/>
        <v>0</v>
      </c>
      <c r="AX182" s="1793">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93">
        <f t="shared" si="120"/>
        <v>0</v>
      </c>
      <c r="AW183" s="1793">
        <f t="shared" si="121"/>
        <v>0</v>
      </c>
      <c r="AX183" s="1793">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93">
        <f t="shared" si="120"/>
        <v>0</v>
      </c>
      <c r="AW184" s="1793">
        <f t="shared" si="121"/>
        <v>0</v>
      </c>
      <c r="AX184" s="1793">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93">
        <f t="shared" si="120"/>
        <v>0</v>
      </c>
      <c r="AW185" s="1793">
        <f t="shared" si="121"/>
        <v>0</v>
      </c>
      <c r="AX185" s="1793">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93">
        <f t="shared" si="120"/>
        <v>0</v>
      </c>
      <c r="AW186" s="1793">
        <f t="shared" si="121"/>
        <v>0</v>
      </c>
      <c r="AX186" s="1793">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93">
        <f t="shared" si="120"/>
        <v>0</v>
      </c>
      <c r="AW187" s="1793">
        <f t="shared" si="121"/>
        <v>0</v>
      </c>
      <c r="AX187" s="1793">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93">
        <f t="shared" si="120"/>
        <v>0</v>
      </c>
      <c r="AW188" s="1793">
        <f t="shared" si="121"/>
        <v>0</v>
      </c>
      <c r="AX188" s="1793">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93">
        <f t="shared" si="120"/>
        <v>0</v>
      </c>
      <c r="AW189" s="1793">
        <f t="shared" si="121"/>
        <v>0</v>
      </c>
      <c r="AX189" s="1793">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93">
        <f t="shared" si="120"/>
        <v>0</v>
      </c>
      <c r="AW190" s="1793">
        <f t="shared" si="121"/>
        <v>0</v>
      </c>
      <c r="AX190" s="1793">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93">
        <f t="shared" si="120"/>
        <v>0</v>
      </c>
      <c r="AW191" s="1793">
        <f t="shared" si="121"/>
        <v>0</v>
      </c>
      <c r="AX191" s="1793">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93">
        <f t="shared" si="120"/>
        <v>0</v>
      </c>
      <c r="AW192" s="1793">
        <f t="shared" si="121"/>
        <v>0</v>
      </c>
      <c r="AX192" s="1793">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93">
        <f t="shared" si="120"/>
        <v>0</v>
      </c>
      <c r="AW193" s="1793">
        <f t="shared" si="121"/>
        <v>0</v>
      </c>
      <c r="AX193" s="1793">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93">
        <f t="shared" si="120"/>
        <v>0</v>
      </c>
      <c r="AW194" s="1793">
        <f t="shared" si="121"/>
        <v>0</v>
      </c>
      <c r="AX194" s="1793">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93">
        <f t="shared" si="120"/>
        <v>0</v>
      </c>
      <c r="AW195" s="1793">
        <f t="shared" si="121"/>
        <v>0</v>
      </c>
      <c r="AX195" s="1793">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93">
        <f t="shared" si="120"/>
        <v>0</v>
      </c>
      <c r="AW196" s="1793">
        <f t="shared" si="121"/>
        <v>0</v>
      </c>
      <c r="AX196" s="1793">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93">
        <f t="shared" si="120"/>
        <v>0</v>
      </c>
      <c r="AW197" s="1793">
        <f t="shared" si="121"/>
        <v>0</v>
      </c>
      <c r="AX197" s="1793">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93">
        <f t="shared" si="120"/>
        <v>0</v>
      </c>
      <c r="AW198" s="1793">
        <f t="shared" si="121"/>
        <v>0</v>
      </c>
      <c r="AX198" s="1793">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93">
        <f t="shared" si="120"/>
        <v>0</v>
      </c>
      <c r="AW199" s="1793">
        <f t="shared" si="121"/>
        <v>0</v>
      </c>
      <c r="AX199" s="1793">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93">
        <f t="shared" si="120"/>
        <v>0</v>
      </c>
      <c r="AW200" s="1793">
        <f t="shared" si="121"/>
        <v>0</v>
      </c>
      <c r="AX200" s="1793">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93">
        <f t="shared" si="120"/>
        <v>0</v>
      </c>
      <c r="AW201" s="1793">
        <f t="shared" si="121"/>
        <v>0</v>
      </c>
      <c r="AX201" s="1793">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93">
        <f t="shared" si="120"/>
        <v>0</v>
      </c>
      <c r="AW202" s="1793">
        <f t="shared" si="121"/>
        <v>0</v>
      </c>
      <c r="AX202" s="1793">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93">
        <f t="shared" si="120"/>
        <v>0</v>
      </c>
      <c r="AW203" s="1793">
        <f t="shared" si="121"/>
        <v>0</v>
      </c>
      <c r="AX203" s="1793">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93">
        <f t="shared" si="120"/>
        <v>0</v>
      </c>
      <c r="AW204" s="1793">
        <f t="shared" si="121"/>
        <v>0</v>
      </c>
      <c r="AX204" s="1793">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93">
        <f t="shared" si="120"/>
        <v>0</v>
      </c>
      <c r="AW205" s="1793">
        <f t="shared" si="121"/>
        <v>0</v>
      </c>
      <c r="AX205" s="1793">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93">
        <f t="shared" si="120"/>
        <v>0</v>
      </c>
      <c r="AW206" s="1793">
        <f t="shared" si="121"/>
        <v>0</v>
      </c>
      <c r="AX206" s="1793">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93">
        <f t="shared" si="120"/>
        <v>0</v>
      </c>
      <c r="AW207" s="1793">
        <f t="shared" si="121"/>
        <v>0</v>
      </c>
      <c r="AX207" s="1793">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93">
        <f t="shared" ref="AV208:AV302" si="127">A208</f>
        <v>0</v>
      </c>
      <c r="AW208" s="1793">
        <f t="shared" ref="AW208:AW302" si="128">B208</f>
        <v>0</v>
      </c>
      <c r="AX208" s="1793">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93">
        <f t="shared" si="127"/>
        <v>0</v>
      </c>
      <c r="AW209" s="1793">
        <f t="shared" si="128"/>
        <v>0</v>
      </c>
      <c r="AX209" s="1793">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93">
        <f t="shared" si="127"/>
        <v>0</v>
      </c>
      <c r="AW210" s="1793">
        <f t="shared" si="128"/>
        <v>0</v>
      </c>
      <c r="AX210" s="1793">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93">
        <f t="shared" si="127"/>
        <v>0</v>
      </c>
      <c r="AW211" s="1793">
        <f t="shared" si="128"/>
        <v>0</v>
      </c>
      <c r="AX211" s="1793">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93">
        <f t="shared" si="127"/>
        <v>0</v>
      </c>
      <c r="AW212" s="1793">
        <f t="shared" si="128"/>
        <v>0</v>
      </c>
      <c r="AX212" s="1793">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93">
        <f t="shared" si="127"/>
        <v>0</v>
      </c>
      <c r="AW213" s="1793">
        <f t="shared" si="128"/>
        <v>0</v>
      </c>
      <c r="AX213" s="1793">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93">
        <f t="shared" si="127"/>
        <v>0</v>
      </c>
      <c r="AW214" s="1793">
        <f t="shared" si="128"/>
        <v>0</v>
      </c>
      <c r="AX214" s="1793">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93">
        <f t="shared" si="127"/>
        <v>0</v>
      </c>
      <c r="AW215" s="1793">
        <f t="shared" si="128"/>
        <v>0</v>
      </c>
      <c r="AX215" s="1793">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93">
        <f t="shared" si="127"/>
        <v>0</v>
      </c>
      <c r="AW216" s="1793">
        <f t="shared" si="128"/>
        <v>0</v>
      </c>
      <c r="AX216" s="1793">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93">
        <f t="shared" si="127"/>
        <v>0</v>
      </c>
      <c r="AW217" s="1793">
        <f t="shared" si="128"/>
        <v>0</v>
      </c>
      <c r="AX217" s="1793">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93">
        <f t="shared" si="127"/>
        <v>0</v>
      </c>
      <c r="AW218" s="1793">
        <f t="shared" si="128"/>
        <v>0</v>
      </c>
      <c r="AX218" s="1793">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93">
        <f t="shared" si="127"/>
        <v>0</v>
      </c>
      <c r="AW219" s="1793">
        <f t="shared" si="128"/>
        <v>0</v>
      </c>
      <c r="AX219" s="1793">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93">
        <f t="shared" si="127"/>
        <v>0</v>
      </c>
      <c r="AW220" s="1793">
        <f t="shared" si="128"/>
        <v>0</v>
      </c>
      <c r="AX220" s="1793">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93">
        <f t="shared" si="127"/>
        <v>0</v>
      </c>
      <c r="AW221" s="1793">
        <f t="shared" si="128"/>
        <v>0</v>
      </c>
      <c r="AX221" s="1793">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93">
        <f t="shared" si="127"/>
        <v>0</v>
      </c>
      <c r="AW222" s="1793">
        <f t="shared" si="128"/>
        <v>0</v>
      </c>
      <c r="AX222" s="1793">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93">
        <f t="shared" si="127"/>
        <v>0</v>
      </c>
      <c r="AW223" s="1793">
        <f t="shared" si="128"/>
        <v>0</v>
      </c>
      <c r="AX223" s="1793">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93">
        <f t="shared" si="127"/>
        <v>0</v>
      </c>
      <c r="AW224" s="1793">
        <f t="shared" si="128"/>
        <v>0</v>
      </c>
      <c r="AX224" s="1793">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93">
        <f t="shared" si="127"/>
        <v>0</v>
      </c>
      <c r="AW225" s="1793">
        <f t="shared" si="128"/>
        <v>0</v>
      </c>
      <c r="AX225" s="1793">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93">
        <f t="shared" si="127"/>
        <v>0</v>
      </c>
      <c r="AW226" s="1793">
        <f t="shared" si="128"/>
        <v>0</v>
      </c>
      <c r="AX226" s="1793">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93">
        <f t="shared" si="127"/>
        <v>0</v>
      </c>
      <c r="AW227" s="1793">
        <f t="shared" si="128"/>
        <v>0</v>
      </c>
      <c r="AX227" s="1793">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93">
        <f t="shared" si="127"/>
        <v>0</v>
      </c>
      <c r="AW228" s="1793">
        <f t="shared" si="128"/>
        <v>0</v>
      </c>
      <c r="AX228" s="1793">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93">
        <f t="shared" si="127"/>
        <v>0</v>
      </c>
      <c r="AW229" s="1793">
        <f t="shared" si="128"/>
        <v>0</v>
      </c>
      <c r="AX229" s="1793">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93">
        <f t="shared" si="127"/>
        <v>0</v>
      </c>
      <c r="AW230" s="1793">
        <f t="shared" si="128"/>
        <v>0</v>
      </c>
      <c r="AX230" s="1793">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93">
        <f t="shared" si="127"/>
        <v>0</v>
      </c>
      <c r="AW231" s="1793">
        <f t="shared" si="128"/>
        <v>0</v>
      </c>
      <c r="AX231" s="1793">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93">
        <f t="shared" si="127"/>
        <v>0</v>
      </c>
      <c r="AW232" s="1793">
        <f t="shared" si="128"/>
        <v>0</v>
      </c>
      <c r="AX232" s="1793">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93">
        <f t="shared" si="127"/>
        <v>0</v>
      </c>
      <c r="AW233" s="1793">
        <f t="shared" si="128"/>
        <v>0</v>
      </c>
      <c r="AX233" s="1793">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93">
        <f t="shared" si="127"/>
        <v>0</v>
      </c>
      <c r="AW234" s="1793">
        <f t="shared" si="128"/>
        <v>0</v>
      </c>
      <c r="AX234" s="1793">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93">
        <f t="shared" si="127"/>
        <v>0</v>
      </c>
      <c r="AW235" s="1793">
        <f t="shared" si="128"/>
        <v>0</v>
      </c>
      <c r="AX235" s="1793">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93">
        <f t="shared" si="127"/>
        <v>0</v>
      </c>
      <c r="AW236" s="1793">
        <f t="shared" si="128"/>
        <v>0</v>
      </c>
      <c r="AX236" s="1793">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93">
        <f t="shared" si="127"/>
        <v>0</v>
      </c>
      <c r="AW237" s="1793">
        <f t="shared" si="128"/>
        <v>0</v>
      </c>
      <c r="AX237" s="1793">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93">
        <f t="shared" si="127"/>
        <v>0</v>
      </c>
      <c r="AW238" s="1793">
        <f t="shared" si="128"/>
        <v>0</v>
      </c>
      <c r="AX238" s="1793">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93">
        <f t="shared" si="127"/>
        <v>0</v>
      </c>
      <c r="AW239" s="1793">
        <f t="shared" si="128"/>
        <v>0</v>
      </c>
      <c r="AX239" s="1793">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93">
        <f t="shared" si="127"/>
        <v>0</v>
      </c>
      <c r="AW240" s="1793">
        <f t="shared" si="128"/>
        <v>0</v>
      </c>
      <c r="AX240" s="1793">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93">
        <f t="shared" si="127"/>
        <v>0</v>
      </c>
      <c r="AW241" s="1793">
        <f t="shared" si="128"/>
        <v>0</v>
      </c>
      <c r="AX241" s="1793">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93">
        <f t="shared" si="127"/>
        <v>0</v>
      </c>
      <c r="AW242" s="1793">
        <f t="shared" si="128"/>
        <v>0</v>
      </c>
      <c r="AX242" s="1793">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93">
        <f t="shared" si="127"/>
        <v>0</v>
      </c>
      <c r="AW243" s="1793">
        <f t="shared" si="128"/>
        <v>0</v>
      </c>
      <c r="AX243" s="1793">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93">
        <f t="shared" si="127"/>
        <v>0</v>
      </c>
      <c r="AW244" s="1793">
        <f t="shared" si="128"/>
        <v>0</v>
      </c>
      <c r="AX244" s="1793">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93">
        <f t="shared" si="127"/>
        <v>0</v>
      </c>
      <c r="AW245" s="1793">
        <f t="shared" si="128"/>
        <v>0</v>
      </c>
      <c r="AX245" s="1793">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93">
        <f t="shared" si="127"/>
        <v>0</v>
      </c>
      <c r="AW246" s="1793">
        <f t="shared" si="128"/>
        <v>0</v>
      </c>
      <c r="AX246" s="1793">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93">
        <f t="shared" si="127"/>
        <v>0</v>
      </c>
      <c r="AW247" s="1793">
        <f t="shared" si="128"/>
        <v>0</v>
      </c>
      <c r="AX247" s="1793">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93">
        <f t="shared" si="127"/>
        <v>0</v>
      </c>
      <c r="AW248" s="1793">
        <f t="shared" si="128"/>
        <v>0</v>
      </c>
      <c r="AX248" s="1793">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93">
        <f t="shared" si="127"/>
        <v>0</v>
      </c>
      <c r="AW249" s="1793">
        <f t="shared" si="128"/>
        <v>0</v>
      </c>
      <c r="AX249" s="1793">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93">
        <f t="shared" si="127"/>
        <v>0</v>
      </c>
      <c r="AW250" s="1793">
        <f t="shared" si="128"/>
        <v>0</v>
      </c>
      <c r="AX250" s="1793">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93">
        <f t="shared" si="127"/>
        <v>0</v>
      </c>
      <c r="AW251" s="1793">
        <f t="shared" si="128"/>
        <v>0</v>
      </c>
      <c r="AX251" s="1793">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93">
        <f t="shared" si="127"/>
        <v>0</v>
      </c>
      <c r="AW252" s="1793">
        <f t="shared" si="128"/>
        <v>0</v>
      </c>
      <c r="AX252" s="1793">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93">
        <f t="shared" si="127"/>
        <v>0</v>
      </c>
      <c r="AW253" s="1793">
        <f t="shared" si="128"/>
        <v>0</v>
      </c>
      <c r="AX253" s="1793">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93">
        <f t="shared" si="127"/>
        <v>0</v>
      </c>
      <c r="AW254" s="1793">
        <f t="shared" si="128"/>
        <v>0</v>
      </c>
      <c r="AX254" s="1793">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93">
        <f t="shared" si="127"/>
        <v>0</v>
      </c>
      <c r="AW255" s="1793">
        <f t="shared" si="128"/>
        <v>0</v>
      </c>
      <c r="AX255" s="1793">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93">
        <f t="shared" si="127"/>
        <v>0</v>
      </c>
      <c r="AW256" s="1793">
        <f t="shared" si="128"/>
        <v>0</v>
      </c>
      <c r="AX256" s="1793">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93">
        <f t="shared" si="127"/>
        <v>0</v>
      </c>
      <c r="AW257" s="1793">
        <f t="shared" si="128"/>
        <v>0</v>
      </c>
      <c r="AX257" s="1793">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93">
        <f t="shared" si="127"/>
        <v>0</v>
      </c>
      <c r="AW258" s="1793">
        <f t="shared" si="128"/>
        <v>0</v>
      </c>
      <c r="AX258" s="1793">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93">
        <f t="shared" si="127"/>
        <v>0</v>
      </c>
      <c r="AW259" s="1793">
        <f t="shared" si="128"/>
        <v>0</v>
      </c>
      <c r="AX259" s="1793">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93">
        <f t="shared" si="127"/>
        <v>0</v>
      </c>
      <c r="AW260" s="1793">
        <f t="shared" si="128"/>
        <v>0</v>
      </c>
      <c r="AX260" s="1793">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93">
        <f t="shared" si="127"/>
        <v>0</v>
      </c>
      <c r="AW261" s="1793">
        <f t="shared" si="128"/>
        <v>0</v>
      </c>
      <c r="AX261" s="1793">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93">
        <f t="shared" si="127"/>
        <v>0</v>
      </c>
      <c r="AW262" s="1793">
        <f t="shared" si="128"/>
        <v>0</v>
      </c>
      <c r="AX262" s="1793">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93">
        <f t="shared" si="127"/>
        <v>0</v>
      </c>
      <c r="AW263" s="1793">
        <f t="shared" si="128"/>
        <v>0</v>
      </c>
      <c r="AX263" s="1793">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93">
        <f t="shared" si="127"/>
        <v>0</v>
      </c>
      <c r="AW264" s="1793">
        <f t="shared" si="128"/>
        <v>0</v>
      </c>
      <c r="AX264" s="1793">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93">
        <f t="shared" si="127"/>
        <v>0</v>
      </c>
      <c r="AW265" s="1793">
        <f t="shared" si="128"/>
        <v>0</v>
      </c>
      <c r="AX265" s="1793">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93">
        <f t="shared" si="127"/>
        <v>0</v>
      </c>
      <c r="AW266" s="1793">
        <f t="shared" si="128"/>
        <v>0</v>
      </c>
      <c r="AX266" s="1793">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93">
        <f t="shared" si="127"/>
        <v>0</v>
      </c>
      <c r="AW267" s="1793">
        <f t="shared" si="128"/>
        <v>0</v>
      </c>
      <c r="AX267" s="1793">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93">
        <f t="shared" si="127"/>
        <v>0</v>
      </c>
      <c r="AW268" s="1793">
        <f t="shared" si="128"/>
        <v>0</v>
      </c>
      <c r="AX268" s="1793">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93">
        <f t="shared" si="127"/>
        <v>0</v>
      </c>
      <c r="AW269" s="1793">
        <f t="shared" si="128"/>
        <v>0</v>
      </c>
      <c r="AX269" s="1793">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93">
        <f t="shared" si="127"/>
        <v>0</v>
      </c>
      <c r="AW270" s="1793">
        <f t="shared" si="128"/>
        <v>0</v>
      </c>
      <c r="AX270" s="1793">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93">
        <f t="shared" si="127"/>
        <v>0</v>
      </c>
      <c r="AW271" s="1793">
        <f t="shared" si="128"/>
        <v>0</v>
      </c>
      <c r="AX271" s="1793">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93">
        <f t="shared" si="127"/>
        <v>0</v>
      </c>
      <c r="AW272" s="1793">
        <f t="shared" si="128"/>
        <v>0</v>
      </c>
      <c r="AX272" s="1793">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93">
        <f t="shared" si="127"/>
        <v>0</v>
      </c>
      <c r="AW273" s="1793">
        <f t="shared" si="128"/>
        <v>0</v>
      </c>
      <c r="AX273" s="1793">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93">
        <f t="shared" si="127"/>
        <v>0</v>
      </c>
      <c r="AW274" s="1793">
        <f t="shared" si="128"/>
        <v>0</v>
      </c>
      <c r="AX274" s="1793">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93">
        <f t="shared" si="127"/>
        <v>0</v>
      </c>
      <c r="AW275" s="1793">
        <f t="shared" si="128"/>
        <v>0</v>
      </c>
      <c r="AX275" s="1793">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93">
        <f t="shared" si="127"/>
        <v>0</v>
      </c>
      <c r="AW276" s="1793">
        <f t="shared" si="128"/>
        <v>0</v>
      </c>
      <c r="AX276" s="1793">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93">
        <f t="shared" si="127"/>
        <v>0</v>
      </c>
      <c r="AW277" s="1793">
        <f t="shared" si="128"/>
        <v>0</v>
      </c>
      <c r="AX277" s="1793">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93">
        <f t="shared" si="127"/>
        <v>0</v>
      </c>
      <c r="AW278" s="1793">
        <f t="shared" si="128"/>
        <v>0</v>
      </c>
      <c r="AX278" s="1793">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93">
        <f t="shared" si="127"/>
        <v>0</v>
      </c>
      <c r="AW279" s="1793">
        <f t="shared" si="128"/>
        <v>0</v>
      </c>
      <c r="AX279" s="1793">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93">
        <f t="shared" si="127"/>
        <v>0</v>
      </c>
      <c r="AW280" s="1793">
        <f t="shared" si="128"/>
        <v>0</v>
      </c>
      <c r="AX280" s="1793">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93">
        <f t="shared" si="127"/>
        <v>0</v>
      </c>
      <c r="AW281" s="1793">
        <f t="shared" si="128"/>
        <v>0</v>
      </c>
      <c r="AX281" s="1793">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93">
        <f t="shared" si="127"/>
        <v>0</v>
      </c>
      <c r="AW282" s="1793">
        <f t="shared" si="128"/>
        <v>0</v>
      </c>
      <c r="AX282" s="1793">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93">
        <f t="shared" si="127"/>
        <v>0</v>
      </c>
      <c r="AW283" s="1793">
        <f t="shared" si="128"/>
        <v>0</v>
      </c>
      <c r="AX283" s="1793">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93">
        <f t="shared" si="127"/>
        <v>0</v>
      </c>
      <c r="AW284" s="1793">
        <f t="shared" si="128"/>
        <v>0</v>
      </c>
      <c r="AX284" s="1793">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93">
        <f t="shared" si="127"/>
        <v>0</v>
      </c>
      <c r="AW285" s="1793">
        <f t="shared" si="128"/>
        <v>0</v>
      </c>
      <c r="AX285" s="1793">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93">
        <f t="shared" si="127"/>
        <v>0</v>
      </c>
      <c r="AW286" s="1793">
        <f t="shared" si="128"/>
        <v>0</v>
      </c>
      <c r="AX286" s="1793">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93">
        <f t="shared" si="127"/>
        <v>0</v>
      </c>
      <c r="AW287" s="1793">
        <f t="shared" si="128"/>
        <v>0</v>
      </c>
      <c r="AX287" s="1793">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93">
        <f t="shared" si="127"/>
        <v>0</v>
      </c>
      <c r="AW288" s="1793">
        <f t="shared" si="128"/>
        <v>0</v>
      </c>
      <c r="AX288" s="1793">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93">
        <f t="shared" si="127"/>
        <v>0</v>
      </c>
      <c r="AW289" s="1793">
        <f t="shared" si="128"/>
        <v>0</v>
      </c>
      <c r="AX289" s="1793">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93">
        <f t="shared" si="127"/>
        <v>0</v>
      </c>
      <c r="AW290" s="1793">
        <f t="shared" si="128"/>
        <v>0</v>
      </c>
      <c r="AX290" s="1793">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93">
        <f t="shared" si="127"/>
        <v>0</v>
      </c>
      <c r="AW291" s="1793">
        <f t="shared" si="128"/>
        <v>0</v>
      </c>
      <c r="AX291" s="1793">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93">
        <f t="shared" si="127"/>
        <v>0</v>
      </c>
      <c r="AW292" s="1793">
        <f t="shared" si="128"/>
        <v>0</v>
      </c>
      <c r="AX292" s="1793">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93">
        <f t="shared" si="127"/>
        <v>0</v>
      </c>
      <c r="AW293" s="1793">
        <f t="shared" si="128"/>
        <v>0</v>
      </c>
      <c r="AX293" s="1793">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93">
        <f t="shared" si="127"/>
        <v>0</v>
      </c>
      <c r="AW294" s="1793">
        <f t="shared" si="128"/>
        <v>0</v>
      </c>
      <c r="AX294" s="1793">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93">
        <f t="shared" si="127"/>
        <v>0</v>
      </c>
      <c r="AW295" s="1793">
        <f t="shared" si="128"/>
        <v>0</v>
      </c>
      <c r="AX295" s="1793">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93">
        <f t="shared" si="127"/>
        <v>0</v>
      </c>
      <c r="AW296" s="1793">
        <f t="shared" si="128"/>
        <v>0</v>
      </c>
      <c r="AX296" s="1793">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93">
        <f t="shared" si="127"/>
        <v>0</v>
      </c>
      <c r="AW297" s="1793">
        <f t="shared" si="128"/>
        <v>0</v>
      </c>
      <c r="AX297" s="1793">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93">
        <f t="shared" si="127"/>
        <v>0</v>
      </c>
      <c r="AW298" s="1793">
        <f t="shared" si="128"/>
        <v>0</v>
      </c>
      <c r="AX298" s="1793">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93">
        <f t="shared" si="127"/>
        <v>0</v>
      </c>
      <c r="AW299" s="1793">
        <f t="shared" si="128"/>
        <v>0</v>
      </c>
      <c r="AX299" s="1793">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93">
        <f t="shared" si="127"/>
        <v>0</v>
      </c>
      <c r="AW300" s="1793">
        <f t="shared" si="128"/>
        <v>0</v>
      </c>
      <c r="AX300" s="1793">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93">
        <f t="shared" si="127"/>
        <v>0</v>
      </c>
      <c r="AW301" s="1793">
        <f t="shared" si="128"/>
        <v>0</v>
      </c>
      <c r="AX301" s="1793">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93">
        <f t="shared" si="127"/>
        <v>0</v>
      </c>
      <c r="AW302" s="1793">
        <f t="shared" si="128"/>
        <v>0</v>
      </c>
      <c r="AX302" s="1793">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93">
        <f t="shared" ref="AV303:AV334" si="178">A303</f>
        <v>0</v>
      </c>
      <c r="AW303" s="1793">
        <f t="shared" ref="AW303:AW334" si="179">B303</f>
        <v>0</v>
      </c>
      <c r="AX303" s="1793">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93">
        <f t="shared" si="178"/>
        <v>0</v>
      </c>
      <c r="AW304" s="1793">
        <f t="shared" si="179"/>
        <v>0</v>
      </c>
      <c r="AX304" s="1793">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93">
        <f t="shared" si="178"/>
        <v>0</v>
      </c>
      <c r="AW305" s="1793">
        <f t="shared" si="179"/>
        <v>0</v>
      </c>
      <c r="AX305" s="1793">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93">
        <f t="shared" si="178"/>
        <v>0</v>
      </c>
      <c r="AW306" s="1793">
        <f t="shared" si="179"/>
        <v>0</v>
      </c>
      <c r="AX306" s="1793">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93">
        <f t="shared" si="178"/>
        <v>0</v>
      </c>
      <c r="AW307" s="1793">
        <f t="shared" si="179"/>
        <v>0</v>
      </c>
      <c r="AX307" s="1793">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93">
        <f t="shared" si="178"/>
        <v>0</v>
      </c>
      <c r="AW308" s="1793">
        <f t="shared" si="179"/>
        <v>0</v>
      </c>
      <c r="AX308" s="1793">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93">
        <f t="shared" si="178"/>
        <v>0</v>
      </c>
      <c r="AW309" s="1793">
        <f t="shared" si="179"/>
        <v>0</v>
      </c>
      <c r="AX309" s="1793">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93">
        <f t="shared" si="178"/>
        <v>0</v>
      </c>
      <c r="AW310" s="1793">
        <f t="shared" si="179"/>
        <v>0</v>
      </c>
      <c r="AX310" s="1793">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93">
        <f t="shared" si="178"/>
        <v>0</v>
      </c>
      <c r="AW311" s="1793">
        <f t="shared" si="179"/>
        <v>0</v>
      </c>
      <c r="AX311" s="1793">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93">
        <f t="shared" si="178"/>
        <v>0</v>
      </c>
      <c r="AW312" s="1793">
        <f t="shared" si="179"/>
        <v>0</v>
      </c>
      <c r="AX312" s="1793">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93">
        <f t="shared" si="178"/>
        <v>0</v>
      </c>
      <c r="AW313" s="1793">
        <f t="shared" si="179"/>
        <v>0</v>
      </c>
      <c r="AX313" s="1793">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93">
        <f t="shared" si="178"/>
        <v>0</v>
      </c>
      <c r="AW314" s="1793">
        <f t="shared" si="179"/>
        <v>0</v>
      </c>
      <c r="AX314" s="1793">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93">
        <f t="shared" si="178"/>
        <v>0</v>
      </c>
      <c r="AW315" s="1793">
        <f t="shared" si="179"/>
        <v>0</v>
      </c>
      <c r="AX315" s="1793">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93">
        <f t="shared" si="178"/>
        <v>0</v>
      </c>
      <c r="AW316" s="1793">
        <f t="shared" si="179"/>
        <v>0</v>
      </c>
      <c r="AX316" s="1793">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93">
        <f t="shared" si="178"/>
        <v>0</v>
      </c>
      <c r="AW317" s="1793">
        <f t="shared" si="179"/>
        <v>0</v>
      </c>
      <c r="AX317" s="1793">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93">
        <f t="shared" si="178"/>
        <v>0</v>
      </c>
      <c r="AW318" s="1793">
        <f t="shared" si="179"/>
        <v>0</v>
      </c>
      <c r="AX318" s="1793">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93">
        <f t="shared" si="178"/>
        <v>0</v>
      </c>
      <c r="AW319" s="1793">
        <f t="shared" si="179"/>
        <v>0</v>
      </c>
      <c r="AX319" s="1793">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93">
        <f t="shared" si="178"/>
        <v>0</v>
      </c>
      <c r="AW320" s="1793">
        <f t="shared" si="179"/>
        <v>0</v>
      </c>
      <c r="AX320" s="1793">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93">
        <f t="shared" si="178"/>
        <v>0</v>
      </c>
      <c r="AW321" s="1793">
        <f t="shared" si="179"/>
        <v>0</v>
      </c>
      <c r="AX321" s="1793">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93">
        <f t="shared" si="178"/>
        <v>0</v>
      </c>
      <c r="AW322" s="1793">
        <f t="shared" si="179"/>
        <v>0</v>
      </c>
      <c r="AX322" s="1793">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93">
        <f t="shared" si="178"/>
        <v>0</v>
      </c>
      <c r="AW323" s="1793">
        <f t="shared" si="179"/>
        <v>0</v>
      </c>
      <c r="AX323" s="1793">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93">
        <f t="shared" si="178"/>
        <v>0</v>
      </c>
      <c r="AW324" s="1793">
        <f t="shared" si="179"/>
        <v>0</v>
      </c>
      <c r="AX324" s="1793">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93">
        <f t="shared" si="178"/>
        <v>0</v>
      </c>
      <c r="AW325" s="1793">
        <f t="shared" si="179"/>
        <v>0</v>
      </c>
      <c r="AX325" s="1793">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93">
        <f t="shared" si="178"/>
        <v>0</v>
      </c>
      <c r="AW326" s="1793">
        <f t="shared" si="179"/>
        <v>0</v>
      </c>
      <c r="AX326" s="1793">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93">
        <f t="shared" si="178"/>
        <v>0</v>
      </c>
      <c r="AW327" s="1793">
        <f t="shared" si="179"/>
        <v>0</v>
      </c>
      <c r="AX327" s="1793">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93">
        <f t="shared" si="178"/>
        <v>0</v>
      </c>
      <c r="AW328" s="1793">
        <f t="shared" si="179"/>
        <v>0</v>
      </c>
      <c r="AX328" s="1793">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93">
        <f t="shared" si="178"/>
        <v>0</v>
      </c>
      <c r="AW329" s="1793">
        <f t="shared" si="179"/>
        <v>0</v>
      </c>
      <c r="AX329" s="1793">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93">
        <f t="shared" si="178"/>
        <v>0</v>
      </c>
      <c r="AW330" s="1793">
        <f t="shared" si="179"/>
        <v>0</v>
      </c>
      <c r="AX330" s="1793">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93">
        <f t="shared" si="178"/>
        <v>0</v>
      </c>
      <c r="AW331" s="1793">
        <f t="shared" si="179"/>
        <v>0</v>
      </c>
      <c r="AX331" s="1793">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93">
        <f t="shared" si="178"/>
        <v>0</v>
      </c>
      <c r="AW332" s="1793">
        <f t="shared" si="179"/>
        <v>0</v>
      </c>
      <c r="AX332" s="1793">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93">
        <f t="shared" si="178"/>
        <v>0</v>
      </c>
      <c r="AW333" s="1793">
        <f t="shared" si="179"/>
        <v>0</v>
      </c>
      <c r="AX333" s="1793">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93">
        <f t="shared" si="178"/>
        <v>0</v>
      </c>
      <c r="AW334" s="1793">
        <f t="shared" si="179"/>
        <v>0</v>
      </c>
      <c r="AX334" s="1793">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93">
        <f t="shared" ref="AV335:AV366" si="207">A335</f>
        <v>0</v>
      </c>
      <c r="AW335" s="1793">
        <f t="shared" ref="AW335:AW366" si="208">B335</f>
        <v>0</v>
      </c>
      <c r="AX335" s="1793">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93">
        <f t="shared" si="207"/>
        <v>0</v>
      </c>
      <c r="AW336" s="1793">
        <f t="shared" si="208"/>
        <v>0</v>
      </c>
      <c r="AX336" s="1793">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93">
        <f t="shared" si="207"/>
        <v>0</v>
      </c>
      <c r="AW337" s="1793">
        <f t="shared" si="208"/>
        <v>0</v>
      </c>
      <c r="AX337" s="1793">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93">
        <f t="shared" si="207"/>
        <v>0</v>
      </c>
      <c r="AW338" s="1793">
        <f t="shared" si="208"/>
        <v>0</v>
      </c>
      <c r="AX338" s="1793">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93">
        <f t="shared" si="207"/>
        <v>0</v>
      </c>
      <c r="AW339" s="1793">
        <f t="shared" si="208"/>
        <v>0</v>
      </c>
      <c r="AX339" s="1793">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93">
        <f t="shared" si="207"/>
        <v>0</v>
      </c>
      <c r="AW340" s="1793">
        <f t="shared" si="208"/>
        <v>0</v>
      </c>
      <c r="AX340" s="1793">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93">
        <f t="shared" si="207"/>
        <v>0</v>
      </c>
      <c r="AW341" s="1793">
        <f t="shared" si="208"/>
        <v>0</v>
      </c>
      <c r="AX341" s="1793">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93">
        <f t="shared" si="207"/>
        <v>0</v>
      </c>
      <c r="AW342" s="1793">
        <f t="shared" si="208"/>
        <v>0</v>
      </c>
      <c r="AX342" s="1793">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93">
        <f t="shared" si="207"/>
        <v>0</v>
      </c>
      <c r="AW343" s="1793">
        <f t="shared" si="208"/>
        <v>0</v>
      </c>
      <c r="AX343" s="1793">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93">
        <f t="shared" si="207"/>
        <v>0</v>
      </c>
      <c r="AW344" s="1793">
        <f t="shared" si="208"/>
        <v>0</v>
      </c>
      <c r="AX344" s="1793">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93">
        <f t="shared" si="207"/>
        <v>0</v>
      </c>
      <c r="AW345" s="1793">
        <f t="shared" si="208"/>
        <v>0</v>
      </c>
      <c r="AX345" s="1793">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93">
        <f t="shared" si="207"/>
        <v>0</v>
      </c>
      <c r="AW346" s="1793">
        <f t="shared" si="208"/>
        <v>0</v>
      </c>
      <c r="AX346" s="1793">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93">
        <f t="shared" si="207"/>
        <v>0</v>
      </c>
      <c r="AW347" s="1793">
        <f t="shared" si="208"/>
        <v>0</v>
      </c>
      <c r="AX347" s="1793">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93">
        <f t="shared" si="207"/>
        <v>0</v>
      </c>
      <c r="AW348" s="1793">
        <f t="shared" si="208"/>
        <v>0</v>
      </c>
      <c r="AX348" s="1793">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93">
        <f t="shared" si="207"/>
        <v>0</v>
      </c>
      <c r="AW349" s="1793">
        <f t="shared" si="208"/>
        <v>0</v>
      </c>
      <c r="AX349" s="1793">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93">
        <f t="shared" si="207"/>
        <v>0</v>
      </c>
      <c r="AW350" s="1793">
        <f t="shared" si="208"/>
        <v>0</v>
      </c>
      <c r="AX350" s="1793">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93">
        <f t="shared" si="207"/>
        <v>0</v>
      </c>
      <c r="AW351" s="1793">
        <f t="shared" si="208"/>
        <v>0</v>
      </c>
      <c r="AX351" s="1793">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93">
        <f t="shared" si="207"/>
        <v>0</v>
      </c>
      <c r="AW352" s="1793">
        <f t="shared" si="208"/>
        <v>0</v>
      </c>
      <c r="AX352" s="1793">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93">
        <f t="shared" si="207"/>
        <v>0</v>
      </c>
      <c r="AW353" s="1793">
        <f t="shared" si="208"/>
        <v>0</v>
      </c>
      <c r="AX353" s="1793">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93">
        <f t="shared" si="207"/>
        <v>0</v>
      </c>
      <c r="AW354" s="1793">
        <f t="shared" si="208"/>
        <v>0</v>
      </c>
      <c r="AX354" s="1793">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93">
        <f t="shared" si="207"/>
        <v>0</v>
      </c>
      <c r="AW355" s="1793">
        <f t="shared" si="208"/>
        <v>0</v>
      </c>
      <c r="AX355" s="1793">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93">
        <f t="shared" si="207"/>
        <v>0</v>
      </c>
      <c r="AW356" s="1793">
        <f t="shared" si="208"/>
        <v>0</v>
      </c>
      <c r="AX356" s="1793">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93">
        <f t="shared" si="207"/>
        <v>0</v>
      </c>
      <c r="AW357" s="1793">
        <f t="shared" si="208"/>
        <v>0</v>
      </c>
      <c r="AX357" s="1793">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93">
        <f t="shared" si="207"/>
        <v>0</v>
      </c>
      <c r="AW358" s="1793">
        <f t="shared" si="208"/>
        <v>0</v>
      </c>
      <c r="AX358" s="1793">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93">
        <f t="shared" si="207"/>
        <v>0</v>
      </c>
      <c r="AW359" s="1793">
        <f t="shared" si="208"/>
        <v>0</v>
      </c>
      <c r="AX359" s="1793">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93">
        <f t="shared" si="207"/>
        <v>0</v>
      </c>
      <c r="AW360" s="1793">
        <f t="shared" si="208"/>
        <v>0</v>
      </c>
      <c r="AX360" s="1793">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93">
        <f t="shared" si="207"/>
        <v>0</v>
      </c>
      <c r="AW361" s="1793">
        <f t="shared" si="208"/>
        <v>0</v>
      </c>
      <c r="AX361" s="1793">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93">
        <f t="shared" si="207"/>
        <v>0</v>
      </c>
      <c r="AW362" s="1793">
        <f t="shared" si="208"/>
        <v>0</v>
      </c>
      <c r="AX362" s="1793">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93">
        <f t="shared" si="207"/>
        <v>0</v>
      </c>
      <c r="AW363" s="1793">
        <f t="shared" si="208"/>
        <v>0</v>
      </c>
      <c r="AX363" s="1793">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93">
        <f t="shared" si="207"/>
        <v>0</v>
      </c>
      <c r="AW364" s="1793">
        <f t="shared" si="208"/>
        <v>0</v>
      </c>
      <c r="AX364" s="1793">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93">
        <f t="shared" si="207"/>
        <v>0</v>
      </c>
      <c r="AW365" s="1793">
        <f t="shared" si="208"/>
        <v>0</v>
      </c>
      <c r="AX365" s="1793">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93">
        <f t="shared" si="207"/>
        <v>0</v>
      </c>
      <c r="AW366" s="1793">
        <f t="shared" si="208"/>
        <v>0</v>
      </c>
      <c r="AX366" s="1793">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93">
        <f t="shared" ref="AV367:AV397" si="236">A367</f>
        <v>0</v>
      </c>
      <c r="AW367" s="1793">
        <f t="shared" ref="AW367:AW397" si="237">B367</f>
        <v>0</v>
      </c>
      <c r="AX367" s="1793">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93">
        <f t="shared" si="236"/>
        <v>0</v>
      </c>
      <c r="AW368" s="1793">
        <f t="shared" si="237"/>
        <v>0</v>
      </c>
      <c r="AX368" s="1793">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93">
        <f t="shared" si="236"/>
        <v>0</v>
      </c>
      <c r="AW369" s="1793">
        <f t="shared" si="237"/>
        <v>0</v>
      </c>
      <c r="AX369" s="1793">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93">
        <f t="shared" si="236"/>
        <v>0</v>
      </c>
      <c r="AW370" s="1793">
        <f t="shared" si="237"/>
        <v>0</v>
      </c>
      <c r="AX370" s="1793">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93">
        <f t="shared" si="236"/>
        <v>0</v>
      </c>
      <c r="AW371" s="1793">
        <f t="shared" si="237"/>
        <v>0</v>
      </c>
      <c r="AX371" s="1793">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93">
        <f t="shared" si="236"/>
        <v>0</v>
      </c>
      <c r="AW372" s="1793">
        <f t="shared" si="237"/>
        <v>0</v>
      </c>
      <c r="AX372" s="1793">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93">
        <f t="shared" si="236"/>
        <v>0</v>
      </c>
      <c r="AW373" s="1793">
        <f t="shared" si="237"/>
        <v>0</v>
      </c>
      <c r="AX373" s="1793">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93">
        <f t="shared" si="236"/>
        <v>0</v>
      </c>
      <c r="AW374" s="1793">
        <f t="shared" si="237"/>
        <v>0</v>
      </c>
      <c r="AX374" s="1793">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93">
        <f t="shared" si="236"/>
        <v>0</v>
      </c>
      <c r="AW375" s="1793">
        <f t="shared" si="237"/>
        <v>0</v>
      </c>
      <c r="AX375" s="1793">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93">
        <f t="shared" si="236"/>
        <v>0</v>
      </c>
      <c r="AW376" s="1793">
        <f t="shared" si="237"/>
        <v>0</v>
      </c>
      <c r="AX376" s="1793">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93">
        <f t="shared" si="236"/>
        <v>0</v>
      </c>
      <c r="AW377" s="1793">
        <f t="shared" si="237"/>
        <v>0</v>
      </c>
      <c r="AX377" s="1793">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93">
        <f t="shared" si="236"/>
        <v>0</v>
      </c>
      <c r="AW378" s="1793">
        <f t="shared" si="237"/>
        <v>0</v>
      </c>
      <c r="AX378" s="1793">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93">
        <f t="shared" si="236"/>
        <v>0</v>
      </c>
      <c r="AW379" s="1793">
        <f t="shared" si="237"/>
        <v>0</v>
      </c>
      <c r="AX379" s="1793">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93">
        <f t="shared" si="236"/>
        <v>0</v>
      </c>
      <c r="AW380" s="1793">
        <f t="shared" si="237"/>
        <v>0</v>
      </c>
      <c r="AX380" s="1793">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93">
        <f t="shared" si="236"/>
        <v>0</v>
      </c>
      <c r="AW381" s="1793">
        <f t="shared" si="237"/>
        <v>0</v>
      </c>
      <c r="AX381" s="1793">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93">
        <f t="shared" si="236"/>
        <v>0</v>
      </c>
      <c r="AW382" s="1793">
        <f t="shared" si="237"/>
        <v>0</v>
      </c>
      <c r="AX382" s="1793">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93">
        <f t="shared" si="236"/>
        <v>0</v>
      </c>
      <c r="AW383" s="1793">
        <f t="shared" si="237"/>
        <v>0</v>
      </c>
      <c r="AX383" s="1793">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93">
        <f t="shared" si="236"/>
        <v>0</v>
      </c>
      <c r="AW384" s="1793">
        <f t="shared" si="237"/>
        <v>0</v>
      </c>
      <c r="AX384" s="1793">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93">
        <f t="shared" si="236"/>
        <v>0</v>
      </c>
      <c r="AW385" s="1793">
        <f t="shared" si="237"/>
        <v>0</v>
      </c>
      <c r="AX385" s="1793">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93">
        <f t="shared" si="236"/>
        <v>0</v>
      </c>
      <c r="AW386" s="1793">
        <f t="shared" si="237"/>
        <v>0</v>
      </c>
      <c r="AX386" s="1793">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93">
        <f t="shared" si="236"/>
        <v>0</v>
      </c>
      <c r="AW387" s="1793">
        <f t="shared" si="237"/>
        <v>0</v>
      </c>
      <c r="AX387" s="1793">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93">
        <f t="shared" si="236"/>
        <v>0</v>
      </c>
      <c r="AW388" s="1793">
        <f t="shared" si="237"/>
        <v>0</v>
      </c>
      <c r="AX388" s="1793">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93">
        <f t="shared" si="236"/>
        <v>0</v>
      </c>
      <c r="AW389" s="1793">
        <f t="shared" si="237"/>
        <v>0</v>
      </c>
      <c r="AX389" s="1793">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93">
        <f t="shared" si="236"/>
        <v>0</v>
      </c>
      <c r="AW390" s="1793">
        <f t="shared" si="237"/>
        <v>0</v>
      </c>
      <c r="AX390" s="1793">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93">
        <f t="shared" si="236"/>
        <v>0</v>
      </c>
      <c r="AW391" s="1793">
        <f t="shared" si="237"/>
        <v>0</v>
      </c>
      <c r="AX391" s="1793">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93">
        <f t="shared" si="236"/>
        <v>0</v>
      </c>
      <c r="AW392" s="1793">
        <f t="shared" si="237"/>
        <v>0</v>
      </c>
      <c r="AX392" s="1793">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93">
        <f t="shared" si="236"/>
        <v>0</v>
      </c>
      <c r="AW393" s="1793">
        <f t="shared" si="237"/>
        <v>0</v>
      </c>
      <c r="AX393" s="1793">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93">
        <f t="shared" si="236"/>
        <v>0</v>
      </c>
      <c r="AW394" s="1793">
        <f t="shared" si="237"/>
        <v>0</v>
      </c>
      <c r="AX394" s="1793">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93">
        <f t="shared" si="236"/>
        <v>0</v>
      </c>
      <c r="AW395" s="1793">
        <f t="shared" si="237"/>
        <v>0</v>
      </c>
      <c r="AX395" s="1793">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93">
        <f t="shared" si="236"/>
        <v>0</v>
      </c>
      <c r="AW396" s="1793">
        <f t="shared" si="237"/>
        <v>0</v>
      </c>
      <c r="AX396" s="1793">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93">
        <f t="shared" si="236"/>
        <v>0</v>
      </c>
      <c r="AW397" s="1793">
        <f t="shared" si="237"/>
        <v>0</v>
      </c>
      <c r="AX397" s="1793">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93">
        <f t="shared" ref="AV398:AV492" si="243">A398</f>
        <v>0</v>
      </c>
      <c r="AW398" s="1793">
        <f t="shared" ref="AW398:AW492" si="244">B398</f>
        <v>0</v>
      </c>
      <c r="AX398" s="1793">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93">
        <f t="shared" si="243"/>
        <v>0</v>
      </c>
      <c r="AW399" s="1793">
        <f t="shared" si="244"/>
        <v>0</v>
      </c>
      <c r="AX399" s="1793">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93">
        <f t="shared" si="243"/>
        <v>0</v>
      </c>
      <c r="AW400" s="1793">
        <f t="shared" si="244"/>
        <v>0</v>
      </c>
      <c r="AX400" s="1793">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93">
        <f t="shared" si="243"/>
        <v>0</v>
      </c>
      <c r="AW401" s="1793">
        <f t="shared" si="244"/>
        <v>0</v>
      </c>
      <c r="AX401" s="1793">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93">
        <f t="shared" si="243"/>
        <v>0</v>
      </c>
      <c r="AW402" s="1793">
        <f t="shared" si="244"/>
        <v>0</v>
      </c>
      <c r="AX402" s="1793">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93">
        <f t="shared" si="243"/>
        <v>0</v>
      </c>
      <c r="AW403" s="1793">
        <f t="shared" si="244"/>
        <v>0</v>
      </c>
      <c r="AX403" s="1793">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93">
        <f t="shared" si="243"/>
        <v>0</v>
      </c>
      <c r="AW404" s="1793">
        <f t="shared" si="244"/>
        <v>0</v>
      </c>
      <c r="AX404" s="1793">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93">
        <f t="shared" si="243"/>
        <v>0</v>
      </c>
      <c r="AW405" s="1793">
        <f t="shared" si="244"/>
        <v>0</v>
      </c>
      <c r="AX405" s="1793">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93">
        <f t="shared" si="243"/>
        <v>0</v>
      </c>
      <c r="AW406" s="1793">
        <f t="shared" si="244"/>
        <v>0</v>
      </c>
      <c r="AX406" s="1793">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93">
        <f t="shared" si="243"/>
        <v>0</v>
      </c>
      <c r="AW407" s="1793">
        <f t="shared" si="244"/>
        <v>0</v>
      </c>
      <c r="AX407" s="1793">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93">
        <f t="shared" si="243"/>
        <v>0</v>
      </c>
      <c r="AW408" s="1793">
        <f t="shared" si="244"/>
        <v>0</v>
      </c>
      <c r="AX408" s="1793">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93">
        <f t="shared" si="243"/>
        <v>0</v>
      </c>
      <c r="AW409" s="1793">
        <f t="shared" si="244"/>
        <v>0</v>
      </c>
      <c r="AX409" s="1793">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93">
        <f t="shared" si="243"/>
        <v>0</v>
      </c>
      <c r="AW410" s="1793">
        <f t="shared" si="244"/>
        <v>0</v>
      </c>
      <c r="AX410" s="1793">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93">
        <f t="shared" si="243"/>
        <v>0</v>
      </c>
      <c r="AW411" s="1793">
        <f t="shared" si="244"/>
        <v>0</v>
      </c>
      <c r="AX411" s="1793">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93">
        <f t="shared" si="243"/>
        <v>0</v>
      </c>
      <c r="AW412" s="1793">
        <f t="shared" si="244"/>
        <v>0</v>
      </c>
      <c r="AX412" s="1793">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93">
        <f t="shared" si="243"/>
        <v>0</v>
      </c>
      <c r="AW413" s="1793">
        <f t="shared" si="244"/>
        <v>0</v>
      </c>
      <c r="AX413" s="1793">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93">
        <f t="shared" si="243"/>
        <v>0</v>
      </c>
      <c r="AW414" s="1793">
        <f t="shared" si="244"/>
        <v>0</v>
      </c>
      <c r="AX414" s="1793">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93">
        <f t="shared" si="243"/>
        <v>0</v>
      </c>
      <c r="AW415" s="1793">
        <f t="shared" si="244"/>
        <v>0</v>
      </c>
      <c r="AX415" s="1793">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93">
        <f t="shared" si="243"/>
        <v>0</v>
      </c>
      <c r="AW416" s="1793">
        <f t="shared" si="244"/>
        <v>0</v>
      </c>
      <c r="AX416" s="1793">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93">
        <f t="shared" si="243"/>
        <v>0</v>
      </c>
      <c r="AW417" s="1793">
        <f t="shared" si="244"/>
        <v>0</v>
      </c>
      <c r="AX417" s="1793">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93">
        <f t="shared" si="243"/>
        <v>0</v>
      </c>
      <c r="AW418" s="1793">
        <f t="shared" si="244"/>
        <v>0</v>
      </c>
      <c r="AX418" s="1793">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93">
        <f t="shared" si="243"/>
        <v>0</v>
      </c>
      <c r="AW419" s="1793">
        <f t="shared" si="244"/>
        <v>0</v>
      </c>
      <c r="AX419" s="1793">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93">
        <f t="shared" si="243"/>
        <v>0</v>
      </c>
      <c r="AW420" s="1793">
        <f t="shared" si="244"/>
        <v>0</v>
      </c>
      <c r="AX420" s="1793">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93">
        <f t="shared" si="243"/>
        <v>0</v>
      </c>
      <c r="AW421" s="1793">
        <f t="shared" si="244"/>
        <v>0</v>
      </c>
      <c r="AX421" s="1793">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93">
        <f t="shared" si="243"/>
        <v>0</v>
      </c>
      <c r="AW422" s="1793">
        <f t="shared" si="244"/>
        <v>0</v>
      </c>
      <c r="AX422" s="1793">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93">
        <f t="shared" si="243"/>
        <v>0</v>
      </c>
      <c r="AW423" s="1793">
        <f t="shared" si="244"/>
        <v>0</v>
      </c>
      <c r="AX423" s="1793">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93">
        <f t="shared" si="243"/>
        <v>0</v>
      </c>
      <c r="AW424" s="1793">
        <f t="shared" si="244"/>
        <v>0</v>
      </c>
      <c r="AX424" s="1793">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93">
        <f t="shared" si="243"/>
        <v>0</v>
      </c>
      <c r="AW425" s="1793">
        <f t="shared" si="244"/>
        <v>0</v>
      </c>
      <c r="AX425" s="1793">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93">
        <f t="shared" si="243"/>
        <v>0</v>
      </c>
      <c r="AW426" s="1793">
        <f t="shared" si="244"/>
        <v>0</v>
      </c>
      <c r="AX426" s="1793">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93">
        <f t="shared" si="243"/>
        <v>0</v>
      </c>
      <c r="AW427" s="1793">
        <f t="shared" si="244"/>
        <v>0</v>
      </c>
      <c r="AX427" s="1793">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93">
        <f t="shared" si="243"/>
        <v>0</v>
      </c>
      <c r="AW428" s="1793">
        <f t="shared" si="244"/>
        <v>0</v>
      </c>
      <c r="AX428" s="1793">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93">
        <f t="shared" si="243"/>
        <v>0</v>
      </c>
      <c r="AW429" s="1793">
        <f t="shared" si="244"/>
        <v>0</v>
      </c>
      <c r="AX429" s="1793">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93">
        <f t="shared" si="243"/>
        <v>0</v>
      </c>
      <c r="AW430" s="1793">
        <f t="shared" si="244"/>
        <v>0</v>
      </c>
      <c r="AX430" s="1793">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93">
        <f t="shared" si="243"/>
        <v>0</v>
      </c>
      <c r="AW431" s="1793">
        <f t="shared" si="244"/>
        <v>0</v>
      </c>
      <c r="AX431" s="1793">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93">
        <f t="shared" si="243"/>
        <v>0</v>
      </c>
      <c r="AW432" s="1793">
        <f t="shared" si="244"/>
        <v>0</v>
      </c>
      <c r="AX432" s="1793">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93">
        <f t="shared" si="243"/>
        <v>0</v>
      </c>
      <c r="AW433" s="1793">
        <f t="shared" si="244"/>
        <v>0</v>
      </c>
      <c r="AX433" s="1793">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93">
        <f t="shared" si="243"/>
        <v>0</v>
      </c>
      <c r="AW434" s="1793">
        <f t="shared" si="244"/>
        <v>0</v>
      </c>
      <c r="AX434" s="1793">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93">
        <f t="shared" si="243"/>
        <v>0</v>
      </c>
      <c r="AW435" s="1793">
        <f t="shared" si="244"/>
        <v>0</v>
      </c>
      <c r="AX435" s="1793">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93">
        <f t="shared" si="243"/>
        <v>0</v>
      </c>
      <c r="AW436" s="1793">
        <f t="shared" si="244"/>
        <v>0</v>
      </c>
      <c r="AX436" s="1793">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93">
        <f t="shared" si="243"/>
        <v>0</v>
      </c>
      <c r="AW437" s="1793">
        <f t="shared" si="244"/>
        <v>0</v>
      </c>
      <c r="AX437" s="1793">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93">
        <f t="shared" si="243"/>
        <v>0</v>
      </c>
      <c r="AW438" s="1793">
        <f t="shared" si="244"/>
        <v>0</v>
      </c>
      <c r="AX438" s="1793">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93">
        <f t="shared" si="243"/>
        <v>0</v>
      </c>
      <c r="AW439" s="1793">
        <f t="shared" si="244"/>
        <v>0</v>
      </c>
      <c r="AX439" s="1793">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93">
        <f t="shared" si="243"/>
        <v>0</v>
      </c>
      <c r="AW440" s="1793">
        <f t="shared" si="244"/>
        <v>0</v>
      </c>
      <c r="AX440" s="1793">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93">
        <f t="shared" si="243"/>
        <v>0</v>
      </c>
      <c r="AW441" s="1793">
        <f t="shared" si="244"/>
        <v>0</v>
      </c>
      <c r="AX441" s="1793">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93">
        <f t="shared" si="243"/>
        <v>0</v>
      </c>
      <c r="AW442" s="1793">
        <f t="shared" si="244"/>
        <v>0</v>
      </c>
      <c r="AX442" s="1793">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93">
        <f t="shared" si="243"/>
        <v>0</v>
      </c>
      <c r="AW443" s="1793">
        <f t="shared" si="244"/>
        <v>0</v>
      </c>
      <c r="AX443" s="1793">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93">
        <f t="shared" si="243"/>
        <v>0</v>
      </c>
      <c r="AW444" s="1793">
        <f t="shared" si="244"/>
        <v>0</v>
      </c>
      <c r="AX444" s="1793">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93">
        <f t="shared" si="243"/>
        <v>0</v>
      </c>
      <c r="AW445" s="1793">
        <f t="shared" si="244"/>
        <v>0</v>
      </c>
      <c r="AX445" s="1793">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93">
        <f t="shared" si="243"/>
        <v>0</v>
      </c>
      <c r="AW446" s="1793">
        <f t="shared" si="244"/>
        <v>0</v>
      </c>
      <c r="AX446" s="1793">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93">
        <f t="shared" si="243"/>
        <v>0</v>
      </c>
      <c r="AW447" s="1793">
        <f t="shared" si="244"/>
        <v>0</v>
      </c>
      <c r="AX447" s="1793">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93">
        <f t="shared" si="243"/>
        <v>0</v>
      </c>
      <c r="AW448" s="1793">
        <f t="shared" si="244"/>
        <v>0</v>
      </c>
      <c r="AX448" s="1793">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93">
        <f t="shared" si="243"/>
        <v>0</v>
      </c>
      <c r="AW449" s="1793">
        <f t="shared" si="244"/>
        <v>0</v>
      </c>
      <c r="AX449" s="1793">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93">
        <f t="shared" si="243"/>
        <v>0</v>
      </c>
      <c r="AW450" s="1793">
        <f t="shared" si="244"/>
        <v>0</v>
      </c>
      <c r="AX450" s="1793">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93">
        <f t="shared" si="243"/>
        <v>0</v>
      </c>
      <c r="AW451" s="1793">
        <f t="shared" si="244"/>
        <v>0</v>
      </c>
      <c r="AX451" s="1793">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93">
        <f t="shared" si="243"/>
        <v>0</v>
      </c>
      <c r="AW452" s="1793">
        <f t="shared" si="244"/>
        <v>0</v>
      </c>
      <c r="AX452" s="1793">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93">
        <f t="shared" si="243"/>
        <v>0</v>
      </c>
      <c r="AW453" s="1793">
        <f t="shared" si="244"/>
        <v>0</v>
      </c>
      <c r="AX453" s="1793">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93">
        <f t="shared" si="243"/>
        <v>0</v>
      </c>
      <c r="AW454" s="1793">
        <f t="shared" si="244"/>
        <v>0</v>
      </c>
      <c r="AX454" s="1793">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93">
        <f t="shared" si="243"/>
        <v>0</v>
      </c>
      <c r="AW455" s="1793">
        <f t="shared" si="244"/>
        <v>0</v>
      </c>
      <c r="AX455" s="1793">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93">
        <f t="shared" si="243"/>
        <v>0</v>
      </c>
      <c r="AW456" s="1793">
        <f t="shared" si="244"/>
        <v>0</v>
      </c>
      <c r="AX456" s="1793">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93">
        <f t="shared" si="243"/>
        <v>0</v>
      </c>
      <c r="AW457" s="1793">
        <f t="shared" si="244"/>
        <v>0</v>
      </c>
      <c r="AX457" s="1793">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93">
        <f t="shared" si="243"/>
        <v>0</v>
      </c>
      <c r="AW458" s="1793">
        <f t="shared" si="244"/>
        <v>0</v>
      </c>
      <c r="AX458" s="1793">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93">
        <f t="shared" si="243"/>
        <v>0</v>
      </c>
      <c r="AW459" s="1793">
        <f t="shared" si="244"/>
        <v>0</v>
      </c>
      <c r="AX459" s="1793">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93">
        <f t="shared" si="243"/>
        <v>0</v>
      </c>
      <c r="AW460" s="1793">
        <f t="shared" si="244"/>
        <v>0</v>
      </c>
      <c r="AX460" s="1793">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93">
        <f t="shared" si="243"/>
        <v>0</v>
      </c>
      <c r="AW461" s="1793">
        <f t="shared" si="244"/>
        <v>0</v>
      </c>
      <c r="AX461" s="1793">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93">
        <f t="shared" si="243"/>
        <v>0</v>
      </c>
      <c r="AW462" s="1793">
        <f t="shared" si="244"/>
        <v>0</v>
      </c>
      <c r="AX462" s="1793">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93">
        <f t="shared" si="243"/>
        <v>0</v>
      </c>
      <c r="AW463" s="1793">
        <f t="shared" si="244"/>
        <v>0</v>
      </c>
      <c r="AX463" s="1793">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93">
        <f t="shared" si="243"/>
        <v>0</v>
      </c>
      <c r="AW464" s="1793">
        <f t="shared" si="244"/>
        <v>0</v>
      </c>
      <c r="AX464" s="1793">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93">
        <f t="shared" si="243"/>
        <v>0</v>
      </c>
      <c r="AW465" s="1793">
        <f t="shared" si="244"/>
        <v>0</v>
      </c>
      <c r="AX465" s="1793">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93">
        <f t="shared" si="243"/>
        <v>0</v>
      </c>
      <c r="AW466" s="1793">
        <f t="shared" si="244"/>
        <v>0</v>
      </c>
      <c r="AX466" s="1793">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93">
        <f t="shared" si="243"/>
        <v>0</v>
      </c>
      <c r="AW467" s="1793">
        <f t="shared" si="244"/>
        <v>0</v>
      </c>
      <c r="AX467" s="1793">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93">
        <f t="shared" si="243"/>
        <v>0</v>
      </c>
      <c r="AW468" s="1793">
        <f t="shared" si="244"/>
        <v>0</v>
      </c>
      <c r="AX468" s="1793">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93">
        <f t="shared" si="243"/>
        <v>0</v>
      </c>
      <c r="AW469" s="1793">
        <f t="shared" si="244"/>
        <v>0</v>
      </c>
      <c r="AX469" s="1793">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93">
        <f t="shared" si="243"/>
        <v>0</v>
      </c>
      <c r="AW470" s="1793">
        <f t="shared" si="244"/>
        <v>0</v>
      </c>
      <c r="AX470" s="1793">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93">
        <f t="shared" si="243"/>
        <v>0</v>
      </c>
      <c r="AW471" s="1793">
        <f t="shared" si="244"/>
        <v>0</v>
      </c>
      <c r="AX471" s="1793">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93">
        <f t="shared" si="243"/>
        <v>0</v>
      </c>
      <c r="AW472" s="1793">
        <f t="shared" si="244"/>
        <v>0</v>
      </c>
      <c r="AX472" s="1793">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93">
        <f t="shared" si="243"/>
        <v>0</v>
      </c>
      <c r="AW473" s="1793">
        <f t="shared" si="244"/>
        <v>0</v>
      </c>
      <c r="AX473" s="179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93">
        <f t="shared" si="243"/>
        <v>0</v>
      </c>
      <c r="AW474" s="1793">
        <f t="shared" si="244"/>
        <v>0</v>
      </c>
      <c r="AX474" s="179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93">
        <f t="shared" si="243"/>
        <v>0</v>
      </c>
      <c r="AW475" s="1793">
        <f t="shared" si="244"/>
        <v>0</v>
      </c>
      <c r="AX475" s="179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93">
        <f t="shared" si="243"/>
        <v>0</v>
      </c>
      <c r="AW476" s="1793">
        <f t="shared" si="244"/>
        <v>0</v>
      </c>
      <c r="AX476" s="179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93">
        <f t="shared" si="243"/>
        <v>0</v>
      </c>
      <c r="AW477" s="1793">
        <f t="shared" si="244"/>
        <v>0</v>
      </c>
      <c r="AX477" s="179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93">
        <f t="shared" si="243"/>
        <v>0</v>
      </c>
      <c r="AW478" s="1793">
        <f t="shared" si="244"/>
        <v>0</v>
      </c>
      <c r="AX478" s="179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93">
        <f t="shared" si="243"/>
        <v>0</v>
      </c>
      <c r="AW479" s="1793">
        <f t="shared" si="244"/>
        <v>0</v>
      </c>
      <c r="AX479" s="179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93">
        <f t="shared" si="243"/>
        <v>0</v>
      </c>
      <c r="AW480" s="1793">
        <f t="shared" si="244"/>
        <v>0</v>
      </c>
      <c r="AX480" s="179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93">
        <f t="shared" si="243"/>
        <v>0</v>
      </c>
      <c r="AW481" s="1793">
        <f t="shared" si="244"/>
        <v>0</v>
      </c>
      <c r="AX481" s="179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93">
        <f t="shared" si="243"/>
        <v>0</v>
      </c>
      <c r="AW482" s="1793">
        <f t="shared" si="244"/>
        <v>0</v>
      </c>
      <c r="AX482" s="179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93">
        <f t="shared" si="243"/>
        <v>0</v>
      </c>
      <c r="AW483" s="1793">
        <f t="shared" si="244"/>
        <v>0</v>
      </c>
      <c r="AX483" s="179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93">
        <f t="shared" si="243"/>
        <v>0</v>
      </c>
      <c r="AW484" s="1793">
        <f t="shared" si="244"/>
        <v>0</v>
      </c>
      <c r="AX484" s="179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93">
        <f t="shared" si="243"/>
        <v>0</v>
      </c>
      <c r="AW485" s="1793">
        <f t="shared" si="244"/>
        <v>0</v>
      </c>
      <c r="AX485" s="179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93">
        <f t="shared" si="243"/>
        <v>0</v>
      </c>
      <c r="AW486" s="1793">
        <f t="shared" si="244"/>
        <v>0</v>
      </c>
      <c r="AX486" s="179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93">
        <f t="shared" si="243"/>
        <v>0</v>
      </c>
      <c r="AW487" s="1793">
        <f t="shared" si="244"/>
        <v>0</v>
      </c>
      <c r="AX487" s="179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93">
        <f t="shared" si="243"/>
        <v>0</v>
      </c>
      <c r="AW488" s="1793">
        <f t="shared" si="244"/>
        <v>0</v>
      </c>
      <c r="AX488" s="179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93">
        <f t="shared" si="243"/>
        <v>0</v>
      </c>
      <c r="AW489" s="1793">
        <f t="shared" si="244"/>
        <v>0</v>
      </c>
      <c r="AX489" s="179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93">
        <f t="shared" si="243"/>
        <v>0</v>
      </c>
      <c r="AW490" s="1793">
        <f t="shared" si="244"/>
        <v>0</v>
      </c>
      <c r="AX490" s="179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93">
        <f t="shared" si="243"/>
        <v>0</v>
      </c>
      <c r="AW491" s="1793">
        <f t="shared" si="244"/>
        <v>0</v>
      </c>
      <c r="AX491" s="179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93">
        <f t="shared" si="243"/>
        <v>0</v>
      </c>
      <c r="AW492" s="1793">
        <f t="shared" si="244"/>
        <v>0</v>
      </c>
      <c r="AX492" s="179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93">
        <f t="shared" ref="AV493:AV520" si="294">A493</f>
        <v>0</v>
      </c>
      <c r="AW493" s="1793">
        <f t="shared" ref="AW493:AW520" si="295">B493</f>
        <v>0</v>
      </c>
      <c r="AX493" s="179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93">
        <f t="shared" si="294"/>
        <v>0</v>
      </c>
      <c r="AW494" s="1793">
        <f t="shared" si="295"/>
        <v>0</v>
      </c>
      <c r="AX494" s="179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93">
        <f t="shared" si="294"/>
        <v>0</v>
      </c>
      <c r="AW495" s="1793">
        <f t="shared" si="295"/>
        <v>0</v>
      </c>
      <c r="AX495" s="179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93">
        <f t="shared" si="294"/>
        <v>0</v>
      </c>
      <c r="AW496" s="1793">
        <f t="shared" si="295"/>
        <v>0</v>
      </c>
      <c r="AX496" s="179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93">
        <f t="shared" si="294"/>
        <v>0</v>
      </c>
      <c r="AW497" s="1793">
        <f t="shared" si="295"/>
        <v>0</v>
      </c>
      <c r="AX497" s="179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93">
        <f t="shared" si="294"/>
        <v>0</v>
      </c>
      <c r="AW498" s="1793">
        <f t="shared" si="295"/>
        <v>0</v>
      </c>
      <c r="AX498" s="179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93">
        <f t="shared" si="294"/>
        <v>0</v>
      </c>
      <c r="AW499" s="1793">
        <f t="shared" si="295"/>
        <v>0</v>
      </c>
      <c r="AX499" s="179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93">
        <f t="shared" si="294"/>
        <v>0</v>
      </c>
      <c r="AW500" s="1793">
        <f t="shared" si="295"/>
        <v>0</v>
      </c>
      <c r="AX500" s="179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93">
        <f t="shared" si="294"/>
        <v>0</v>
      </c>
      <c r="AW501" s="1793">
        <f t="shared" si="295"/>
        <v>0</v>
      </c>
      <c r="AX501" s="179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93">
        <f t="shared" si="294"/>
        <v>0</v>
      </c>
      <c r="AW502" s="1793">
        <f t="shared" si="295"/>
        <v>0</v>
      </c>
      <c r="AX502" s="179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93">
        <f t="shared" si="294"/>
        <v>0</v>
      </c>
      <c r="AW503" s="1793">
        <f t="shared" si="295"/>
        <v>0</v>
      </c>
      <c r="AX503" s="179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93">
        <f t="shared" si="294"/>
        <v>0</v>
      </c>
      <c r="AW504" s="1793">
        <f t="shared" si="295"/>
        <v>0</v>
      </c>
      <c r="AX504" s="179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93">
        <f t="shared" si="294"/>
        <v>0</v>
      </c>
      <c r="AW505" s="1793">
        <f t="shared" si="295"/>
        <v>0</v>
      </c>
      <c r="AX505" s="179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93">
        <f t="shared" si="294"/>
        <v>0</v>
      </c>
      <c r="AW506" s="1793">
        <f t="shared" si="295"/>
        <v>0</v>
      </c>
      <c r="AX506" s="179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93">
        <f t="shared" si="294"/>
        <v>0</v>
      </c>
      <c r="AW507" s="1793">
        <f t="shared" si="295"/>
        <v>0</v>
      </c>
      <c r="AX507" s="179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93">
        <f t="shared" si="294"/>
        <v>0</v>
      </c>
      <c r="AW508" s="1793">
        <f t="shared" si="295"/>
        <v>0</v>
      </c>
      <c r="AX508" s="179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93">
        <f t="shared" si="294"/>
        <v>0</v>
      </c>
      <c r="AW509" s="1793">
        <f t="shared" si="295"/>
        <v>0</v>
      </c>
      <c r="AX509" s="179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93">
        <f t="shared" si="294"/>
        <v>0</v>
      </c>
      <c r="AW510" s="1793">
        <f t="shared" si="295"/>
        <v>0</v>
      </c>
      <c r="AX510" s="179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93">
        <f t="shared" si="294"/>
        <v>0</v>
      </c>
      <c r="AW511" s="1793">
        <f t="shared" si="295"/>
        <v>0</v>
      </c>
      <c r="AX511" s="179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93">
        <f t="shared" si="294"/>
        <v>0</v>
      </c>
      <c r="AW512" s="1793">
        <f t="shared" si="295"/>
        <v>0</v>
      </c>
      <c r="AX512" s="179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93">
        <f t="shared" si="294"/>
        <v>0</v>
      </c>
      <c r="AW513" s="1793">
        <f t="shared" si="295"/>
        <v>0</v>
      </c>
      <c r="AX513" s="179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93">
        <f t="shared" si="294"/>
        <v>0</v>
      </c>
      <c r="AW514" s="1793">
        <f t="shared" si="295"/>
        <v>0</v>
      </c>
      <c r="AX514" s="179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93">
        <f t="shared" si="294"/>
        <v>0</v>
      </c>
      <c r="AW515" s="1793">
        <f t="shared" si="295"/>
        <v>0</v>
      </c>
      <c r="AX515" s="179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93">
        <f t="shared" si="294"/>
        <v>0</v>
      </c>
      <c r="AW516" s="1793">
        <f t="shared" si="295"/>
        <v>0</v>
      </c>
      <c r="AX516" s="179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93">
        <f t="shared" si="294"/>
        <v>0</v>
      </c>
      <c r="AW517" s="1793">
        <f t="shared" si="295"/>
        <v>0</v>
      </c>
      <c r="AX517" s="179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93">
        <f t="shared" si="294"/>
        <v>0</v>
      </c>
      <c r="AW518" s="1793">
        <f t="shared" si="295"/>
        <v>0</v>
      </c>
      <c r="AX518" s="179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93">
        <f t="shared" si="294"/>
        <v>0</v>
      </c>
      <c r="AW519" s="1793">
        <f t="shared" si="295"/>
        <v>0</v>
      </c>
      <c r="AX519" s="179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93">
        <f t="shared" si="294"/>
        <v>0</v>
      </c>
      <c r="AW520" s="1793">
        <f t="shared" si="295"/>
        <v>0</v>
      </c>
      <c r="AX520" s="179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93">
        <f t="shared" ref="AV521:AV552" si="298">A521</f>
        <v>0</v>
      </c>
      <c r="AW521" s="1793">
        <f t="shared" ref="AW521:AW552" si="299">B521</f>
        <v>0</v>
      </c>
      <c r="AX521" s="179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93">
        <f t="shared" si="298"/>
        <v>0</v>
      </c>
      <c r="AW522" s="1793">
        <f t="shared" si="299"/>
        <v>0</v>
      </c>
      <c r="AX522" s="179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93">
        <f t="shared" si="298"/>
        <v>0</v>
      </c>
      <c r="AW523" s="1793">
        <f t="shared" si="299"/>
        <v>0</v>
      </c>
      <c r="AX523" s="179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93">
        <f t="shared" si="298"/>
        <v>0</v>
      </c>
      <c r="AW524" s="1793">
        <f t="shared" si="299"/>
        <v>0</v>
      </c>
      <c r="AX524" s="179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93">
        <f t="shared" si="298"/>
        <v>0</v>
      </c>
      <c r="AW525" s="1793">
        <f t="shared" si="299"/>
        <v>0</v>
      </c>
      <c r="AX525" s="179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93">
        <f t="shared" si="298"/>
        <v>0</v>
      </c>
      <c r="AW526" s="1793">
        <f t="shared" si="299"/>
        <v>0</v>
      </c>
      <c r="AX526" s="179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93">
        <f t="shared" si="298"/>
        <v>0</v>
      </c>
      <c r="AW527" s="1793">
        <f t="shared" si="299"/>
        <v>0</v>
      </c>
      <c r="AX527" s="179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93">
        <f t="shared" si="298"/>
        <v>0</v>
      </c>
      <c r="AW528" s="1793">
        <f t="shared" si="299"/>
        <v>0</v>
      </c>
      <c r="AX528" s="179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93">
        <f t="shared" si="298"/>
        <v>0</v>
      </c>
      <c r="AW529" s="1793">
        <f t="shared" si="299"/>
        <v>0</v>
      </c>
      <c r="AX529" s="179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93">
        <f t="shared" si="298"/>
        <v>0</v>
      </c>
      <c r="AW530" s="1793">
        <f t="shared" si="299"/>
        <v>0</v>
      </c>
      <c r="AX530" s="179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93">
        <f t="shared" si="298"/>
        <v>0</v>
      </c>
      <c r="AW531" s="1793">
        <f t="shared" si="299"/>
        <v>0</v>
      </c>
      <c r="AX531" s="179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93">
        <f t="shared" si="298"/>
        <v>0</v>
      </c>
      <c r="AW532" s="1793">
        <f t="shared" si="299"/>
        <v>0</v>
      </c>
      <c r="AX532" s="179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93">
        <f t="shared" si="298"/>
        <v>0</v>
      </c>
      <c r="AW533" s="1793">
        <f t="shared" si="299"/>
        <v>0</v>
      </c>
      <c r="AX533" s="179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93">
        <f t="shared" si="298"/>
        <v>0</v>
      </c>
      <c r="AW534" s="1793">
        <f t="shared" si="299"/>
        <v>0</v>
      </c>
      <c r="AX534" s="179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93">
        <f t="shared" si="298"/>
        <v>0</v>
      </c>
      <c r="AW535" s="1793">
        <f t="shared" si="299"/>
        <v>0</v>
      </c>
      <c r="AX535" s="179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93">
        <f t="shared" si="298"/>
        <v>0</v>
      </c>
      <c r="AW536" s="1793">
        <f t="shared" si="299"/>
        <v>0</v>
      </c>
      <c r="AX536" s="179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93">
        <f t="shared" si="298"/>
        <v>0</v>
      </c>
      <c r="AW537" s="1793">
        <f t="shared" si="299"/>
        <v>0</v>
      </c>
      <c r="AX537" s="179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93">
        <f t="shared" si="298"/>
        <v>0</v>
      </c>
      <c r="AW538" s="1793">
        <f t="shared" si="299"/>
        <v>0</v>
      </c>
      <c r="AX538" s="179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93">
        <f t="shared" si="298"/>
        <v>0</v>
      </c>
      <c r="AW539" s="1793">
        <f t="shared" si="299"/>
        <v>0</v>
      </c>
      <c r="AX539" s="179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93">
        <f t="shared" si="298"/>
        <v>0</v>
      </c>
      <c r="AW540" s="1793">
        <f t="shared" si="299"/>
        <v>0</v>
      </c>
      <c r="AX540" s="179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93">
        <f t="shared" si="298"/>
        <v>0</v>
      </c>
      <c r="AW541" s="1793">
        <f t="shared" si="299"/>
        <v>0</v>
      </c>
      <c r="AX541" s="179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93">
        <f t="shared" si="298"/>
        <v>0</v>
      </c>
      <c r="AW542" s="1793">
        <f t="shared" si="299"/>
        <v>0</v>
      </c>
      <c r="AX542" s="179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93">
        <f t="shared" si="298"/>
        <v>0</v>
      </c>
      <c r="AW543" s="1793">
        <f t="shared" si="299"/>
        <v>0</v>
      </c>
      <c r="AX543" s="179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93">
        <f t="shared" si="298"/>
        <v>0</v>
      </c>
      <c r="AW544" s="1793">
        <f t="shared" si="299"/>
        <v>0</v>
      </c>
      <c r="AX544" s="179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93">
        <f t="shared" si="298"/>
        <v>0</v>
      </c>
      <c r="AW545" s="1793">
        <f t="shared" si="299"/>
        <v>0</v>
      </c>
      <c r="AX545" s="179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93">
        <f t="shared" si="298"/>
        <v>0</v>
      </c>
      <c r="AW546" s="1793">
        <f t="shared" si="299"/>
        <v>0</v>
      </c>
      <c r="AX546" s="179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93">
        <f t="shared" si="298"/>
        <v>0</v>
      </c>
      <c r="AW547" s="1793">
        <f t="shared" si="299"/>
        <v>0</v>
      </c>
      <c r="AX547" s="179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93">
        <f t="shared" si="298"/>
        <v>0</v>
      </c>
      <c r="AW548" s="1793">
        <f t="shared" si="299"/>
        <v>0</v>
      </c>
      <c r="AX548" s="179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93">
        <f t="shared" si="298"/>
        <v>0</v>
      </c>
      <c r="AW549" s="1793">
        <f t="shared" si="299"/>
        <v>0</v>
      </c>
      <c r="AX549" s="179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93">
        <f t="shared" si="298"/>
        <v>0</v>
      </c>
      <c r="AW550" s="1793">
        <f t="shared" si="299"/>
        <v>0</v>
      </c>
      <c r="AX550" s="179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93">
        <f t="shared" si="298"/>
        <v>0</v>
      </c>
      <c r="AW551" s="1793">
        <f t="shared" si="299"/>
        <v>0</v>
      </c>
      <c r="AX551" s="179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93">
        <f t="shared" si="298"/>
        <v>0</v>
      </c>
      <c r="AW552" s="1793">
        <f t="shared" si="299"/>
        <v>0</v>
      </c>
      <c r="AX552" s="179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93">
        <f t="shared" ref="AV553:AV587" si="330">A553</f>
        <v>0</v>
      </c>
      <c r="AW553" s="1793">
        <f t="shared" ref="AW553:AW587" si="331">B553</f>
        <v>0</v>
      </c>
      <c r="AX553" s="179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93">
        <f t="shared" si="330"/>
        <v>0</v>
      </c>
      <c r="AW554" s="1793">
        <f t="shared" si="331"/>
        <v>0</v>
      </c>
      <c r="AX554" s="179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93">
        <f t="shared" si="330"/>
        <v>0</v>
      </c>
      <c r="AW555" s="1793">
        <f t="shared" si="331"/>
        <v>0</v>
      </c>
      <c r="AX555" s="179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93">
        <f t="shared" si="330"/>
        <v>0</v>
      </c>
      <c r="AW556" s="1793">
        <f t="shared" si="331"/>
        <v>0</v>
      </c>
      <c r="AX556" s="179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93">
        <f t="shared" si="330"/>
        <v>0</v>
      </c>
      <c r="AW557" s="1793">
        <f t="shared" si="331"/>
        <v>0</v>
      </c>
      <c r="AX557" s="179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93">
        <f t="shared" si="330"/>
        <v>0</v>
      </c>
      <c r="AW558" s="1793">
        <f t="shared" si="331"/>
        <v>0</v>
      </c>
      <c r="AX558" s="179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93">
        <f t="shared" si="330"/>
        <v>0</v>
      </c>
      <c r="AW559" s="1793">
        <f t="shared" si="331"/>
        <v>0</v>
      </c>
      <c r="AX559" s="179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93">
        <f t="shared" si="330"/>
        <v>0</v>
      </c>
      <c r="AW560" s="1793">
        <f t="shared" si="331"/>
        <v>0</v>
      </c>
      <c r="AX560" s="179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93">
        <f t="shared" si="330"/>
        <v>0</v>
      </c>
      <c r="AW561" s="1793">
        <f t="shared" si="331"/>
        <v>0</v>
      </c>
      <c r="AX561" s="179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93">
        <f t="shared" si="330"/>
        <v>0</v>
      </c>
      <c r="AW562" s="1793">
        <f t="shared" si="331"/>
        <v>0</v>
      </c>
      <c r="AX562" s="179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93">
        <f t="shared" si="330"/>
        <v>0</v>
      </c>
      <c r="AW563" s="1793">
        <f t="shared" si="331"/>
        <v>0</v>
      </c>
      <c r="AX563" s="179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93">
        <f t="shared" si="330"/>
        <v>0</v>
      </c>
      <c r="AW564" s="1793">
        <f t="shared" si="331"/>
        <v>0</v>
      </c>
      <c r="AX564" s="179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93">
        <f t="shared" si="330"/>
        <v>0</v>
      </c>
      <c r="AW565" s="1793">
        <f t="shared" si="331"/>
        <v>0</v>
      </c>
      <c r="AX565" s="179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93">
        <f t="shared" si="330"/>
        <v>0</v>
      </c>
      <c r="AW566" s="1793">
        <f t="shared" si="331"/>
        <v>0</v>
      </c>
      <c r="AX566" s="179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93">
        <f t="shared" si="330"/>
        <v>0</v>
      </c>
      <c r="AW567" s="1793">
        <f t="shared" si="331"/>
        <v>0</v>
      </c>
      <c r="AX567" s="179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93">
        <f t="shared" si="330"/>
        <v>0</v>
      </c>
      <c r="AW568" s="1793">
        <f t="shared" si="331"/>
        <v>0</v>
      </c>
      <c r="AX568" s="179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93">
        <f t="shared" si="330"/>
        <v>0</v>
      </c>
      <c r="AW569" s="1793">
        <f t="shared" si="331"/>
        <v>0</v>
      </c>
      <c r="AX569" s="179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93">
        <f t="shared" si="330"/>
        <v>0</v>
      </c>
      <c r="AW570" s="1793">
        <f t="shared" si="331"/>
        <v>0</v>
      </c>
      <c r="AX570" s="179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93">
        <f t="shared" si="330"/>
        <v>0</v>
      </c>
      <c r="AW571" s="1793">
        <f t="shared" si="331"/>
        <v>0</v>
      </c>
      <c r="AX571" s="179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93">
        <f t="shared" si="330"/>
        <v>0</v>
      </c>
      <c r="AW572" s="1793">
        <f t="shared" si="331"/>
        <v>0</v>
      </c>
      <c r="AX572" s="179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93">
        <f t="shared" si="330"/>
        <v>0</v>
      </c>
      <c r="AW573" s="1793">
        <f t="shared" si="331"/>
        <v>0</v>
      </c>
      <c r="AX573" s="179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93">
        <f t="shared" si="330"/>
        <v>0</v>
      </c>
      <c r="AW574" s="1793">
        <f t="shared" si="331"/>
        <v>0</v>
      </c>
      <c r="AX574" s="179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93">
        <f t="shared" si="330"/>
        <v>0</v>
      </c>
      <c r="AW575" s="1793">
        <f t="shared" si="331"/>
        <v>0</v>
      </c>
      <c r="AX575" s="179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93">
        <f t="shared" si="330"/>
        <v>0</v>
      </c>
      <c r="AW576" s="1793">
        <f t="shared" si="331"/>
        <v>0</v>
      </c>
      <c r="AX576" s="179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93">
        <f t="shared" si="330"/>
        <v>0</v>
      </c>
      <c r="AW577" s="1793">
        <f t="shared" si="331"/>
        <v>0</v>
      </c>
      <c r="AX577" s="179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93">
        <f t="shared" si="330"/>
        <v>0</v>
      </c>
      <c r="AW578" s="1793">
        <f t="shared" si="331"/>
        <v>0</v>
      </c>
      <c r="AX578" s="179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93">
        <f t="shared" si="330"/>
        <v>0</v>
      </c>
      <c r="AW579" s="1793">
        <f t="shared" si="331"/>
        <v>0</v>
      </c>
      <c r="AX579" s="179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93">
        <f t="shared" si="330"/>
        <v>0</v>
      </c>
      <c r="AW580" s="1793">
        <f t="shared" si="331"/>
        <v>0</v>
      </c>
      <c r="AX580" s="179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93">
        <f t="shared" si="330"/>
        <v>0</v>
      </c>
      <c r="AW581" s="1793">
        <f t="shared" si="331"/>
        <v>0</v>
      </c>
      <c r="AX581" s="179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93">
        <f t="shared" si="330"/>
        <v>0</v>
      </c>
      <c r="AW582" s="1793">
        <f t="shared" si="331"/>
        <v>0</v>
      </c>
      <c r="AX582" s="179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93">
        <f t="shared" si="330"/>
        <v>0</v>
      </c>
      <c r="AW583" s="1793">
        <f t="shared" si="331"/>
        <v>0</v>
      </c>
      <c r="AX583" s="179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93">
        <f t="shared" si="330"/>
        <v>0</v>
      </c>
      <c r="AW584" s="1793">
        <f t="shared" si="331"/>
        <v>0</v>
      </c>
      <c r="AX584" s="179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93">
        <f t="shared" si="330"/>
        <v>0</v>
      </c>
      <c r="AW585" s="1793">
        <f t="shared" si="331"/>
        <v>0</v>
      </c>
      <c r="AX585" s="179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93">
        <f t="shared" si="330"/>
        <v>0</v>
      </c>
      <c r="AW586" s="1793">
        <f t="shared" si="331"/>
        <v>0</v>
      </c>
      <c r="AX586" s="179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93">
        <f t="shared" si="330"/>
        <v>0</v>
      </c>
      <c r="AW587" s="1793">
        <f t="shared" si="331"/>
        <v>0</v>
      </c>
      <c r="AX587" s="179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02" t="s">
        <v>0</v>
      </c>
      <c r="B1" s="3102" t="s">
        <v>4</v>
      </c>
      <c r="C1" s="3102" t="s">
        <v>5</v>
      </c>
      <c r="D1" s="3103" t="s">
        <v>53</v>
      </c>
      <c r="E1" s="3103" t="s">
        <v>54</v>
      </c>
      <c r="F1" s="3103"/>
      <c r="G1" s="3103"/>
      <c r="H1" s="3103"/>
      <c r="I1" s="3103"/>
      <c r="J1" s="3103"/>
      <c r="K1" s="3103"/>
      <c r="L1" s="3103"/>
      <c r="M1" s="3103"/>
    </row>
    <row r="2" spans="1:13" ht="27" customHeight="1">
      <c r="A2" s="3102"/>
      <c r="B2" s="3102"/>
      <c r="C2" s="3102"/>
      <c r="D2" s="3103"/>
      <c r="E2" s="3103" t="s">
        <v>37</v>
      </c>
      <c r="F2" s="3103" t="s">
        <v>38</v>
      </c>
      <c r="G2" s="3103"/>
      <c r="H2" s="3103"/>
      <c r="I2" s="3103"/>
      <c r="J2" s="3103" t="s">
        <v>39</v>
      </c>
      <c r="K2" s="3103"/>
      <c r="L2" s="3103"/>
      <c r="M2" s="3103"/>
    </row>
    <row r="3" spans="1:13" ht="28.5">
      <c r="A3" s="3102"/>
      <c r="B3" s="3102"/>
      <c r="C3" s="3102"/>
      <c r="D3" s="3103"/>
      <c r="E3" s="310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03" t="s">
        <v>55</v>
      </c>
      <c r="B9" s="3103"/>
      <c r="C9" s="310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20" sqref="I20"/>
    </sheetView>
  </sheetViews>
  <sheetFormatPr defaultColWidth="9.25" defaultRowHeight="14.25"/>
  <cols>
    <col min="1" max="1" width="12.125" style="2219" customWidth="1"/>
    <col min="2" max="2" width="10.25" style="2219" customWidth="1"/>
    <col min="3" max="3" width="18.5" style="2219" customWidth="1"/>
    <col min="4" max="4" width="11.625" style="2219" customWidth="1"/>
    <col min="5" max="5" width="13.375" style="2219" customWidth="1"/>
    <col min="6" max="8" width="11.5" style="2219" customWidth="1"/>
    <col min="9" max="9" width="11.125" style="2219" customWidth="1"/>
    <col min="10" max="10" width="3.125" style="2219" customWidth="1"/>
    <col min="11" max="16" width="10" style="2219" customWidth="1"/>
    <col min="17" max="17" width="2.625" style="2219" customWidth="1"/>
    <col min="18" max="18" width="9.375" style="2219" bestFit="1" customWidth="1"/>
    <col min="19" max="19" width="10.5" style="2219" bestFit="1" customWidth="1"/>
    <col min="20" max="16384" width="9.25" style="2219"/>
  </cols>
  <sheetData>
    <row r="1" spans="1:16" ht="18.75">
      <c r="A1" s="2218" t="s">
        <v>1934</v>
      </c>
      <c r="B1" s="1390"/>
      <c r="C1" s="1390"/>
      <c r="D1" s="1390"/>
      <c r="E1" s="1390"/>
      <c r="F1" s="1390"/>
      <c r="G1" s="1390"/>
      <c r="H1" s="1390"/>
      <c r="I1" s="1390"/>
      <c r="J1" s="1390"/>
      <c r="K1" s="1390"/>
      <c r="L1" s="1390"/>
      <c r="M1" s="1390"/>
      <c r="N1" s="1390"/>
      <c r="O1" s="1390"/>
      <c r="P1" s="1390"/>
    </row>
    <row r="2" spans="1:16" ht="15">
      <c r="A2" s="3113" t="s">
        <v>1935</v>
      </c>
      <c r="B2" s="3113"/>
      <c r="C2" s="3113"/>
      <c r="D2" s="966" t="s">
        <v>1911</v>
      </c>
      <c r="E2" s="2220" t="s">
        <v>1912</v>
      </c>
      <c r="F2" s="1390"/>
      <c r="G2" s="2221"/>
      <c r="H2" s="2222"/>
      <c r="I2" s="2223" t="s">
        <v>1936</v>
      </c>
      <c r="J2" s="1390"/>
      <c r="K2" s="1390"/>
      <c r="L2" s="1390"/>
      <c r="M2" s="1390"/>
      <c r="N2" s="1425"/>
      <c r="O2" s="1390"/>
      <c r="P2" s="1390"/>
    </row>
    <row r="3" spans="1:16" ht="15.75" thickBot="1">
      <c r="A3" s="3114" t="s">
        <v>1909</v>
      </c>
      <c r="B3" s="3114"/>
      <c r="C3" s="3114"/>
      <c r="D3" s="46">
        <f>'数据-基础表'!AY6</f>
        <v>0</v>
      </c>
      <c r="E3" s="46">
        <f>'数据-基础表'!AZ5</f>
        <v>3992.9400000000005</v>
      </c>
      <c r="F3" s="1390"/>
      <c r="G3" s="1397"/>
      <c r="H3" s="1245" t="s">
        <v>1910</v>
      </c>
      <c r="I3" s="55" t="e">
        <f>ROUND('数据-基础表'!B3/'数据-基础表'!A3,2)</f>
        <v>#DIV/0!</v>
      </c>
      <c r="J3" s="1390"/>
      <c r="K3" s="1390"/>
      <c r="L3" s="1390"/>
      <c r="M3" s="1390"/>
      <c r="N3" s="1425"/>
      <c r="O3" s="1390"/>
      <c r="P3" s="1390"/>
    </row>
    <row r="4" spans="1:16" ht="15">
      <c r="A4" s="3115"/>
      <c r="B4" s="3116"/>
      <c r="C4" s="3117"/>
      <c r="D4" s="2224" t="s">
        <v>1911</v>
      </c>
      <c r="E4" s="2225" t="s">
        <v>1912</v>
      </c>
      <c r="F4" s="1390"/>
      <c r="G4" s="2226" t="s">
        <v>1937</v>
      </c>
      <c r="H4" s="1245" t="s">
        <v>1917</v>
      </c>
      <c r="I4" s="55" t="e">
        <f>ROUND(SUMIF('数据-基础表'!I9:AS9,"地上",'数据-基础表'!I5:AS5)/'数据-基础表'!A3,2)</f>
        <v>#DIV/0!</v>
      </c>
      <c r="J4" s="1390"/>
      <c r="K4" s="1390"/>
      <c r="L4" s="1390"/>
      <c r="M4" s="1390"/>
      <c r="N4" s="1425"/>
      <c r="O4" s="1390"/>
      <c r="P4" s="1390"/>
    </row>
    <row r="5" spans="1:16">
      <c r="A5" s="47" t="s">
        <v>1913</v>
      </c>
      <c r="B5" s="3118" t="s">
        <v>1914</v>
      </c>
      <c r="C5" s="3118"/>
      <c r="D5" s="48">
        <f>ROUND($D$3*E5/$E$3,2)</f>
        <v>0</v>
      </c>
      <c r="E5" s="49">
        <f>SUMIF('数据-基础表'!$11:$11,"住宅",'数据-基础表'!$5:$5)</f>
        <v>0</v>
      </c>
      <c r="F5" s="1390"/>
      <c r="G5" s="1397"/>
      <c r="H5" s="1245" t="s">
        <v>1910</v>
      </c>
      <c r="I5" s="55" t="e">
        <f>ROUND(E31/D31,2)</f>
        <v>#DIV/0!</v>
      </c>
      <c r="J5" s="1390"/>
      <c r="K5" s="1390"/>
      <c r="L5" s="1390"/>
      <c r="M5" s="1390"/>
      <c r="N5" s="1390"/>
      <c r="O5" s="1390"/>
      <c r="P5" s="1390"/>
    </row>
    <row r="6" spans="1:16" ht="15" thickBot="1">
      <c r="A6" s="2227"/>
      <c r="B6" s="3118" t="s">
        <v>1915</v>
      </c>
      <c r="C6" s="3118"/>
      <c r="D6" s="48">
        <f>ROUND($D$3*E6/$E$3,2)</f>
        <v>0</v>
      </c>
      <c r="E6" s="49">
        <f>E3-E5</f>
        <v>3992.9400000000005</v>
      </c>
      <c r="F6" s="1390"/>
      <c r="G6" s="2228" t="s">
        <v>1916</v>
      </c>
      <c r="H6" s="1397" t="s">
        <v>1917</v>
      </c>
      <c r="I6" s="938" t="e">
        <f>ROUND(F31/D31,2)</f>
        <v>#DIV/0!</v>
      </c>
      <c r="J6" s="1390"/>
      <c r="K6" s="1390"/>
      <c r="L6" s="1390"/>
      <c r="M6" s="1390"/>
      <c r="N6" s="1390"/>
      <c r="O6" s="1390"/>
      <c r="P6" s="1390"/>
    </row>
    <row r="7" spans="1:16" ht="15">
      <c r="A7" s="3110"/>
      <c r="B7" s="3111"/>
      <c r="C7" s="3112"/>
      <c r="D7" s="2224" t="s">
        <v>1911</v>
      </c>
      <c r="E7" s="2229" t="s">
        <v>1918</v>
      </c>
      <c r="F7" s="1390"/>
      <c r="G7" s="2221" t="s">
        <v>1919</v>
      </c>
      <c r="H7" s="64"/>
      <c r="I7" s="420"/>
      <c r="J7" s="1390"/>
      <c r="K7" s="1390"/>
      <c r="L7" s="1390"/>
      <c r="M7" s="1390"/>
      <c r="N7" s="1390"/>
      <c r="O7" s="1390"/>
      <c r="P7" s="1390"/>
    </row>
    <row r="8" spans="1:16">
      <c r="A8" s="47" t="s">
        <v>1920</v>
      </c>
      <c r="B8" s="50" t="s">
        <v>1921</v>
      </c>
      <c r="C8" s="48" t="s">
        <v>1922</v>
      </c>
      <c r="D8" s="48">
        <f t="shared" ref="D8:D15" si="0">ROUND($D$3*E8/$E$3,2)</f>
        <v>0</v>
      </c>
      <c r="E8" s="51">
        <f>SUMIF('数据-基础表'!BB10:BK10,"地上",'数据-基础表'!BB5:BK5)</f>
        <v>3992.9400000000005</v>
      </c>
      <c r="F8" s="1390"/>
      <c r="G8" s="2230"/>
      <c r="H8" s="2230"/>
      <c r="I8" s="1390"/>
      <c r="J8" s="1390"/>
      <c r="K8" s="1390"/>
      <c r="L8" s="1390"/>
      <c r="M8" s="1390"/>
      <c r="N8" s="1390"/>
      <c r="O8" s="1390"/>
      <c r="P8" s="1390"/>
    </row>
    <row r="9" spans="1:16">
      <c r="A9" s="2231"/>
      <c r="B9" s="2232"/>
      <c r="C9" s="48" t="s">
        <v>1923</v>
      </c>
      <c r="D9" s="48">
        <f t="shared" si="0"/>
        <v>0</v>
      </c>
      <c r="E9" s="52">
        <v>0</v>
      </c>
      <c r="F9" s="1390"/>
      <c r="G9" s="2230"/>
      <c r="H9" s="2230"/>
      <c r="I9" s="1390"/>
      <c r="J9" s="1390"/>
      <c r="K9" s="1390"/>
      <c r="L9" s="1390"/>
      <c r="M9" s="1390"/>
      <c r="N9" s="1390"/>
      <c r="O9" s="1390"/>
      <c r="P9" s="1390"/>
    </row>
    <row r="10" spans="1:16">
      <c r="A10" s="2231"/>
      <c r="B10" s="2232"/>
      <c r="C10" s="48" t="s">
        <v>1932</v>
      </c>
      <c r="D10" s="48">
        <f t="shared" si="0"/>
        <v>0</v>
      </c>
      <c r="E10" s="51">
        <f>SUMPRODUCT(('数据-基础表'!BB10:BK10="地下")*('数据-基础表'!BB11:BK11="商业")*('数据-基础表'!BB5:BK5))</f>
        <v>0</v>
      </c>
      <c r="F10" s="1390"/>
      <c r="G10" s="2230"/>
      <c r="H10" s="2230"/>
      <c r="I10" s="1390"/>
      <c r="J10" s="1390"/>
      <c r="K10" s="1390"/>
      <c r="L10" s="1390"/>
      <c r="M10" s="1390"/>
      <c r="N10" s="1390"/>
      <c r="O10" s="1390"/>
      <c r="P10" s="1390"/>
    </row>
    <row r="11" spans="1:16">
      <c r="A11" s="2231"/>
      <c r="B11" s="2232"/>
      <c r="C11" s="48" t="s">
        <v>1924</v>
      </c>
      <c r="D11" s="48">
        <f t="shared" si="0"/>
        <v>0</v>
      </c>
      <c r="E11" s="51">
        <f>SUMPRODUCT(('数据-基础表'!BB10:BK10="地下")*('数据-基础表'!BB11:BK11="办公")*('数据-基础表'!BB5:BK5))+'数据-基础表'!BP5</f>
        <v>0</v>
      </c>
      <c r="F11" s="1390"/>
      <c r="G11" s="2230"/>
      <c r="H11" s="2230"/>
      <c r="I11" s="1390"/>
      <c r="J11" s="1390"/>
      <c r="K11" s="1390"/>
      <c r="L11" s="1390"/>
      <c r="M11" s="1390"/>
      <c r="N11" s="1390"/>
      <c r="O11" s="1390"/>
      <c r="P11" s="1390"/>
    </row>
    <row r="12" spans="1:16">
      <c r="A12" s="2231"/>
      <c r="B12" s="2232"/>
      <c r="C12" s="48" t="s">
        <v>1925</v>
      </c>
      <c r="D12" s="48">
        <f t="shared" si="0"/>
        <v>0</v>
      </c>
      <c r="E12" s="51">
        <f>SUMPRODUCT(('数据-基础表'!BB10:BK10="地下")*('数据-基础表'!BB11:BK11="仓储")*('数据-基础表'!BB5:BK5))</f>
        <v>0</v>
      </c>
      <c r="F12" s="1390"/>
      <c r="G12" s="2230"/>
      <c r="H12" s="2230"/>
      <c r="I12" s="1390"/>
      <c r="J12" s="1390"/>
      <c r="K12" s="1390"/>
      <c r="L12" s="1390"/>
      <c r="M12" s="1390"/>
      <c r="N12" s="1390"/>
      <c r="O12" s="1390"/>
      <c r="P12" s="1390"/>
    </row>
    <row r="13" spans="1:16">
      <c r="A13" s="2231"/>
      <c r="B13" s="2232"/>
      <c r="C13" s="48" t="s">
        <v>1926</v>
      </c>
      <c r="D13" s="48">
        <f t="shared" si="0"/>
        <v>0</v>
      </c>
      <c r="E13" s="51">
        <f>SUMPRODUCT(('数据-基础表'!BB10:BK10="地下")*('数据-基础表'!BB11:BK11="车库")*('数据-基础表'!BB5:BK5))</f>
        <v>0</v>
      </c>
      <c r="F13" s="1390"/>
      <c r="G13" s="2230"/>
      <c r="H13" s="2230"/>
      <c r="I13" s="1390"/>
      <c r="J13" s="1390"/>
      <c r="K13" s="1390"/>
      <c r="L13" s="1390"/>
      <c r="M13" s="1390"/>
      <c r="N13" s="1390"/>
      <c r="O13" s="1390"/>
      <c r="P13" s="1390"/>
    </row>
    <row r="14" spans="1:16">
      <c r="A14" s="2231"/>
      <c r="B14" s="2232"/>
      <c r="C14" s="48" t="s">
        <v>1938</v>
      </c>
      <c r="D14" s="48">
        <f t="shared" si="0"/>
        <v>0</v>
      </c>
      <c r="E14" s="51">
        <f>SUMPRODUCT(('数据-基础表'!BB10:BK10="地下")*('数据-基础表'!BB11:BK11="车库—商业")*('数据-基础表'!BB5:BK5))</f>
        <v>0</v>
      </c>
      <c r="F14" s="1390"/>
      <c r="G14" s="2230"/>
      <c r="H14" s="2230"/>
      <c r="I14" s="1390"/>
      <c r="J14" s="1390"/>
      <c r="K14" s="1390"/>
      <c r="L14" s="1390"/>
      <c r="M14" s="1390"/>
      <c r="N14" s="1390"/>
      <c r="O14" s="1390"/>
      <c r="P14" s="1390"/>
    </row>
    <row r="15" spans="1:16" ht="15" thickBot="1">
      <c r="A15" s="2231"/>
      <c r="B15" s="2232"/>
      <c r="C15" s="48" t="s">
        <v>1933</v>
      </c>
      <c r="D15" s="48">
        <f t="shared" si="0"/>
        <v>0</v>
      </c>
      <c r="E15" s="51">
        <f>SUMPRODUCT(('数据-基础表'!BB10:BK10="地下")*('数据-基础表'!BB11:BK11="车库—办公")*('数据-基础表'!BB5:BK5))</f>
        <v>0</v>
      </c>
      <c r="F15" s="1390"/>
      <c r="G15" s="2230"/>
      <c r="H15" s="2230"/>
      <c r="I15" s="1390"/>
      <c r="J15" s="1390"/>
      <c r="K15" s="1390"/>
      <c r="L15" s="1390"/>
      <c r="M15" s="1390"/>
      <c r="N15" s="1390"/>
      <c r="O15" s="1390"/>
      <c r="P15" s="1390"/>
    </row>
    <row r="16" spans="1:16" ht="15.75" thickBot="1">
      <c r="A16" s="2227"/>
      <c r="B16" s="2232"/>
      <c r="C16" s="50" t="s">
        <v>1927</v>
      </c>
      <c r="D16" s="50">
        <f>SUM(D8:D15)</f>
        <v>0</v>
      </c>
      <c r="E16" s="53">
        <f>SUM(E8:E15)</f>
        <v>3992.9400000000005</v>
      </c>
      <c r="F16" s="1390"/>
      <c r="G16" s="2230"/>
      <c r="H16" s="2233" t="s">
        <v>1939</v>
      </c>
      <c r="I16" s="2234"/>
      <c r="J16" s="1390"/>
      <c r="K16" s="3107" t="s">
        <v>1939</v>
      </c>
      <c r="L16" s="3108"/>
      <c r="M16" s="3108"/>
      <c r="N16" s="3108"/>
      <c r="O16" s="3108"/>
      <c r="P16" s="3109"/>
    </row>
    <row r="17" spans="1:19" ht="15">
      <c r="A17" s="2235" t="s">
        <v>1940</v>
      </c>
      <c r="B17" s="2236" t="s">
        <v>1941</v>
      </c>
      <c r="C17" s="2237" t="s">
        <v>1942</v>
      </c>
      <c r="D17" s="2238" t="s">
        <v>1930</v>
      </c>
      <c r="E17" s="2239" t="s">
        <v>1931</v>
      </c>
      <c r="F17" s="2240"/>
      <c r="G17" s="2241"/>
      <c r="H17" s="2242" t="s">
        <v>1943</v>
      </c>
      <c r="I17" s="2243" t="s">
        <v>1928</v>
      </c>
      <c r="J17" s="1390"/>
      <c r="K17" s="3104" t="s">
        <v>1944</v>
      </c>
      <c r="L17" s="3105"/>
      <c r="M17" s="3106"/>
      <c r="N17" s="3104" t="s">
        <v>1945</v>
      </c>
      <c r="O17" s="3105"/>
      <c r="P17" s="3106"/>
      <c r="R17" s="2221" t="s">
        <v>1946</v>
      </c>
      <c r="S17" s="64"/>
    </row>
    <row r="18" spans="1:19" ht="15">
      <c r="A18" s="2231"/>
      <c r="B18" s="2244"/>
      <c r="C18" s="2245"/>
      <c r="D18" s="2246"/>
      <c r="E18" s="2247" t="s">
        <v>1947</v>
      </c>
      <c r="F18" s="2248" t="s">
        <v>1948</v>
      </c>
      <c r="G18" s="2249" t="s">
        <v>1949</v>
      </c>
      <c r="H18" s="1260" t="s">
        <v>1950</v>
      </c>
      <c r="I18" s="2250" t="s">
        <v>1951</v>
      </c>
      <c r="J18" s="1390"/>
      <c r="K18" s="1260" t="s">
        <v>1952</v>
      </c>
      <c r="L18" s="2251" t="s">
        <v>1953</v>
      </c>
      <c r="M18" s="1044" t="s">
        <v>1954</v>
      </c>
      <c r="N18" s="1260" t="s">
        <v>1952</v>
      </c>
      <c r="O18" s="2251" t="s">
        <v>1953</v>
      </c>
      <c r="P18" s="1044" t="s">
        <v>1954</v>
      </c>
      <c r="R18" s="1245" t="s">
        <v>1955</v>
      </c>
      <c r="S18" s="1245" t="s">
        <v>1956</v>
      </c>
    </row>
    <row r="19" spans="1:19">
      <c r="A19" s="2252"/>
      <c r="B19" s="50" t="s">
        <v>1929</v>
      </c>
      <c r="C19" s="2253">
        <v>101</v>
      </c>
      <c r="D19" s="48">
        <f>ROUND($D$3*E19/$E$3,2)</f>
        <v>0</v>
      </c>
      <c r="E19" s="56">
        <f t="shared" ref="E19:E26" si="1">SUM(F19:G19)</f>
        <v>100.98</v>
      </c>
      <c r="F19" s="57">
        <f>'数据-基础表'!I13</f>
        <v>100.98</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54"/>
      <c r="O19" s="2255"/>
      <c r="P19" s="1401">
        <f>N19+O19</f>
        <v>0</v>
      </c>
      <c r="R19" s="1245">
        <f t="shared" ref="R19:S26" si="5">D19+H19</f>
        <v>0</v>
      </c>
      <c r="S19" s="1246">
        <f t="shared" si="5"/>
        <v>100.98</v>
      </c>
    </row>
    <row r="20" spans="1:19">
      <c r="A20" s="2256"/>
      <c r="B20" s="50" t="s">
        <v>1957</v>
      </c>
      <c r="C20" s="2988" t="s">
        <v>3069</v>
      </c>
      <c r="D20" s="48">
        <f t="shared" ref="D20:D26" si="6">ROUND($D$3*E20/$E$3,2)</f>
        <v>0</v>
      </c>
      <c r="E20" s="56">
        <f t="shared" si="1"/>
        <v>3891.9600000000005</v>
      </c>
      <c r="F20" s="57">
        <f>'数据-基础表'!I5-'数据-汇总表'!F19</f>
        <v>3891.9600000000005</v>
      </c>
      <c r="G20" s="58"/>
      <c r="H20" s="722">
        <f t="shared" ref="H20:H26" si="7">ROUND($D$3*I20/$E$3,2)</f>
        <v>0</v>
      </c>
      <c r="I20" s="51">
        <f t="shared" si="2"/>
        <v>0</v>
      </c>
      <c r="J20" s="1390"/>
      <c r="K20" s="1389">
        <f t="shared" si="3"/>
        <v>0</v>
      </c>
      <c r="L20" s="1245">
        <f t="shared" si="4"/>
        <v>0</v>
      </c>
      <c r="M20" s="1401">
        <f t="shared" ref="M20:M26" si="8">K20+L20</f>
        <v>0</v>
      </c>
      <c r="N20" s="2254"/>
      <c r="O20" s="2255"/>
      <c r="P20" s="1401">
        <f t="shared" ref="P20:P26" si="9">N20+O20</f>
        <v>0</v>
      </c>
      <c r="R20" s="1245">
        <f t="shared" si="5"/>
        <v>0</v>
      </c>
      <c r="S20" s="1246">
        <f t="shared" si="5"/>
        <v>3891.9600000000005</v>
      </c>
    </row>
    <row r="21" spans="1:19">
      <c r="A21" s="2256"/>
      <c r="B21" s="50" t="s">
        <v>1957</v>
      </c>
      <c r="C21" s="2253"/>
      <c r="D21" s="48">
        <f t="shared" si="6"/>
        <v>0</v>
      </c>
      <c r="E21" s="56">
        <f t="shared" si="1"/>
        <v>0</v>
      </c>
      <c r="F21" s="57"/>
      <c r="G21" s="58"/>
      <c r="H21" s="722">
        <f t="shared" si="7"/>
        <v>0</v>
      </c>
      <c r="I21" s="51">
        <f t="shared" si="2"/>
        <v>0</v>
      </c>
      <c r="J21" s="1390"/>
      <c r="K21" s="1389">
        <f t="shared" si="3"/>
        <v>0</v>
      </c>
      <c r="L21" s="1245">
        <f t="shared" si="4"/>
        <v>0</v>
      </c>
      <c r="M21" s="1401">
        <f t="shared" si="8"/>
        <v>0</v>
      </c>
      <c r="N21" s="2254"/>
      <c r="O21" s="2255"/>
      <c r="P21" s="1401">
        <f t="shared" si="9"/>
        <v>0</v>
      </c>
      <c r="R21" s="1245">
        <f t="shared" si="5"/>
        <v>0</v>
      </c>
      <c r="S21" s="1246">
        <f t="shared" si="5"/>
        <v>0</v>
      </c>
    </row>
    <row r="22" spans="1:19">
      <c r="A22" s="2256"/>
      <c r="B22" s="50" t="s">
        <v>1957</v>
      </c>
      <c r="C22" s="60"/>
      <c r="D22" s="48">
        <f t="shared" si="6"/>
        <v>0</v>
      </c>
      <c r="E22" s="56">
        <f t="shared" si="1"/>
        <v>0</v>
      </c>
      <c r="F22" s="61"/>
      <c r="G22" s="62"/>
      <c r="H22" s="722">
        <f t="shared" si="7"/>
        <v>0</v>
      </c>
      <c r="I22" s="51">
        <f t="shared" si="2"/>
        <v>0</v>
      </c>
      <c r="J22" s="1390"/>
      <c r="K22" s="1389">
        <f t="shared" si="3"/>
        <v>0</v>
      </c>
      <c r="L22" s="1245">
        <f t="shared" si="4"/>
        <v>0</v>
      </c>
      <c r="M22" s="1401">
        <f t="shared" si="8"/>
        <v>0</v>
      </c>
      <c r="N22" s="2254"/>
      <c r="O22" s="2255"/>
      <c r="P22" s="1401">
        <f t="shared" si="9"/>
        <v>0</v>
      </c>
      <c r="R22" s="1245">
        <f t="shared" si="5"/>
        <v>0</v>
      </c>
      <c r="S22" s="1246">
        <f t="shared" si="5"/>
        <v>0</v>
      </c>
    </row>
    <row r="23" spans="1:19">
      <c r="A23" s="2256"/>
      <c r="B23" s="50" t="s">
        <v>1957</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54"/>
      <c r="O23" s="2255"/>
      <c r="P23" s="1401">
        <f t="shared" si="9"/>
        <v>0</v>
      </c>
      <c r="R23" s="1245">
        <f t="shared" si="5"/>
        <v>0</v>
      </c>
      <c r="S23" s="1246">
        <f t="shared" si="5"/>
        <v>0</v>
      </c>
    </row>
    <row r="24" spans="1:19">
      <c r="A24" s="2256"/>
      <c r="B24" s="50" t="s">
        <v>1957</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54"/>
      <c r="O24" s="2255"/>
      <c r="P24" s="1401">
        <f t="shared" si="9"/>
        <v>0</v>
      </c>
      <c r="R24" s="1245">
        <f t="shared" si="5"/>
        <v>0</v>
      </c>
      <c r="S24" s="1246">
        <f t="shared" si="5"/>
        <v>0</v>
      </c>
    </row>
    <row r="25" spans="1:19">
      <c r="A25" s="2256"/>
      <c r="B25" s="50" t="s">
        <v>1957</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54"/>
      <c r="O25" s="2255"/>
      <c r="P25" s="1401">
        <f t="shared" si="9"/>
        <v>0</v>
      </c>
      <c r="R25" s="1245">
        <f t="shared" si="5"/>
        <v>0</v>
      </c>
      <c r="S25" s="1246">
        <f t="shared" si="5"/>
        <v>0</v>
      </c>
    </row>
    <row r="26" spans="1:19">
      <c r="A26" s="2256"/>
      <c r="B26" s="50" t="s">
        <v>1957</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7"/>
      <c r="O26" s="2258"/>
      <c r="P26" s="67">
        <f t="shared" si="9"/>
        <v>0</v>
      </c>
      <c r="R26" s="1245">
        <f t="shared" si="5"/>
        <v>0</v>
      </c>
      <c r="S26" s="1246">
        <f t="shared" si="5"/>
        <v>0</v>
      </c>
    </row>
    <row r="27" spans="1:19" ht="15.75" thickBot="1">
      <c r="A27" s="2256"/>
      <c r="B27" s="48"/>
      <c r="C27" s="2259" t="s">
        <v>1958</v>
      </c>
      <c r="D27" s="1391">
        <f>SUM(D19:D26)</f>
        <v>0</v>
      </c>
      <c r="E27" s="1392">
        <f>IF(SUM(E19:E26)='数据-基础表'!BA5,SUM(E19:E26),IF(F27="地上面积有误","面积有误","地下面积有误"))</f>
        <v>3992.9400000000005</v>
      </c>
      <c r="F27" s="1391">
        <f>IF(SUM(F19:F26)=E8,SUM(F19:F26),"地上面积有误")</f>
        <v>3992.9400000000005</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0</v>
      </c>
      <c r="S27" s="1245">
        <f>IF(SUM(S19:S26)=$E$3,SUM(S19:S26),SUM(S19:S26)&amp;"误差"&amp;ROUND(SUM(S19:S26)-E3,2))</f>
        <v>3992.9400000000005</v>
      </c>
    </row>
    <row r="28" spans="1:19">
      <c r="A28" s="2256"/>
      <c r="B28" s="50" t="s">
        <v>1959</v>
      </c>
      <c r="C28" s="1257" t="s">
        <v>1960</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6"/>
      <c r="B29" s="50" t="s">
        <v>1959</v>
      </c>
      <c r="C29" s="2260" t="s">
        <v>1961</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6"/>
      <c r="B30" s="50"/>
      <c r="C30" s="2261" t="s">
        <v>1958</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2"/>
      <c r="B31" s="2263"/>
      <c r="C31" s="1006" t="s">
        <v>1962</v>
      </c>
      <c r="D31" s="728">
        <f>D27+D30</f>
        <v>0</v>
      </c>
      <c r="E31" s="728">
        <f>E27+E30</f>
        <v>3992.9400000000005</v>
      </c>
      <c r="F31" s="729">
        <f>F27+F30</f>
        <v>3992.9400000000005</v>
      </c>
      <c r="G31" s="730">
        <f>G27+G30</f>
        <v>0</v>
      </c>
      <c r="H31" s="1390"/>
      <c r="I31" s="1390"/>
      <c r="J31" s="1390"/>
      <c r="K31" s="1390"/>
      <c r="L31" s="1390"/>
      <c r="M31" s="1390"/>
      <c r="N31" s="1390"/>
      <c r="O31" s="1390"/>
      <c r="P31" s="1390"/>
    </row>
    <row r="32" spans="1:19">
      <c r="A32" s="2226"/>
      <c r="B32" s="2226" t="s">
        <v>1963</v>
      </c>
      <c r="C32" s="2226"/>
      <c r="D32" s="2226"/>
      <c r="E32" s="1272">
        <f>SUMIF(C19:C26,"*住宅*",E19:E26)</f>
        <v>0</v>
      </c>
      <c r="F32" s="2226"/>
      <c r="G32" s="2226"/>
      <c r="H32" s="1390"/>
      <c r="I32" s="1390"/>
      <c r="J32" s="1390"/>
      <c r="K32" s="1390"/>
      <c r="L32" s="1390"/>
      <c r="M32" s="1390"/>
      <c r="N32" s="1390"/>
      <c r="O32" s="1390"/>
      <c r="P32" s="1390"/>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0" priority="1" stopIfTrue="1" operator="containsText" text="面积有误">
      <formula>NOT(ISERROR(SEARCH("面积有误",E27)))</formula>
    </cfRule>
    <cfRule type="cellIs" dxfId="169" priority="3" stopIfTrue="1" operator="equal">
      <formula>"地下面积有误"</formula>
    </cfRule>
  </conditionalFormatting>
  <conditionalFormatting sqref="F27">
    <cfRule type="cellIs" dxfId="16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V10" sqref="V10"/>
    </sheetView>
  </sheetViews>
  <sheetFormatPr defaultColWidth="13.75" defaultRowHeight="12.75"/>
  <cols>
    <col min="1" max="1" width="20.875" style="2338" customWidth="1"/>
    <col min="2" max="2" width="12" style="2268" customWidth="1"/>
    <col min="3" max="3" width="10.75" style="2268" customWidth="1"/>
    <col min="4" max="4" width="9.125" style="2339" customWidth="1"/>
    <col min="5" max="5" width="15" style="2268" bestFit="1" customWidth="1"/>
    <col min="6" max="10" width="8.875" style="2268" customWidth="1"/>
    <col min="11" max="12" width="12.375" style="2182" customWidth="1"/>
    <col min="13" max="13" width="8.625" style="2268" customWidth="1"/>
    <col min="14" max="14" width="11.875" style="2268" customWidth="1"/>
    <col min="15" max="15" width="8.5" style="2268" customWidth="1"/>
    <col min="16" max="17" width="10.875" style="2268" customWidth="1"/>
    <col min="18" max="19" width="12.5" style="2268" customWidth="1"/>
    <col min="20" max="20" width="12.125" style="2268" customWidth="1"/>
    <col min="21" max="21" width="7.5" style="2268" customWidth="1"/>
    <col min="22" max="22" width="6.375" style="2268" customWidth="1"/>
    <col min="23" max="30" width="6.75" style="2268" customWidth="1"/>
    <col min="31" max="31" width="8" style="2268" customWidth="1"/>
    <col min="32" max="34" width="7.25" style="2268" customWidth="1"/>
    <col min="35" max="39" width="8" style="2268" customWidth="1"/>
    <col min="40" max="40" width="13.75" style="2267"/>
    <col min="41" max="41" width="11.625" style="2267" customWidth="1"/>
    <col min="42" max="42" width="9.75" style="2267" customWidth="1"/>
    <col min="43" max="67" width="13.75" style="2267"/>
    <col min="68" max="16384" width="13.75" style="2268"/>
  </cols>
  <sheetData>
    <row r="1" spans="1:67" ht="19.5" thickBot="1">
      <c r="A1" s="2265" t="s">
        <v>1964</v>
      </c>
      <c r="B1" s="731"/>
      <c r="C1" s="1579"/>
      <c r="D1" s="2266"/>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75" thickBot="1">
      <c r="A2" s="2269" t="s">
        <v>1965</v>
      </c>
      <c r="B2" s="1264">
        <f>项目基本情况!D3</f>
        <v>43711</v>
      </c>
      <c r="C2" s="2270"/>
      <c r="D2" s="2271"/>
      <c r="E2" s="2270"/>
      <c r="F2" s="2270"/>
      <c r="G2" s="2270"/>
      <c r="H2" s="2270"/>
      <c r="I2" s="2270"/>
      <c r="J2" s="2270"/>
      <c r="K2" s="1425"/>
      <c r="L2" s="1425"/>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8" customFormat="1" ht="15" thickBot="1">
      <c r="A3" s="2026"/>
      <c r="B3" s="2273"/>
      <c r="C3" s="2270"/>
      <c r="D3" s="2271"/>
      <c r="E3" s="2270"/>
      <c r="F3" s="2270"/>
      <c r="G3" s="2270"/>
      <c r="H3" s="2270"/>
      <c r="I3" s="2270"/>
      <c r="J3" s="2270"/>
      <c r="K3" s="1425"/>
      <c r="L3" s="1425"/>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8"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9" customFormat="1" ht="42">
      <c r="A5" s="2282" t="s">
        <v>1972</v>
      </c>
      <c r="B5" s="2283" t="s">
        <v>1973</v>
      </c>
      <c r="C5" s="2284" t="s">
        <v>1974</v>
      </c>
      <c r="D5" s="2285" t="s">
        <v>1975</v>
      </c>
      <c r="E5" s="1266" t="s">
        <v>1976</v>
      </c>
      <c r="F5" s="2286" t="s">
        <v>1977</v>
      </c>
      <c r="G5" s="1266" t="s">
        <v>1978</v>
      </c>
      <c r="H5" s="1266" t="s">
        <v>1979</v>
      </c>
      <c r="I5" s="1266" t="s">
        <v>1980</v>
      </c>
      <c r="J5" s="2287" t="s">
        <v>1981</v>
      </c>
      <c r="K5" s="2288" t="s">
        <v>1982</v>
      </c>
      <c r="L5" s="2289" t="s">
        <v>1983</v>
      </c>
      <c r="M5" s="2290" t="s">
        <v>1984</v>
      </c>
      <c r="N5" s="2291" t="s">
        <v>3070</v>
      </c>
      <c r="O5" s="2289" t="s">
        <v>1985</v>
      </c>
      <c r="P5" s="2292" t="s">
        <v>1986</v>
      </c>
      <c r="Q5" s="69" t="s">
        <v>1987</v>
      </c>
      <c r="R5" s="2293" t="s">
        <v>1988</v>
      </c>
      <c r="S5" s="2294" t="s">
        <v>1989</v>
      </c>
      <c r="T5" s="2295" t="s">
        <v>1990</v>
      </c>
      <c r="U5" s="1265" t="s">
        <v>1991</v>
      </c>
      <c r="V5" s="1266" t="s">
        <v>1992</v>
      </c>
      <c r="W5" s="1266" t="s">
        <v>1993</v>
      </c>
      <c r="X5" s="71"/>
      <c r="Y5" s="70" t="s">
        <v>1994</v>
      </c>
      <c r="Z5" s="2296" t="s">
        <v>1991</v>
      </c>
      <c r="AA5" s="1266" t="s">
        <v>1992</v>
      </c>
      <c r="AB5" s="1266" t="s">
        <v>1993</v>
      </c>
      <c r="AC5" s="71"/>
      <c r="AD5" s="71" t="s">
        <v>1994</v>
      </c>
      <c r="AE5" s="1265" t="s">
        <v>1995</v>
      </c>
      <c r="AF5" s="1266" t="s">
        <v>1996</v>
      </c>
      <c r="AG5" s="70" t="s">
        <v>1997</v>
      </c>
      <c r="AH5" s="1265" t="s">
        <v>1998</v>
      </c>
      <c r="AI5" s="2296" t="s">
        <v>1999</v>
      </c>
      <c r="AJ5" s="2296" t="s">
        <v>2000</v>
      </c>
      <c r="AK5" s="1266" t="s">
        <v>2001</v>
      </c>
      <c r="AL5" s="1266" t="s">
        <v>2002</v>
      </c>
      <c r="AM5" s="70" t="s">
        <v>2003</v>
      </c>
      <c r="AN5" s="2297" t="s">
        <v>2004</v>
      </c>
      <c r="AO5" s="2067" t="s">
        <v>2005</v>
      </c>
      <c r="AP5" s="1247"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8" customFormat="1" ht="14.25">
      <c r="A6" s="2299">
        <f>'数据-汇总表'!C19</f>
        <v>101</v>
      </c>
      <c r="B6" s="2300" t="str">
        <f>IF(A6=0,"","经营性")</f>
        <v>经营性</v>
      </c>
      <c r="C6" s="2301" t="s">
        <v>1373</v>
      </c>
      <c r="D6" s="1049">
        <f>SUMIF(项目基本情况!D$12:I$12,C6,项目基本情况!D$14:I$14)</f>
        <v>40</v>
      </c>
      <c r="E6" s="1046">
        <f>IF(B6="","",SUMIF(项目基本情况!D$12:I$12,C6,项目基本情况!D$13:I$13))</f>
        <v>56737</v>
      </c>
      <c r="F6" s="72">
        <f>SUMIF(项目基本情况!D$12:I$12,C6,项目基本情况!D$15:I$15)</f>
        <v>35.68</v>
      </c>
      <c r="G6" s="73">
        <f>IF(ISERROR(ROUND(POWER(1+H6,D6-F6)*(POWER(1+H6,F6)-1)/(POWER(1+H6,D6)-1),3)),0,ROUND(POWER(1+H6,D6-F6)*(POWER(1+H6,F6)-1)/(POWER(1+H6,D6)-1),3))</f>
        <v>0.96099999999999997</v>
      </c>
      <c r="H6" s="801">
        <v>0.05</v>
      </c>
      <c r="I6" s="801">
        <v>5.5E-2</v>
      </c>
      <c r="J6" s="74">
        <v>8.5000000000000006E-2</v>
      </c>
      <c r="K6" s="1249">
        <f>SUMIF('数据-汇总表'!C$19:C$33,A6,'数据-汇总表'!E$19:E$33)</f>
        <v>100.98</v>
      </c>
      <c r="L6" s="802">
        <v>2000</v>
      </c>
      <c r="M6" s="75">
        <f t="shared" ref="M6:M14" si="0">ROUND(K6*L6/10000,0)</f>
        <v>20</v>
      </c>
      <c r="N6" s="800">
        <f>ROUND(1-(2019-2015)/60,2)</f>
        <v>0.93</v>
      </c>
      <c r="O6" s="75" t="str">
        <f>IF($N$5="成新度","——",ROUND(M6*N6,0))</f>
        <v>——</v>
      </c>
      <c r="P6" s="76" t="str">
        <f>IF($N$5="成新度","——",M6-O6)</f>
        <v>——</v>
      </c>
      <c r="Q6" s="803">
        <v>0.15</v>
      </c>
      <c r="R6" s="77">
        <f ca="1">SUMIF('数据-汇总表'!C$19:C$33,A6,'数据-汇总表'!R$19:R$27)</f>
        <v>0</v>
      </c>
      <c r="S6" s="54">
        <f>IF('数据-汇总表'!$I$17="按面积比例",SUMIF('数据-汇总表'!C$19:C$33,A6,'数据-汇总表'!K$19:K$33),SUMIF('数据-汇总表'!C$19:C$33,A6,'数据-汇总表'!N$19:N$33))</f>
        <v>0</v>
      </c>
      <c r="T6" s="1441">
        <f>ROUND($L$14*S6/10000,0)</f>
        <v>0</v>
      </c>
      <c r="U6" s="78">
        <v>1.5</v>
      </c>
      <c r="V6" s="79">
        <v>2.5000000000000001E-2</v>
      </c>
      <c r="W6" s="79">
        <v>0.15</v>
      </c>
      <c r="X6" s="1259"/>
      <c r="Y6" s="80">
        <f>N6</f>
        <v>0.93</v>
      </c>
      <c r="Z6" s="81"/>
      <c r="AA6" s="74"/>
      <c r="AB6" s="74"/>
      <c r="AC6" s="1259"/>
      <c r="AD6" s="82"/>
      <c r="AE6" s="1260">
        <f ca="1">IF(AN6="",0,SUMIF(INDIRECT("'"&amp;AN6&amp;"'"&amp;"!E:E"),$AE$5,INDIRECT("'"&amp;AN6&amp;"'"&amp;"!F:F")))</f>
        <v>35.68</v>
      </c>
      <c r="AF6" s="1802"/>
      <c r="AG6" s="147">
        <f>IF(AF6="",0,AE6-AF6)</f>
        <v>0</v>
      </c>
      <c r="AH6" s="83"/>
      <c r="AI6" s="85">
        <v>365</v>
      </c>
      <c r="AJ6" s="86"/>
      <c r="AK6" s="87">
        <v>1.4999999999999999E-2</v>
      </c>
      <c r="AL6" s="88">
        <v>1.5E-3</v>
      </c>
      <c r="AM6" s="89">
        <v>0.01</v>
      </c>
      <c r="AN6" s="2302" t="s">
        <v>3071</v>
      </c>
      <c r="AO6" s="55">
        <f ca="1">SUMIF(INDIRECT("'"&amp;AN6&amp;"'"&amp;"!A:A"),"总价",INDIRECT("'"&amp;AN6&amp;"'"&amp;"!B:B"))</f>
        <v>86</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8" customFormat="1" ht="14.25">
      <c r="A7" s="2299" t="str">
        <f>'数据-汇总表'!C20</f>
        <v>其他</v>
      </c>
      <c r="B7" s="2300" t="str">
        <f t="shared" ref="B7:B13" si="1">IF(A7=0,"","经营性")</f>
        <v>经营性</v>
      </c>
      <c r="C7" s="2301" t="s">
        <v>1373</v>
      </c>
      <c r="D7" s="1049">
        <f>SUMIF(项目基本情况!D$12:I$12,C7,项目基本情况!D$14:I$14)</f>
        <v>40</v>
      </c>
      <c r="E7" s="1046">
        <f>IF(B7="","",SUMIF(项目基本情况!D$12:I$12,C7,项目基本情况!D$13:I$13))</f>
        <v>56737</v>
      </c>
      <c r="F7" s="72">
        <f>SUMIF(项目基本情况!D$12:I$12,C7,项目基本情况!D$15:I$15)</f>
        <v>35.68</v>
      </c>
      <c r="G7" s="73">
        <f t="shared" ref="G7:G11" si="2">IF(ISERROR(ROUND(POWER(1+H7,D7-F7)*(POWER(1+H7,F7)-1)/(POWER(1+H7,D7)-1),3)),0,ROUND(POWER(1+H7,D7-F7)*(POWER(1+H7,F7)-1)/(POWER(1+H7,D7)-1),3))</f>
        <v>0.96099999999999997</v>
      </c>
      <c r="H7" s="801">
        <v>0.05</v>
      </c>
      <c r="I7" s="801">
        <v>5.5E-2</v>
      </c>
      <c r="J7" s="74">
        <v>8.5000000000000006E-2</v>
      </c>
      <c r="K7" s="1249">
        <f>SUMIF('数据-汇总表'!C$19:C$33,A7,'数据-汇总表'!E$19:E$33)</f>
        <v>3891.9600000000005</v>
      </c>
      <c r="L7" s="802">
        <f>L6</f>
        <v>2000</v>
      </c>
      <c r="M7" s="75">
        <f t="shared" si="0"/>
        <v>778</v>
      </c>
      <c r="N7" s="800">
        <f>ROUND(1-(2019-2015)/60,2)</f>
        <v>0.93</v>
      </c>
      <c r="O7" s="75" t="str">
        <f t="shared" ref="O7:O14" si="3">IF($N$5="成新度","——",ROUND(M7*N7,0))</f>
        <v>——</v>
      </c>
      <c r="P7" s="76" t="str">
        <f t="shared" ref="P7:P14" si="4">IF($N$5="成新度","——",M7-O7)</f>
        <v>——</v>
      </c>
      <c r="Q7" s="803">
        <v>0.15</v>
      </c>
      <c r="R7" s="77">
        <f ca="1">SUMIF('数据-汇总表'!C$19:C$33,A7,'数据-汇总表'!R$19:R$27)</f>
        <v>0</v>
      </c>
      <c r="S7" s="54">
        <f>IF('数据-汇总表'!$I$17="按面积比例",SUMIF('数据-汇总表'!C$19:C$33,A7,'数据-汇总表'!K$19:K$33),SUMIF('数据-汇总表'!C$19:C$33,A7,'数据-汇总表'!N$19:N$33))</f>
        <v>0</v>
      </c>
      <c r="T7" s="1441">
        <f t="shared" ref="T7:T13" si="5">ROUND($L$14*S7/10000,0)</f>
        <v>0</v>
      </c>
      <c r="U7" s="78">
        <v>1.5</v>
      </c>
      <c r="V7" s="79">
        <v>2.5000000000000001E-2</v>
      </c>
      <c r="W7" s="79">
        <v>0.15</v>
      </c>
      <c r="X7" s="1259"/>
      <c r="Y7" s="80">
        <v>0.93</v>
      </c>
      <c r="Z7" s="81"/>
      <c r="AA7" s="74"/>
      <c r="AB7" s="74"/>
      <c r="AC7" s="1259"/>
      <c r="AD7" s="82"/>
      <c r="AE7" s="1260">
        <f t="shared" ref="AE7:AE13" ca="1" si="6">IF(AN7="",0,SUMIF(INDIRECT("'"&amp;AN7&amp;"'"&amp;"!E:E"),$AE$5,INDIRECT("'"&amp;AN7&amp;"'"&amp;"!F:F")))</f>
        <v>35.68</v>
      </c>
      <c r="AF7" s="1802"/>
      <c r="AG7" s="147">
        <f t="shared" ref="AG7:AG13" si="7">IF(AF7="",0,AE7-AF7)</f>
        <v>0</v>
      </c>
      <c r="AH7" s="83"/>
      <c r="AI7" s="85">
        <v>365</v>
      </c>
      <c r="AJ7" s="86"/>
      <c r="AK7" s="87">
        <v>1.4999999999999999E-2</v>
      </c>
      <c r="AL7" s="88">
        <v>1.5E-3</v>
      </c>
      <c r="AM7" s="89">
        <v>0.01</v>
      </c>
      <c r="AN7" s="2302" t="s">
        <v>3355</v>
      </c>
      <c r="AO7" s="55">
        <f t="shared" ref="AO7:AO13" ca="1" si="8">SUMIF(INDIRECT("'"&amp;AN7&amp;"'"&amp;"!A:A"),"总价",INDIRECT("'"&amp;AN7&amp;"'"&amp;"!B:B"))</f>
        <v>2785</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8" customFormat="1" ht="14.25">
      <c r="A8" s="2299">
        <f>'数据-汇总表'!C21</f>
        <v>0</v>
      </c>
      <c r="B8" s="2300" t="str">
        <f t="shared" si="1"/>
        <v/>
      </c>
      <c r="C8" s="2301"/>
      <c r="D8" s="1049">
        <f>SUMIF(项目基本情况!D$12:I$12,C8,项目基本情况!D$14:I$14)</f>
        <v>0</v>
      </c>
      <c r="E8" s="1046"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802"/>
      <c r="AG8" s="147">
        <f t="shared" si="7"/>
        <v>0</v>
      </c>
      <c r="AH8" s="807"/>
      <c r="AI8" s="85"/>
      <c r="AJ8" s="86"/>
      <c r="AK8" s="808"/>
      <c r="AL8" s="809"/>
      <c r="AM8" s="810"/>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8" customFormat="1" ht="14.25">
      <c r="A9" s="2299">
        <f>'数据-汇总表'!C22</f>
        <v>0</v>
      </c>
      <c r="B9" s="2300" t="str">
        <f t="shared" si="1"/>
        <v/>
      </c>
      <c r="C9" s="2301"/>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802"/>
      <c r="AG9" s="147">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8" customFormat="1" ht="14.25">
      <c r="A10" s="2299">
        <f>'数据-汇总表'!C23</f>
        <v>0</v>
      </c>
      <c r="B10" s="2300" t="str">
        <f t="shared" si="1"/>
        <v/>
      </c>
      <c r="C10" s="2301"/>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802"/>
      <c r="AG10" s="147">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8" customFormat="1" ht="14.25">
      <c r="A11" s="2299">
        <f>'数据-汇总表'!C24</f>
        <v>0</v>
      </c>
      <c r="B11" s="2300" t="str">
        <f t="shared" si="1"/>
        <v/>
      </c>
      <c r="C11" s="2301"/>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802"/>
      <c r="AG11" s="147">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8" customFormat="1" ht="14.25">
      <c r="A12" s="2299">
        <f>'数据-汇总表'!C25</f>
        <v>0</v>
      </c>
      <c r="B12" s="2300" t="str">
        <f t="shared" si="1"/>
        <v/>
      </c>
      <c r="C12" s="2301"/>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802"/>
      <c r="AG12" s="147">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8" customFormat="1" ht="14.25">
      <c r="A13" s="2299">
        <f>'数据-汇总表'!C26</f>
        <v>0</v>
      </c>
      <c r="B13" s="2300" t="str">
        <f t="shared" si="1"/>
        <v/>
      </c>
      <c r="C13" s="2301"/>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802"/>
      <c r="AG13" s="147">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8" customFormat="1" ht="14.25">
      <c r="A14" s="2304" t="s">
        <v>2009</v>
      </c>
      <c r="B14" s="2300" t="s">
        <v>2010</v>
      </c>
      <c r="C14" s="2305" t="s">
        <v>2009</v>
      </c>
      <c r="D14" s="1049"/>
      <c r="E14" s="1046"/>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13"/>
      <c r="AJ14" s="772"/>
      <c r="AK14" s="1261"/>
      <c r="AL14" s="1262"/>
      <c r="AM14" s="1263"/>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8" customFormat="1" ht="27">
      <c r="A15" s="2304" t="s">
        <v>2011</v>
      </c>
      <c r="B15" s="2300" t="s">
        <v>2010</v>
      </c>
      <c r="C15" s="2305" t="s">
        <v>2012</v>
      </c>
      <c r="D15" s="1049"/>
      <c r="E15" s="1046"/>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13"/>
      <c r="AJ15" s="772"/>
      <c r="AK15" s="1261"/>
      <c r="AL15" s="1262"/>
      <c r="AM15" s="1263"/>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8" customFormat="1" ht="15.75" thickBot="1">
      <c r="A16" s="2306" t="s">
        <v>2013</v>
      </c>
      <c r="B16" s="97"/>
      <c r="C16" s="1004"/>
      <c r="D16" s="2307"/>
      <c r="E16" s="97"/>
      <c r="F16" s="97"/>
      <c r="G16" s="98">
        <f>ROUND(SUMPRODUCT(G6:G13,K6:K13)/SUMPRODUCT((G6:G13&gt;0)*(K6:K13)),3)</f>
        <v>0.96099999999999997</v>
      </c>
      <c r="H16" s="99">
        <f>ROUND(SUMPRODUCT(H6:H13,K6:K13)/SUMPRODUCT((H6:H13&gt;0)*(K6:K13)),3)</f>
        <v>0.05</v>
      </c>
      <c r="I16" s="100"/>
      <c r="J16" s="100"/>
      <c r="K16" s="101">
        <f>SUM(K6:K15)</f>
        <v>3992.9400000000005</v>
      </c>
      <c r="L16" s="102">
        <f>ROUND(M16*10000/SUM(K6:K14),0)</f>
        <v>1999</v>
      </c>
      <c r="M16" s="102">
        <f>SUM(M6:M14)</f>
        <v>798</v>
      </c>
      <c r="N16" s="103">
        <f>ROUND(SUMPRODUCT(M6:M14,N6:N14)/M16,3)</f>
        <v>0.93</v>
      </c>
      <c r="O16" s="102">
        <f>SUM(O6:O14)</f>
        <v>0</v>
      </c>
      <c r="P16" s="102">
        <f>SUM(P6:P14)</f>
        <v>0</v>
      </c>
      <c r="Q16" s="104">
        <f>ROUND(SUMPRODUCT(Q6:Q13,K6:K13)/SUMPRODUCT((Q6:Q13&gt;0)*(K6:K13)),2)</f>
        <v>0.15</v>
      </c>
      <c r="R16" s="1253">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5" thickBot="1">
      <c r="A17" s="2308"/>
      <c r="B17" s="731"/>
      <c r="C17" s="1579"/>
      <c r="D17" s="2266"/>
      <c r="E17" s="2266"/>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2014</v>
      </c>
      <c r="B18" s="2273"/>
      <c r="C18" s="2270"/>
      <c r="D18" s="2271"/>
      <c r="E18" s="2270"/>
      <c r="F18" s="2270"/>
      <c r="G18" s="2270"/>
      <c r="H18" s="2270"/>
      <c r="I18" s="2270"/>
      <c r="J18" s="2270"/>
      <c r="K18" s="168"/>
      <c r="L18" s="168"/>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9" t="s">
        <v>2015</v>
      </c>
      <c r="B19" s="112">
        <v>0</v>
      </c>
      <c r="C19" s="2270" t="s">
        <v>2016</v>
      </c>
      <c r="D19" s="2271"/>
      <c r="E19" s="2270"/>
      <c r="F19" s="2270"/>
      <c r="G19" s="2270"/>
      <c r="H19" s="2270"/>
      <c r="I19" s="2270"/>
      <c r="J19" s="2270"/>
      <c r="K19" s="168"/>
      <c r="L19" s="168"/>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0" t="s">
        <v>2017</v>
      </c>
      <c r="B20" s="113">
        <v>1</v>
      </c>
      <c r="C20" s="2270" t="s">
        <v>2018</v>
      </c>
      <c r="D20" s="2271"/>
      <c r="E20" s="2270"/>
      <c r="F20" s="2270"/>
      <c r="G20" s="2270"/>
      <c r="H20" s="2270"/>
      <c r="I20" s="2270"/>
      <c r="J20" s="2270"/>
      <c r="K20" s="168"/>
      <c r="L20" s="168"/>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1" t="s">
        <v>2019</v>
      </c>
      <c r="B21" s="113">
        <v>1</v>
      </c>
      <c r="C21" s="2270"/>
      <c r="D21" s="2271"/>
      <c r="E21" s="2270"/>
      <c r="F21" s="2270"/>
      <c r="G21" s="2270"/>
      <c r="H21" s="2270"/>
      <c r="I21" s="2270"/>
      <c r="J21" s="2270"/>
      <c r="K21" s="168"/>
      <c r="L21" s="168"/>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0" t="s">
        <v>2020</v>
      </c>
      <c r="B22" s="114">
        <f>B19+B20</f>
        <v>1</v>
      </c>
      <c r="C22" s="2270"/>
      <c r="D22" s="2271"/>
      <c r="E22" s="2270"/>
      <c r="F22" s="2270"/>
      <c r="G22" s="2270"/>
      <c r="H22" s="2270"/>
      <c r="I22" s="2270"/>
      <c r="J22" s="2270"/>
      <c r="K22" s="168"/>
      <c r="L22" s="168"/>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1" t="s">
        <v>2021</v>
      </c>
      <c r="B23" s="114">
        <f>B19+B21</f>
        <v>1</v>
      </c>
      <c r="C23" s="2270"/>
      <c r="D23" s="2271"/>
      <c r="E23" s="2270"/>
      <c r="F23" s="2270"/>
      <c r="G23" s="2270"/>
      <c r="H23" s="2270"/>
      <c r="I23" s="2270"/>
      <c r="J23" s="2270"/>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2" t="s">
        <v>2022</v>
      </c>
      <c r="B24" s="115">
        <f>B20-B21</f>
        <v>0</v>
      </c>
      <c r="C24" s="2270"/>
      <c r="D24" s="2271"/>
      <c r="E24" s="2270"/>
      <c r="F24" s="2270"/>
      <c r="G24" s="2270"/>
      <c r="H24" s="2270"/>
      <c r="I24" s="2270"/>
      <c r="J24" s="2270"/>
      <c r="K24" s="168"/>
      <c r="L24" s="168"/>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6"/>
      <c r="B25" s="2273"/>
      <c r="C25" s="2270"/>
      <c r="D25" s="2271"/>
      <c r="E25" s="2270"/>
      <c r="F25" s="2270"/>
      <c r="G25" s="2270"/>
      <c r="H25" s="2270"/>
      <c r="I25" s="2270"/>
      <c r="J25" s="2270"/>
      <c r="K25" s="168"/>
      <c r="L25" s="168"/>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9" t="s">
        <v>2023</v>
      </c>
      <c r="B26" s="2313" t="s">
        <v>2024</v>
      </c>
      <c r="C26" s="2314" t="s">
        <v>2025</v>
      </c>
      <c r="D26" s="2271"/>
      <c r="E26" s="2270"/>
      <c r="F26" s="2270"/>
      <c r="G26" s="2270"/>
      <c r="H26" s="2270"/>
      <c r="I26" s="2270"/>
      <c r="J26" s="2270"/>
      <c r="K26" s="168"/>
      <c r="L26" s="168"/>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7" customFormat="1" ht="27.75">
      <c r="A27" s="2315" t="s">
        <v>2026</v>
      </c>
      <c r="B27" s="116">
        <v>150</v>
      </c>
      <c r="C27" s="1762" t="s">
        <v>2027</v>
      </c>
      <c r="D27" s="2316"/>
      <c r="E27" s="1425"/>
      <c r="F27" s="1425"/>
      <c r="G27" s="2270"/>
      <c r="H27" s="2270"/>
      <c r="I27" s="2270"/>
      <c r="J27" s="2270"/>
      <c r="K27" s="168"/>
      <c r="L27" s="168"/>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7" customFormat="1" ht="27.75">
      <c r="A28" s="2318" t="s">
        <v>2028</v>
      </c>
      <c r="B28" s="119">
        <v>150</v>
      </c>
      <c r="C28" s="2319"/>
      <c r="D28" s="2316"/>
      <c r="E28" s="1425"/>
      <c r="F28" s="1425"/>
      <c r="G28" s="2270"/>
      <c r="H28" s="2270"/>
      <c r="I28" s="2270"/>
      <c r="J28" s="2270"/>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7" customFormat="1" ht="28.5" thickBot="1">
      <c r="A29" s="2320" t="s">
        <v>2029</v>
      </c>
      <c r="B29" s="121">
        <f>ROUND(B28*K16/10000,0)</f>
        <v>60</v>
      </c>
      <c r="C29" s="1762" t="s">
        <v>2030</v>
      </c>
      <c r="D29" s="2316"/>
      <c r="E29" s="1425"/>
      <c r="F29" s="1425"/>
      <c r="G29" s="2270"/>
      <c r="H29" s="2270"/>
      <c r="I29" s="2270"/>
      <c r="J29" s="2270"/>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7" customFormat="1" ht="27">
      <c r="A30" s="2321" t="s">
        <v>2031</v>
      </c>
      <c r="B30" s="723">
        <v>200</v>
      </c>
      <c r="C30" s="2319"/>
      <c r="D30" s="2316"/>
      <c r="E30" s="1425"/>
      <c r="F30" s="1425"/>
      <c r="G30" s="2270"/>
      <c r="H30" s="2270"/>
      <c r="I30" s="2270"/>
      <c r="J30" s="2270"/>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7" customFormat="1" ht="27">
      <c r="A31" s="2318" t="s">
        <v>2032</v>
      </c>
      <c r="B31" s="120">
        <f>B30-B32</f>
        <v>200</v>
      </c>
      <c r="C31" s="1762"/>
      <c r="D31" s="2316"/>
      <c r="E31" s="1425"/>
      <c r="F31" s="1425"/>
      <c r="G31" s="2270"/>
      <c r="H31" s="2270"/>
      <c r="I31" s="2270"/>
      <c r="J31" s="2270"/>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7" customFormat="1" ht="27.75" thickBot="1">
      <c r="A32" s="2322" t="s">
        <v>2033</v>
      </c>
      <c r="B32" s="724">
        <v>0</v>
      </c>
      <c r="C32" s="2319"/>
      <c r="D32" s="2271"/>
      <c r="E32" s="2270"/>
      <c r="F32" s="2270"/>
      <c r="G32" s="2270"/>
      <c r="H32" s="2270"/>
      <c r="I32" s="2270"/>
      <c r="J32" s="2270"/>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7" customFormat="1" ht="14.25">
      <c r="A33" s="2315" t="s">
        <v>2034</v>
      </c>
      <c r="B33" s="725">
        <v>0.03</v>
      </c>
      <c r="C33" s="1761" t="s">
        <v>2035</v>
      </c>
      <c r="D33" s="2271"/>
      <c r="E33" s="2270"/>
      <c r="F33" s="2270"/>
      <c r="G33" s="2270"/>
      <c r="H33" s="2270"/>
      <c r="I33" s="2270"/>
      <c r="J33" s="2270"/>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7" customFormat="1" ht="14.25">
      <c r="A34" s="2318" t="s">
        <v>2036</v>
      </c>
      <c r="B34" s="122"/>
      <c r="C34" s="1761" t="s">
        <v>2037</v>
      </c>
      <c r="D34" s="2271" t="s">
        <v>2038</v>
      </c>
      <c r="E34" s="731"/>
      <c r="F34" s="2270"/>
      <c r="G34" s="2270"/>
      <c r="H34" s="2270"/>
      <c r="I34" s="2270"/>
      <c r="J34" s="2270"/>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7" customFormat="1" ht="14.25">
      <c r="A35" s="2318" t="s">
        <v>2039</v>
      </c>
      <c r="B35" s="119">
        <v>200</v>
      </c>
      <c r="C35" s="1761" t="s">
        <v>2040</v>
      </c>
      <c r="D35" s="2316"/>
      <c r="E35" s="1425"/>
      <c r="F35" s="1425"/>
      <c r="G35" s="2270"/>
      <c r="H35" s="2270"/>
      <c r="I35" s="2270"/>
      <c r="J35" s="2270"/>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0" t="s">
        <v>2041</v>
      </c>
      <c r="B36" s="123">
        <v>1.4999999999999999E-2</v>
      </c>
      <c r="C36" s="1761" t="s">
        <v>2042</v>
      </c>
      <c r="D36" s="2271"/>
      <c r="E36" s="2270"/>
      <c r="F36" s="2270"/>
      <c r="G36" s="2270"/>
      <c r="H36" s="2270"/>
      <c r="I36" s="2270"/>
      <c r="J36" s="2270"/>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1" t="s">
        <v>2043</v>
      </c>
      <c r="B37" s="124">
        <v>0.01</v>
      </c>
      <c r="C37" s="1761" t="s">
        <v>2044</v>
      </c>
      <c r="D37" s="2271"/>
      <c r="E37" s="2270"/>
      <c r="F37" s="2270"/>
      <c r="G37" s="2270"/>
      <c r="H37" s="2270"/>
      <c r="I37" s="2270"/>
      <c r="J37" s="2270"/>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8" t="s">
        <v>2045</v>
      </c>
      <c r="B38" s="122">
        <v>0.01</v>
      </c>
      <c r="C38" s="1761" t="s">
        <v>2044</v>
      </c>
      <c r="D38" s="2271"/>
      <c r="E38" s="2270"/>
      <c r="F38" s="2270"/>
      <c r="G38" s="2270"/>
      <c r="H38" s="2270"/>
      <c r="I38" s="2270"/>
      <c r="J38" s="2270"/>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2" t="s">
        <v>2046</v>
      </c>
      <c r="B39" s="362">
        <f ca="1">存贷款利率!I1</f>
        <v>1.4999999999999999E-2</v>
      </c>
      <c r="C39" s="1761"/>
      <c r="D39" s="2271"/>
      <c r="E39" s="2270"/>
      <c r="F39" s="2270"/>
      <c r="G39" s="2270"/>
      <c r="H39" s="2270"/>
      <c r="I39" s="2270"/>
      <c r="J39" s="2270"/>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2" t="s">
        <v>2047</v>
      </c>
      <c r="B40" s="1298">
        <f ca="1">存贷款利率!G1</f>
        <v>4.3499999999999997E-2</v>
      </c>
      <c r="C40" s="1761" t="s">
        <v>2048</v>
      </c>
      <c r="D40" s="1579"/>
      <c r="E40" s="2271"/>
      <c r="F40" s="2270"/>
      <c r="G40" s="2270"/>
      <c r="H40" s="2270"/>
      <c r="I40" s="2270"/>
      <c r="J40" s="2270"/>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5" t="s">
        <v>2049</v>
      </c>
      <c r="B41" s="125">
        <f>B42+B43</f>
        <v>5.5000000000000007E-2</v>
      </c>
      <c r="C41" s="1762"/>
      <c r="D41" s="1579"/>
      <c r="E41" s="2271"/>
      <c r="F41" s="2270"/>
      <c r="G41" s="2270"/>
      <c r="H41" s="2270"/>
      <c r="I41" s="2270"/>
      <c r="J41" s="2270"/>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3" t="s">
        <v>2050</v>
      </c>
      <c r="B42" s="126">
        <v>0.05</v>
      </c>
      <c r="C42" s="2324">
        <f>IF(B2&lt;DATE(2016,5,1),0,B42)</f>
        <v>0.05</v>
      </c>
      <c r="D42" s="2271"/>
      <c r="E42" s="2270"/>
      <c r="F42" s="2270"/>
      <c r="G42" s="2270"/>
      <c r="H42" s="2270"/>
      <c r="I42" s="2270"/>
      <c r="J42" s="2270"/>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3" t="s">
        <v>2051</v>
      </c>
      <c r="B43" s="127">
        <f>B42*(B44+B45+B46)+B47</f>
        <v>5.000000000000001E-3</v>
      </c>
      <c r="C43" s="1762"/>
      <c r="D43" s="2271"/>
      <c r="E43" s="2270"/>
      <c r="F43" s="2270"/>
      <c r="G43" s="2270"/>
      <c r="H43" s="2270"/>
      <c r="I43" s="2270"/>
      <c r="J43" s="2270"/>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5" t="s">
        <v>2052</v>
      </c>
      <c r="B44" s="128">
        <v>0.05</v>
      </c>
      <c r="C44" s="1761" t="s">
        <v>2053</v>
      </c>
      <c r="D44" s="2271"/>
      <c r="E44" s="2270"/>
      <c r="F44" s="2270"/>
      <c r="G44" s="2270"/>
      <c r="H44" s="2270"/>
      <c r="I44" s="2270"/>
      <c r="J44" s="2270"/>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5" t="s">
        <v>2054</v>
      </c>
      <c r="B45" s="126">
        <v>0.03</v>
      </c>
      <c r="C45" s="1762" t="s">
        <v>2055</v>
      </c>
      <c r="D45" s="2271"/>
      <c r="E45" s="2270"/>
      <c r="F45" s="2270"/>
      <c r="G45" s="2270"/>
      <c r="H45" s="2270"/>
      <c r="I45" s="2270"/>
      <c r="J45" s="2270"/>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5" t="s">
        <v>2056</v>
      </c>
      <c r="B46" s="126">
        <v>0.02</v>
      </c>
      <c r="C46" s="1762" t="s">
        <v>2057</v>
      </c>
      <c r="D46" s="2271"/>
      <c r="E46" s="2270"/>
      <c r="F46" s="2270"/>
      <c r="G46" s="2270"/>
      <c r="H46" s="2270"/>
      <c r="I46" s="2270"/>
      <c r="J46" s="2270"/>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6" t="s">
        <v>2058</v>
      </c>
      <c r="B47" s="129">
        <v>0</v>
      </c>
      <c r="C47" s="1762" t="s">
        <v>2059</v>
      </c>
      <c r="D47" s="2271"/>
      <c r="E47" s="2270"/>
      <c r="F47" s="2270"/>
      <c r="G47" s="2270"/>
      <c r="H47" s="2270"/>
      <c r="I47" s="2270"/>
      <c r="J47" s="2270"/>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7" t="s">
        <v>2060</v>
      </c>
      <c r="B48" s="130">
        <v>0.03</v>
      </c>
      <c r="C48" s="1769" t="s">
        <v>2061</v>
      </c>
      <c r="D48" s="2271"/>
      <c r="E48" s="2270"/>
      <c r="F48" s="2270"/>
      <c r="G48" s="2270"/>
      <c r="H48" s="2270"/>
      <c r="I48" s="2270"/>
      <c r="J48" s="2270"/>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2" t="s">
        <v>2062</v>
      </c>
      <c r="B49" s="126">
        <v>5.0000000000000001E-4</v>
      </c>
      <c r="C49" s="1769" t="s">
        <v>2063</v>
      </c>
      <c r="D49" s="2271"/>
      <c r="E49" s="2270"/>
      <c r="F49" s="2270"/>
      <c r="G49" s="2270"/>
      <c r="H49" s="2270"/>
      <c r="I49" s="2270"/>
      <c r="J49" s="2270"/>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8" t="s">
        <v>2064</v>
      </c>
      <c r="B50" s="131">
        <v>1.2E-2</v>
      </c>
      <c r="C50" s="1425"/>
      <c r="D50" s="2271"/>
      <c r="E50" s="2270"/>
      <c r="F50" s="2270"/>
      <c r="G50" s="2270"/>
      <c r="H50" s="2270"/>
      <c r="I50" s="2270"/>
      <c r="J50" s="2270"/>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0" t="s">
        <v>2065</v>
      </c>
      <c r="B51" s="132">
        <v>0.12</v>
      </c>
      <c r="C51" s="1425"/>
      <c r="D51" s="2271"/>
      <c r="E51" s="2270"/>
      <c r="F51" s="2270"/>
      <c r="G51" s="2270"/>
      <c r="H51" s="2270"/>
      <c r="I51" s="2270"/>
      <c r="J51" s="2270"/>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8" t="s">
        <v>2066</v>
      </c>
      <c r="B52" s="133">
        <f>SUMIF(A54:A63,B53,B54:B63)</f>
        <v>4</v>
      </c>
      <c r="C52" s="1425"/>
      <c r="D52" s="2271"/>
      <c r="E52" s="2270"/>
      <c r="F52" s="2270"/>
      <c r="G52" s="2270"/>
      <c r="H52" s="2270"/>
      <c r="I52" s="2270"/>
      <c r="J52" s="2270"/>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8" t="s">
        <v>2067</v>
      </c>
      <c r="B53" s="2329" t="s">
        <v>442</v>
      </c>
      <c r="C53" s="1425" t="s">
        <v>2068</v>
      </c>
      <c r="D53" s="2330" t="s">
        <v>2069</v>
      </c>
      <c r="E53" s="2270"/>
      <c r="F53" s="2270"/>
      <c r="G53" s="2270"/>
      <c r="H53" s="2270"/>
      <c r="I53" s="2270"/>
      <c r="J53" s="2270"/>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1" t="s">
        <v>2070</v>
      </c>
      <c r="B54" s="84"/>
      <c r="C54" s="1425">
        <v>30</v>
      </c>
      <c r="D54" s="2271"/>
      <c r="E54" s="2270"/>
      <c r="F54" s="2270"/>
      <c r="G54" s="2270"/>
      <c r="H54" s="2270"/>
      <c r="I54" s="2270"/>
      <c r="J54" s="2270"/>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1" t="s">
        <v>2071</v>
      </c>
      <c r="B55" s="84"/>
      <c r="C55" s="1425">
        <v>24</v>
      </c>
      <c r="D55" s="2271"/>
      <c r="E55" s="2270"/>
      <c r="F55" s="2270"/>
      <c r="G55" s="2270"/>
      <c r="H55" s="2270"/>
      <c r="I55" s="2332"/>
      <c r="J55" s="2270"/>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1" t="s">
        <v>2072</v>
      </c>
      <c r="B56" s="84">
        <v>4</v>
      </c>
      <c r="C56" s="1425">
        <v>18</v>
      </c>
      <c r="D56" s="2271"/>
      <c r="E56" s="2270"/>
      <c r="F56" s="2270"/>
      <c r="G56" s="2270"/>
      <c r="H56" s="2270"/>
      <c r="I56" s="2270"/>
      <c r="J56" s="2270"/>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1" t="s">
        <v>2073</v>
      </c>
      <c r="B57" s="84"/>
      <c r="C57" s="1425">
        <v>12</v>
      </c>
      <c r="D57" s="2271"/>
      <c r="E57" s="2270"/>
      <c r="F57" s="2270"/>
      <c r="G57" s="2270"/>
      <c r="H57" s="2270"/>
      <c r="I57" s="2270"/>
      <c r="J57" s="2270"/>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1" t="s">
        <v>2074</v>
      </c>
      <c r="B58" s="84"/>
      <c r="C58" s="1425">
        <v>3</v>
      </c>
      <c r="D58" s="2271"/>
      <c r="E58" s="2270"/>
      <c r="F58" s="2270"/>
      <c r="G58" s="2270"/>
      <c r="H58" s="2270"/>
      <c r="I58" s="2270"/>
      <c r="J58" s="2270"/>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1" t="s">
        <v>2075</v>
      </c>
      <c r="B59" s="84"/>
      <c r="C59" s="1425">
        <v>1.5</v>
      </c>
      <c r="D59" s="2271"/>
      <c r="E59" s="2270"/>
      <c r="F59" s="2270"/>
      <c r="G59" s="2270"/>
      <c r="H59" s="2270"/>
      <c r="I59" s="2270"/>
      <c r="J59" s="2270"/>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1" t="s">
        <v>2076</v>
      </c>
      <c r="B60" s="84"/>
      <c r="C60" s="2270"/>
      <c r="D60" s="2271"/>
      <c r="E60" s="2270"/>
      <c r="F60" s="2270"/>
      <c r="G60" s="2270"/>
      <c r="H60" s="2270"/>
      <c r="I60" s="2270"/>
      <c r="J60" s="2270"/>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1" t="s">
        <v>2077</v>
      </c>
      <c r="B61" s="84"/>
      <c r="C61" s="2270"/>
      <c r="D61" s="2271"/>
      <c r="E61" s="2270"/>
      <c r="F61" s="2270"/>
      <c r="G61" s="2270"/>
      <c r="H61" s="2270"/>
      <c r="I61" s="2270"/>
      <c r="J61" s="2270"/>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1" t="s">
        <v>2078</v>
      </c>
      <c r="B62" s="84"/>
      <c r="C62" s="2270"/>
      <c r="D62" s="2271"/>
      <c r="E62" s="2270"/>
      <c r="F62" s="2270"/>
      <c r="G62" s="2270"/>
      <c r="H62" s="2270"/>
      <c r="I62" s="2270"/>
      <c r="J62" s="2270"/>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3" t="s">
        <v>2079</v>
      </c>
      <c r="B63" s="134"/>
      <c r="C63" s="2270"/>
      <c r="D63" s="2271"/>
      <c r="E63" s="2270"/>
      <c r="F63" s="2270"/>
      <c r="G63" s="2270"/>
      <c r="H63" s="2270"/>
      <c r="I63" s="2270"/>
      <c r="J63" s="2270"/>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34"/>
      <c r="D64" s="2335"/>
      <c r="K64" s="797"/>
      <c r="L64" s="797"/>
    </row>
    <row r="65" spans="1:12" s="963" customFormat="1">
      <c r="A65" s="2334"/>
      <c r="D65" s="2335"/>
      <c r="K65" s="797"/>
      <c r="L65" s="797"/>
    </row>
    <row r="66" spans="1:12" s="963" customFormat="1">
      <c r="A66" s="2334"/>
      <c r="D66" s="2335"/>
      <c r="K66" s="797"/>
      <c r="L66" s="797"/>
    </row>
    <row r="67" spans="1:12" s="963" customFormat="1">
      <c r="A67" s="2334"/>
      <c r="D67" s="2335"/>
      <c r="K67" s="797"/>
      <c r="L67" s="797"/>
    </row>
    <row r="68" spans="1:12" s="963" customFormat="1">
      <c r="A68" s="2334"/>
      <c r="D68" s="2335"/>
      <c r="K68" s="797"/>
      <c r="L68" s="797"/>
    </row>
    <row r="69" spans="1:12" s="963" customFormat="1">
      <c r="A69" s="2334"/>
      <c r="D69" s="2335"/>
      <c r="K69" s="797"/>
      <c r="L69" s="797"/>
    </row>
    <row r="70" spans="1:12" s="963" customFormat="1">
      <c r="A70" s="2334"/>
      <c r="D70" s="2335"/>
      <c r="K70" s="797"/>
      <c r="L70" s="797"/>
    </row>
    <row r="71" spans="1:12" s="963" customFormat="1">
      <c r="A71" s="2334"/>
      <c r="D71" s="2335"/>
      <c r="K71" s="797"/>
      <c r="L71" s="797"/>
    </row>
    <row r="72" spans="1:12" s="963" customFormat="1">
      <c r="A72" s="2334"/>
      <c r="D72" s="2335"/>
      <c r="K72" s="797"/>
      <c r="L72" s="797"/>
    </row>
    <row r="73" spans="1:12" s="963" customFormat="1">
      <c r="A73" s="2334"/>
      <c r="D73" s="2335"/>
      <c r="K73" s="797"/>
      <c r="L73" s="797"/>
    </row>
    <row r="74" spans="1:12" s="963" customFormat="1">
      <c r="A74" s="2334"/>
      <c r="D74" s="2335"/>
      <c r="K74" s="797"/>
      <c r="L74" s="797"/>
    </row>
    <row r="75" spans="1:12" s="963" customFormat="1">
      <c r="A75" s="2334"/>
      <c r="D75" s="2335"/>
      <c r="K75" s="797"/>
      <c r="L75" s="797"/>
    </row>
    <row r="76" spans="1:12" s="963" customFormat="1">
      <c r="A76" s="2334"/>
      <c r="D76" s="2335"/>
      <c r="K76" s="797"/>
      <c r="L76" s="797"/>
    </row>
    <row r="77" spans="1:12" s="963" customFormat="1">
      <c r="A77" s="2334"/>
      <c r="D77" s="2335"/>
      <c r="K77" s="797"/>
      <c r="L77" s="797"/>
    </row>
    <row r="78" spans="1:12" s="963" customFormat="1">
      <c r="A78" s="2334"/>
      <c r="D78" s="2335"/>
      <c r="K78" s="797"/>
      <c r="L78" s="797"/>
    </row>
    <row r="79" spans="1:12" s="963" customFormat="1">
      <c r="A79" s="2334"/>
      <c r="D79" s="2335"/>
      <c r="K79" s="797"/>
      <c r="L79" s="797"/>
    </row>
    <row r="80" spans="1:12" s="963" customFormat="1">
      <c r="A80" s="2334"/>
      <c r="D80" s="2335"/>
      <c r="K80" s="797"/>
      <c r="L80" s="797"/>
    </row>
    <row r="81" spans="1:12" s="963" customFormat="1">
      <c r="A81" s="2334"/>
      <c r="D81" s="2335"/>
      <c r="K81" s="797"/>
      <c r="L81" s="797"/>
    </row>
    <row r="82" spans="1:12" s="963" customFormat="1">
      <c r="A82" s="2334"/>
      <c r="D82" s="2335"/>
      <c r="K82" s="797"/>
      <c r="L82" s="797"/>
    </row>
    <row r="83" spans="1:12" s="963" customFormat="1">
      <c r="A83" s="2334"/>
      <c r="D83" s="2335"/>
      <c r="K83" s="797"/>
      <c r="L83" s="797"/>
    </row>
    <row r="84" spans="1:12" s="963" customFormat="1">
      <c r="A84" s="2334"/>
      <c r="D84" s="2335"/>
      <c r="K84" s="797"/>
      <c r="L84" s="797"/>
    </row>
    <row r="85" spans="1:12" s="963" customFormat="1">
      <c r="A85" s="2334"/>
      <c r="D85" s="2335"/>
      <c r="K85" s="797"/>
      <c r="L85" s="797"/>
    </row>
    <row r="86" spans="1:12" s="963" customFormat="1">
      <c r="A86" s="2334"/>
      <c r="D86" s="2335"/>
      <c r="K86" s="797"/>
      <c r="L86" s="797"/>
    </row>
    <row r="87" spans="1:12" s="963" customFormat="1">
      <c r="A87" s="2334"/>
      <c r="D87" s="2335"/>
      <c r="K87" s="797"/>
      <c r="L87" s="797"/>
    </row>
    <row r="88" spans="1:12" s="963" customFormat="1">
      <c r="A88" s="2334"/>
      <c r="D88" s="2335"/>
      <c r="K88" s="797"/>
      <c r="L88" s="797"/>
    </row>
    <row r="89" spans="1:12" s="963" customFormat="1">
      <c r="A89" s="2334"/>
      <c r="D89" s="2335"/>
      <c r="K89" s="797"/>
      <c r="L89" s="797"/>
    </row>
    <row r="90" spans="1:12" s="963" customFormat="1">
      <c r="A90" s="2334"/>
      <c r="D90" s="2335"/>
      <c r="K90" s="797"/>
      <c r="L90" s="797"/>
    </row>
    <row r="91" spans="1:12" s="963" customFormat="1">
      <c r="A91" s="2334"/>
      <c r="D91" s="2335"/>
      <c r="K91" s="797"/>
      <c r="L91" s="797"/>
    </row>
    <row r="92" spans="1:12" s="963" customFormat="1">
      <c r="A92" s="2334"/>
      <c r="D92" s="2335"/>
      <c r="K92" s="797"/>
      <c r="L92" s="797"/>
    </row>
    <row r="93" spans="1:12" s="963" customFormat="1">
      <c r="A93" s="2334"/>
      <c r="D93" s="2335"/>
      <c r="K93" s="797"/>
      <c r="L93" s="797"/>
    </row>
    <row r="94" spans="1:12" s="963" customFormat="1">
      <c r="A94" s="2334"/>
      <c r="D94" s="2335"/>
      <c r="K94" s="797"/>
      <c r="L94" s="797"/>
    </row>
    <row r="95" spans="1:12" s="963" customFormat="1">
      <c r="A95" s="2334"/>
      <c r="D95" s="2335"/>
      <c r="K95" s="797"/>
      <c r="L95" s="797"/>
    </row>
    <row r="96" spans="1:12" s="963" customFormat="1">
      <c r="A96" s="2334"/>
      <c r="D96" s="2335"/>
      <c r="K96" s="797"/>
      <c r="L96" s="797"/>
    </row>
    <row r="97" spans="1:12" s="963" customFormat="1">
      <c r="A97" s="2334"/>
      <c r="D97" s="2335"/>
      <c r="K97" s="797"/>
      <c r="L97" s="797"/>
    </row>
    <row r="98" spans="1:12" s="963" customFormat="1">
      <c r="A98" s="2334"/>
      <c r="D98" s="2335"/>
      <c r="K98" s="797"/>
      <c r="L98" s="797"/>
    </row>
    <row r="99" spans="1:12" s="963" customFormat="1">
      <c r="A99" s="2334"/>
      <c r="D99" s="2335"/>
      <c r="K99" s="797"/>
      <c r="L99" s="797"/>
    </row>
    <row r="100" spans="1:12" s="963" customFormat="1">
      <c r="A100" s="2334"/>
      <c r="D100" s="2335"/>
      <c r="K100" s="797"/>
      <c r="L100" s="797"/>
    </row>
    <row r="101" spans="1:12" s="963" customFormat="1">
      <c r="A101" s="2334"/>
      <c r="D101" s="2335"/>
      <c r="K101" s="797"/>
      <c r="L101" s="797"/>
    </row>
    <row r="102" spans="1:12" s="963" customFormat="1">
      <c r="A102" s="2334"/>
      <c r="D102" s="2335"/>
      <c r="K102" s="797"/>
      <c r="L102" s="797"/>
    </row>
    <row r="103" spans="1:12" s="963" customFormat="1">
      <c r="A103" s="2334"/>
      <c r="D103" s="2335"/>
      <c r="K103" s="797"/>
      <c r="L103" s="797"/>
    </row>
    <row r="104" spans="1:12" s="963" customFormat="1">
      <c r="A104" s="2334"/>
      <c r="D104" s="2335"/>
      <c r="K104" s="797"/>
      <c r="L104" s="797"/>
    </row>
    <row r="105" spans="1:12" s="963" customFormat="1">
      <c r="A105" s="2334"/>
      <c r="D105" s="2335"/>
      <c r="K105" s="797"/>
      <c r="L105" s="797"/>
    </row>
    <row r="106" spans="1:12" s="963" customFormat="1">
      <c r="A106" s="2334"/>
      <c r="D106" s="2335"/>
      <c r="K106" s="797"/>
      <c r="L106" s="797"/>
    </row>
    <row r="107" spans="1:12" s="963" customFormat="1">
      <c r="A107" s="2334"/>
      <c r="D107" s="2335"/>
      <c r="K107" s="797"/>
      <c r="L107" s="797"/>
    </row>
    <row r="108" spans="1:12" s="963" customFormat="1">
      <c r="A108" s="2334"/>
      <c r="D108" s="2335"/>
      <c r="K108" s="797"/>
      <c r="L108" s="797"/>
    </row>
    <row r="109" spans="1:12" s="963" customFormat="1">
      <c r="A109" s="2334"/>
      <c r="D109" s="2335"/>
      <c r="K109" s="797"/>
      <c r="L109" s="797"/>
    </row>
    <row r="110" spans="1:12" s="963" customFormat="1">
      <c r="A110" s="2334"/>
      <c r="D110" s="2335"/>
      <c r="K110" s="797"/>
      <c r="L110" s="797"/>
    </row>
    <row r="111" spans="1:12" s="963" customFormat="1">
      <c r="A111" s="2334"/>
      <c r="D111" s="2335"/>
      <c r="K111" s="797"/>
      <c r="L111" s="797"/>
    </row>
    <row r="112" spans="1:12" s="963" customFormat="1">
      <c r="A112" s="2334"/>
      <c r="D112" s="2335"/>
      <c r="K112" s="797"/>
      <c r="L112" s="797"/>
    </row>
    <row r="113" spans="1:12" s="963" customFormat="1">
      <c r="A113" s="2334"/>
      <c r="D113" s="2335"/>
      <c r="K113" s="797"/>
      <c r="L113" s="797"/>
    </row>
    <row r="114" spans="1:12" s="963" customFormat="1">
      <c r="A114" s="2334"/>
      <c r="D114" s="2335"/>
      <c r="K114" s="797"/>
      <c r="L114" s="797"/>
    </row>
    <row r="115" spans="1:12" s="963" customFormat="1">
      <c r="A115" s="2334"/>
      <c r="D115" s="2335"/>
      <c r="K115" s="797"/>
      <c r="L115" s="797"/>
    </row>
    <row r="116" spans="1:12" s="963" customFormat="1">
      <c r="A116" s="2334"/>
      <c r="D116" s="2335"/>
      <c r="K116" s="797"/>
      <c r="L116" s="797"/>
    </row>
    <row r="117" spans="1:12" s="963" customFormat="1">
      <c r="A117" s="2334"/>
      <c r="D117" s="2335"/>
      <c r="K117" s="797"/>
      <c r="L117" s="797"/>
    </row>
    <row r="118" spans="1:12" s="963" customFormat="1">
      <c r="A118" s="2334"/>
      <c r="D118" s="2335"/>
      <c r="K118" s="797"/>
      <c r="L118" s="797"/>
    </row>
    <row r="119" spans="1:12" s="963" customFormat="1">
      <c r="A119" s="2334"/>
      <c r="D119" s="2335"/>
      <c r="K119" s="797"/>
      <c r="L119" s="797"/>
    </row>
    <row r="120" spans="1:12" s="963" customFormat="1">
      <c r="A120" s="2334"/>
      <c r="D120" s="2335"/>
      <c r="K120" s="797"/>
      <c r="L120" s="797"/>
    </row>
    <row r="121" spans="1:12" s="963" customFormat="1">
      <c r="A121" s="2334"/>
      <c r="D121" s="2335"/>
      <c r="K121" s="797"/>
      <c r="L121" s="797"/>
    </row>
    <row r="122" spans="1:12" s="963" customFormat="1">
      <c r="A122" s="2334"/>
      <c r="D122" s="2335"/>
      <c r="K122" s="797"/>
      <c r="L122" s="797"/>
    </row>
    <row r="123" spans="1:12" s="963" customFormat="1">
      <c r="A123" s="2334"/>
      <c r="D123" s="2335"/>
      <c r="K123" s="797"/>
      <c r="L123" s="797"/>
    </row>
    <row r="124" spans="1:12" s="963" customFormat="1">
      <c r="A124" s="2334"/>
      <c r="D124" s="2335"/>
      <c r="K124" s="797"/>
      <c r="L124" s="797"/>
    </row>
    <row r="125" spans="1:12" s="963" customFormat="1">
      <c r="A125" s="2334"/>
      <c r="D125" s="2335"/>
      <c r="K125" s="797"/>
      <c r="L125" s="797"/>
    </row>
    <row r="126" spans="1:12" s="963" customFormat="1">
      <c r="A126" s="2334"/>
      <c r="D126" s="2335"/>
      <c r="K126" s="797"/>
      <c r="L126" s="797"/>
    </row>
    <row r="127" spans="1:12" s="963" customFormat="1">
      <c r="A127" s="2334"/>
      <c r="D127" s="2335"/>
      <c r="K127" s="797"/>
      <c r="L127" s="797"/>
    </row>
    <row r="128" spans="1:12" s="963" customFormat="1">
      <c r="A128" s="2334"/>
      <c r="D128" s="2335"/>
      <c r="K128" s="797"/>
      <c r="L128" s="797"/>
    </row>
    <row r="129" spans="1:12" s="963" customFormat="1">
      <c r="A129" s="2334"/>
      <c r="D129" s="2335"/>
      <c r="K129" s="797"/>
      <c r="L129" s="797"/>
    </row>
    <row r="130" spans="1:12" s="963" customFormat="1">
      <c r="A130" s="2334"/>
      <c r="D130" s="2335"/>
      <c r="K130" s="797"/>
      <c r="L130" s="797"/>
    </row>
    <row r="131" spans="1:12" s="963" customFormat="1">
      <c r="A131" s="2334"/>
      <c r="D131" s="2335"/>
      <c r="K131" s="797"/>
      <c r="L131" s="797"/>
    </row>
    <row r="132" spans="1:12" s="963" customFormat="1">
      <c r="A132" s="2334"/>
      <c r="D132" s="2335"/>
      <c r="K132" s="797"/>
      <c r="L132" s="797"/>
    </row>
    <row r="133" spans="1:12" s="963" customFormat="1">
      <c r="A133" s="2334"/>
      <c r="D133" s="2335"/>
      <c r="K133" s="797"/>
      <c r="L133" s="797"/>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4" sqref="C4"/>
    </sheetView>
  </sheetViews>
  <sheetFormatPr defaultColWidth="9" defaultRowHeight="14.25"/>
  <cols>
    <col min="1" max="1" width="9.5" style="2362" customWidth="1"/>
    <col min="2" max="2" width="24.5" style="2410" customWidth="1"/>
    <col min="3" max="3" width="24.5" style="2409" customWidth="1"/>
    <col min="4" max="4" width="2.625" style="2409" customWidth="1"/>
    <col min="5" max="5" width="5.875" style="2409" customWidth="1"/>
    <col min="6" max="6" width="27" style="2410" customWidth="1"/>
    <col min="7" max="7" width="27" style="2411" customWidth="1"/>
    <col min="8" max="8" width="11.875" style="2389" customWidth="1"/>
    <col min="9" max="9" width="16.75" style="2390" customWidth="1"/>
    <col min="10" max="10" width="2.625" style="2389" customWidth="1"/>
    <col min="11" max="11" width="11.875" style="2389" customWidth="1"/>
    <col min="12" max="12" width="16.75" style="2390" customWidth="1"/>
    <col min="13" max="13" width="2.625" style="2389" customWidth="1"/>
    <col min="14" max="14" width="11.875" style="2389" customWidth="1"/>
    <col min="15" max="15" width="16.75" style="2390" customWidth="1"/>
    <col min="16" max="16" width="2.625" style="2389" customWidth="1"/>
    <col min="17" max="17" width="11.875" style="2389" customWidth="1"/>
    <col min="18" max="18" width="16.75" style="2391" customWidth="1"/>
    <col min="19" max="29" width="9" style="2361"/>
    <col min="30" max="16384" width="9" style="2362"/>
  </cols>
  <sheetData>
    <row r="1" spans="1:29" s="2355" customFormat="1" ht="19.5" thickBot="1">
      <c r="A1" s="3119" t="s">
        <v>2080</v>
      </c>
      <c r="B1" s="3120"/>
      <c r="C1" s="3120"/>
      <c r="D1" s="3120"/>
      <c r="E1" s="3120"/>
      <c r="F1" s="3120"/>
      <c r="G1" s="3120"/>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75" thickBot="1">
      <c r="A2" s="2356"/>
      <c r="B2" s="2357"/>
      <c r="C2" s="2358" t="s">
        <v>2081</v>
      </c>
      <c r="D2" s="2359"/>
      <c r="E2" s="2360"/>
      <c r="F2" s="2279"/>
      <c r="G2" s="2358" t="s">
        <v>2082</v>
      </c>
      <c r="H2" s="2361"/>
      <c r="I2" s="2361"/>
      <c r="J2" s="2361"/>
      <c r="K2" s="2361"/>
      <c r="L2" s="2361"/>
      <c r="M2" s="2361"/>
      <c r="N2" s="2361"/>
      <c r="O2" s="2361"/>
      <c r="P2" s="2361"/>
      <c r="Q2" s="2361"/>
      <c r="R2" s="2361"/>
    </row>
    <row r="3" spans="1:29" ht="54">
      <c r="A3" s="415" t="s">
        <v>2083</v>
      </c>
      <c r="B3" s="1266" t="s">
        <v>2084</v>
      </c>
      <c r="C3" s="2363" t="s">
        <v>2085</v>
      </c>
      <c r="D3" s="2364"/>
      <c r="E3" s="431" t="s">
        <v>2083</v>
      </c>
      <c r="F3" s="2365" t="s">
        <v>2086</v>
      </c>
      <c r="G3" s="2366" t="s">
        <v>2087</v>
      </c>
      <c r="H3" s="2361"/>
      <c r="I3" s="2361"/>
      <c r="J3" s="2361"/>
      <c r="K3" s="2361"/>
      <c r="L3" s="2361"/>
      <c r="M3" s="2361"/>
      <c r="N3" s="2361"/>
      <c r="O3" s="2361"/>
      <c r="P3" s="2361"/>
      <c r="Q3" s="2361"/>
      <c r="R3" s="2361"/>
    </row>
    <row r="4" spans="1:29" ht="41.25">
      <c r="A4" s="431"/>
      <c r="B4" s="1793" t="s">
        <v>2088</v>
      </c>
      <c r="C4" s="2367" t="s">
        <v>2089</v>
      </c>
      <c r="D4" s="2364"/>
      <c r="E4" s="2368"/>
      <c r="F4" s="42" t="s">
        <v>2090</v>
      </c>
      <c r="G4" s="2369" t="s">
        <v>2091</v>
      </c>
      <c r="H4" s="2361"/>
      <c r="I4" s="2361"/>
      <c r="J4" s="2361"/>
      <c r="K4" s="2361"/>
      <c r="L4" s="2361"/>
      <c r="M4" s="2361"/>
      <c r="N4" s="2361"/>
      <c r="O4" s="2361"/>
      <c r="P4" s="2361"/>
      <c r="Q4" s="2361"/>
      <c r="R4" s="2361"/>
    </row>
    <row r="5" spans="1:29" ht="41.25">
      <c r="A5" s="431"/>
      <c r="B5" s="1793" t="s">
        <v>2092</v>
      </c>
      <c r="C5" s="2367" t="s">
        <v>2093</v>
      </c>
      <c r="D5" s="2364"/>
      <c r="E5" s="2368"/>
      <c r="F5" s="1793" t="s">
        <v>2094</v>
      </c>
      <c r="G5" s="2369" t="s">
        <v>2095</v>
      </c>
      <c r="H5" s="2361"/>
      <c r="I5" s="2361"/>
      <c r="J5" s="2361"/>
      <c r="K5" s="2361"/>
      <c r="L5" s="2361"/>
      <c r="M5" s="2361"/>
      <c r="N5" s="2361"/>
      <c r="O5" s="2361"/>
      <c r="P5" s="2361"/>
      <c r="Q5" s="2361"/>
      <c r="R5" s="2361"/>
    </row>
    <row r="6" spans="1:29" ht="54">
      <c r="A6" s="431"/>
      <c r="B6" s="1793" t="s">
        <v>2096</v>
      </c>
      <c r="C6" s="2369" t="s">
        <v>2091</v>
      </c>
      <c r="D6" s="2364"/>
      <c r="E6" s="2368"/>
      <c r="F6" s="1793" t="s">
        <v>2097</v>
      </c>
      <c r="G6" s="2369" t="s">
        <v>2098</v>
      </c>
      <c r="H6" s="2361"/>
      <c r="I6" s="2361"/>
      <c r="J6" s="2361"/>
      <c r="K6" s="2361"/>
      <c r="L6" s="2361"/>
      <c r="M6" s="2361"/>
      <c r="N6" s="2361"/>
      <c r="O6" s="2361"/>
      <c r="P6" s="2361"/>
      <c r="Q6" s="2361"/>
      <c r="R6" s="2361"/>
    </row>
    <row r="7" spans="1:29" ht="41.25" thickBot="1">
      <c r="A7" s="431"/>
      <c r="B7" s="1793" t="s">
        <v>2094</v>
      </c>
      <c r="C7" s="2369" t="s">
        <v>2095</v>
      </c>
      <c r="D7" s="2370"/>
      <c r="E7" s="2371"/>
      <c r="F7" s="2372" t="s">
        <v>2099</v>
      </c>
      <c r="G7" s="2373" t="s">
        <v>2100</v>
      </c>
      <c r="H7" s="2361"/>
      <c r="I7" s="2361"/>
      <c r="J7" s="2361"/>
      <c r="K7" s="2361"/>
      <c r="L7" s="2361"/>
      <c r="M7" s="2361"/>
      <c r="N7" s="2361"/>
      <c r="O7" s="2361"/>
      <c r="P7" s="2361"/>
      <c r="Q7" s="2361"/>
      <c r="R7" s="2361"/>
    </row>
    <row r="8" spans="1:29" ht="27">
      <c r="A8" s="431"/>
      <c r="B8" s="1793" t="s">
        <v>2097</v>
      </c>
      <c r="C8" s="2369" t="s">
        <v>2098</v>
      </c>
      <c r="D8" s="2370"/>
      <c r="E8" s="2370"/>
      <c r="F8" s="1131"/>
      <c r="G8" s="1131"/>
      <c r="H8" s="2361"/>
      <c r="I8" s="2361"/>
      <c r="J8" s="2361"/>
      <c r="K8" s="2361"/>
      <c r="L8" s="2361"/>
      <c r="M8" s="2361"/>
      <c r="N8" s="2361"/>
      <c r="O8" s="2361"/>
      <c r="P8" s="2361"/>
      <c r="Q8" s="2361"/>
      <c r="R8" s="2361"/>
    </row>
    <row r="9" spans="1:29" ht="27">
      <c r="A9" s="431"/>
      <c r="B9" s="1793" t="s">
        <v>2101</v>
      </c>
      <c r="C9" s="2367" t="s">
        <v>2102</v>
      </c>
      <c r="D9" s="2364"/>
      <c r="E9" s="2370"/>
      <c r="F9" s="1131"/>
      <c r="G9" s="1131"/>
      <c r="H9" s="2361"/>
      <c r="I9" s="2361"/>
      <c r="J9" s="2361"/>
      <c r="K9" s="2361"/>
      <c r="L9" s="2361"/>
      <c r="M9" s="2361"/>
      <c r="N9" s="2361"/>
      <c r="O9" s="2361"/>
      <c r="P9" s="2361"/>
      <c r="Q9" s="2361"/>
      <c r="R9" s="2361"/>
    </row>
    <row r="10" spans="1:29" s="117" customFormat="1" ht="15.75" thickBot="1">
      <c r="A10" s="2374"/>
      <c r="B10" s="2375" t="s">
        <v>2103</v>
      </c>
      <c r="C10" s="2376"/>
      <c r="D10" s="2364"/>
      <c r="E10" s="2364"/>
      <c r="F10" s="1131"/>
      <c r="G10" s="1131"/>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7" customFormat="1" ht="15">
      <c r="A11" s="2380"/>
      <c r="B11" s="2370"/>
      <c r="C11" s="2364"/>
      <c r="D11" s="2364"/>
      <c r="E11" s="2364"/>
      <c r="F11" s="2370"/>
      <c r="G11" s="1149"/>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8">
      <c r="A12" s="2380"/>
      <c r="B12" s="2370"/>
      <c r="C12" s="2364"/>
      <c r="D12" s="2381"/>
      <c r="E12" s="2364"/>
      <c r="F12" s="2370"/>
      <c r="G12" s="1149"/>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9.5" thickBot="1">
      <c r="A13" s="2387" t="s">
        <v>2104</v>
      </c>
      <c r="B13" s="2381"/>
      <c r="C13" s="2381"/>
      <c r="D13" s="2388"/>
      <c r="E13" s="2381"/>
      <c r="F13" s="2381"/>
      <c r="G13" s="2381"/>
    </row>
    <row r="14" spans="1:29" ht="15.75" thickBot="1">
      <c r="A14" s="2392"/>
      <c r="B14" s="2393"/>
      <c r="C14" s="2394" t="s">
        <v>2105</v>
      </c>
      <c r="D14" s="2364"/>
      <c r="E14" s="2395"/>
      <c r="F14" s="2395"/>
      <c r="G14" s="2358" t="s">
        <v>2106</v>
      </c>
    </row>
    <row r="15" spans="1:29" ht="57">
      <c r="A15" s="68" t="s">
        <v>2107</v>
      </c>
      <c r="B15" s="1265" t="s">
        <v>2084</v>
      </c>
      <c r="C15" s="2396" t="str">
        <f>C3</f>
        <v>估价对象周边居住用地比例、居住小区规模和社区发展完善程度，综合评价居住社区成熟度一般</v>
      </c>
      <c r="D15" s="2364"/>
      <c r="E15" s="2397" t="s">
        <v>2108</v>
      </c>
      <c r="F15" s="1265" t="s">
        <v>2109</v>
      </c>
      <c r="G15" s="135" t="str">
        <f>G3</f>
        <v>估价对象位于XX开发区，园区建设成熟度XX，产业集聚程度XX</v>
      </c>
    </row>
    <row r="16" spans="1:29" ht="42.75">
      <c r="A16" s="645"/>
      <c r="B16" s="2398" t="s">
        <v>2088</v>
      </c>
      <c r="C16" s="2399" t="str">
        <f>C4</f>
        <v>估价对象位于XX商圈，周边商业氛围成熟，人流量大，商业繁华度好</v>
      </c>
      <c r="D16" s="2364"/>
      <c r="E16" s="2400"/>
      <c r="F16" s="2401" t="s">
        <v>2090</v>
      </c>
      <c r="G16" s="136" t="str">
        <f>G4</f>
        <v>估价对象周边道路状况、公共交通通达情况、停车便捷程度，综合评价交通便捷度较好</v>
      </c>
    </row>
    <row r="17" spans="1:18" ht="42.75">
      <c r="A17" s="645"/>
      <c r="B17" s="2398" t="s">
        <v>2092</v>
      </c>
      <c r="C17" s="2399" t="str">
        <f>C5</f>
        <v>估价对象位于XX商圈，周边办公楼项目较多，入驻率高，办公集聚程度较好</v>
      </c>
      <c r="D17" s="2370"/>
      <c r="E17" s="2400"/>
      <c r="F17" s="2401" t="s">
        <v>2110</v>
      </c>
      <c r="G17" s="1567"/>
    </row>
    <row r="18" spans="1:18" ht="57">
      <c r="A18" s="645"/>
      <c r="B18" s="2401" t="s">
        <v>2096</v>
      </c>
      <c r="C18" s="136" t="str">
        <f>C6</f>
        <v>估价对象周边道路状况、公共交通通达情况、停车便捷程度，综合评价交通便捷度较好</v>
      </c>
      <c r="D18" s="2370"/>
      <c r="E18" s="2400"/>
      <c r="F18" s="2401" t="s">
        <v>2099</v>
      </c>
      <c r="G18" s="136" t="str">
        <f>G7</f>
        <v>该园区内是否有污染型企业，绿化情况，卫生条件，整体环境状况判断</v>
      </c>
    </row>
    <row r="19" spans="1:18" ht="28.5">
      <c r="A19" s="645"/>
      <c r="B19" s="2401" t="s">
        <v>2111</v>
      </c>
      <c r="C19" s="1567"/>
      <c r="D19" s="2364"/>
      <c r="E19" s="2400"/>
      <c r="F19" s="1793" t="s">
        <v>2094</v>
      </c>
      <c r="G19" s="136" t="str">
        <f>G5</f>
        <v>估价对象所在区域公共配套设施齐备情况</v>
      </c>
    </row>
    <row r="20" spans="1:18" ht="28.5">
      <c r="A20" s="645"/>
      <c r="B20" s="2401" t="s">
        <v>2112</v>
      </c>
      <c r="C20" s="2399" t="str">
        <f>C9</f>
        <v>区域自然环境：；人文环境；综合评价环境状况一般</v>
      </c>
      <c r="D20" s="2370"/>
      <c r="E20" s="2400"/>
      <c r="F20" s="1793" t="s">
        <v>2113</v>
      </c>
      <c r="G20" s="136" t="str">
        <f>G6</f>
        <v>估价对象所在区域基础设施水平</v>
      </c>
    </row>
    <row r="21" spans="1:18" ht="28.5">
      <c r="A21" s="645"/>
      <c r="B21" s="1793" t="s">
        <v>2094</v>
      </c>
      <c r="C21" s="136" t="str">
        <f>C7</f>
        <v>估价对象所在区域公共配套设施齐备情况</v>
      </c>
      <c r="D21" s="2364"/>
      <c r="E21" s="2400"/>
      <c r="F21" s="2401" t="s">
        <v>2114</v>
      </c>
      <c r="G21" s="2402"/>
    </row>
    <row r="22" spans="1:18" ht="13.5" customHeight="1">
      <c r="A22" s="645"/>
      <c r="B22" s="1793" t="s">
        <v>2097</v>
      </c>
      <c r="C22" s="136" t="str">
        <f>C8</f>
        <v>估价对象所在区域基础设施水平</v>
      </c>
      <c r="D22" s="2364"/>
      <c r="E22" s="2400"/>
      <c r="F22" s="2401" t="s">
        <v>2103</v>
      </c>
      <c r="G22" s="1567"/>
    </row>
    <row r="23" spans="1:18" s="2361" customFormat="1" ht="15.75" thickBot="1">
      <c r="A23" s="645"/>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75" thickBot="1">
      <c r="A24" s="2406"/>
      <c r="B24" s="2404" t="s">
        <v>2116</v>
      </c>
      <c r="C24" s="137">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34" sqref="F34"/>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3992.9400000000005</v>
      </c>
      <c r="C1" s="1740"/>
      <c r="D1" s="1740"/>
      <c r="E1" s="1740"/>
      <c r="F1" s="1740"/>
      <c r="G1" s="1738"/>
    </row>
    <row r="2" spans="1:10" ht="16.5">
      <c r="A2" s="1741" t="s">
        <v>1349</v>
      </c>
      <c r="B2" s="1741">
        <f>SUM(C14:C23)</f>
        <v>0</v>
      </c>
      <c r="C2" s="1740"/>
      <c r="D2" s="1740"/>
      <c r="E2" s="1740"/>
      <c r="F2" s="1740"/>
      <c r="G2" s="1738"/>
    </row>
    <row r="3" spans="1:10" ht="16.5">
      <c r="A3" s="1741" t="s">
        <v>1358</v>
      </c>
      <c r="B3" s="1742">
        <f>项目基本情况!D3</f>
        <v>43711</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4534</v>
      </c>
      <c r="C5" s="1741">
        <f ca="1">ROUND(B5*10000/$B$1,0)</f>
        <v>11355</v>
      </c>
      <c r="D5" s="1741" t="e">
        <f ca="1">ROUND(B5*10000/$B$2,0)</f>
        <v>#DIV/0!</v>
      </c>
      <c r="E5" s="1740"/>
      <c r="F5" s="1738"/>
      <c r="G5" s="1738"/>
    </row>
    <row r="6" spans="1:10" ht="16.5">
      <c r="A6" s="1741" t="s">
        <v>1352</v>
      </c>
      <c r="B6" s="1741">
        <f ca="1">SUM(G14:G23)</f>
        <v>4534</v>
      </c>
      <c r="C6" s="1741">
        <f ca="1">ROUND(B6*10000/$B$1,0)</f>
        <v>11355</v>
      </c>
      <c r="D6" s="1741" t="e">
        <f ca="1">ROUND(B6*10000/$B$2,0)</f>
        <v>#DIV/0!</v>
      </c>
      <c r="E6" s="1740"/>
      <c r="F6" s="1738"/>
      <c r="G6" s="1738"/>
    </row>
    <row r="7" spans="1:10" ht="16.5">
      <c r="A7" s="1741" t="s">
        <v>1360</v>
      </c>
      <c r="B7" s="1741">
        <f>SUM(H14:H23)</f>
        <v>0</v>
      </c>
      <c r="C7" s="1741">
        <f>ROUND(B7*10000/$B$1,0)</f>
        <v>0</v>
      </c>
      <c r="D7" s="1741" t="e">
        <f>ROUND(B7*10000/$B$2,0)</f>
        <v>#DIV/0!</v>
      </c>
      <c r="E7" s="1740"/>
      <c r="F7" s="1738"/>
      <c r="G7" s="1738"/>
    </row>
    <row r="8" spans="1:10" ht="16.5">
      <c r="A8" s="1741" t="s">
        <v>1281</v>
      </c>
      <c r="B8" s="1741">
        <f>SUM(I14:I23)</f>
        <v>0</v>
      </c>
      <c r="C8" s="1741">
        <f>ROUND(B8*10000/$B$1,0)</f>
        <v>0</v>
      </c>
      <c r="D8" s="1741" t="e">
        <f>ROUND(B8*10000/$B$2,0)</f>
        <v>#DIV/0!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3992.9400000000005</v>
      </c>
      <c r="C14" s="1739">
        <f>结果表!C118</f>
        <v>0</v>
      </c>
      <c r="D14" s="1739">
        <f ca="1">结果表!H118</f>
        <v>4534</v>
      </c>
      <c r="E14" s="1739">
        <f ca="1">ROUND(D14*10000/B14,0)</f>
        <v>11355</v>
      </c>
      <c r="F14" s="1739" t="e">
        <f ca="1">ROUND(D14*10000/C14,0)</f>
        <v>#DIV/0!</v>
      </c>
      <c r="G14" s="1739">
        <f ca="1">结果表!D122</f>
        <v>4534</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3084</v>
      </c>
      <c r="D4" s="2421" t="s">
        <v>3071</v>
      </c>
      <c r="E4" s="3173" t="s">
        <v>2122</v>
      </c>
      <c r="F4" s="3175"/>
      <c r="G4" s="3175"/>
      <c r="H4" s="3175"/>
      <c r="I4" s="3174"/>
      <c r="K4" s="2422" t="str">
        <f>IF(ISNUMBER(FIND("比较法",'结果表 (2)'!C4)),"比较法",IF(ISNUMBER(FIND("成本法",'结果表 (2)'!C4)),"成本法",IF(ISNUMBER(FIND("假设开发法",'结果表 (2)'!C4)),"假设开发法",IF(ISNUMBER(FIND("收益法",'结果表 (2)'!C4)),"收益法","基准地价系数修正法"))))</f>
        <v>成本法</v>
      </c>
      <c r="L4" s="2422" t="str">
        <f>IF(ISNUMBER(FIND("比较法",'结果表 (2)'!D4)),"比较法",IF(ISNUMBER(FIND("成本法",'结果表 (2)'!D4)),"成本法",IF(ISNUMBER(FIND("假设开发法",'结果表 (2)'!D4)),"假设开发法",IF(ISNUMBER(FIND("收益法",'结果表 (2)'!D4)),"收益法","基准地价系数修正法"))))</f>
        <v>收益法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5</v>
      </c>
      <c r="D14" s="3207">
        <v>5</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5</v>
      </c>
      <c r="D17" s="141">
        <f>SUM(D5:D16)</f>
        <v>5</v>
      </c>
      <c r="E17" s="138"/>
      <c r="F17" s="138"/>
      <c r="G17" s="138"/>
      <c r="H17" s="138"/>
      <c r="I17" s="138"/>
      <c r="K17" s="2422"/>
      <c r="L17" s="2425" t="s">
        <v>2141</v>
      </c>
      <c r="M17" s="2425" t="s">
        <v>2142</v>
      </c>
    </row>
    <row r="18" spans="1:35" ht="15.75" thickBot="1">
      <c r="A18" s="2426" t="s">
        <v>2143</v>
      </c>
      <c r="B18" s="2427"/>
      <c r="C18" s="142">
        <f>ROUND(C17/SUM(C17:D17),2)</f>
        <v>0.5</v>
      </c>
      <c r="D18" s="142">
        <f>1-C18</f>
        <v>0.5</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t="e">
        <f ca="1">SUMIF(INDIRECT("'"&amp;C4&amp;"'"&amp;"!A:A"),'结果表 (2)'!B19,INDIRECT("'"&amp;C4&amp;"'"&amp;"!B:B"))</f>
        <v>#DIV/0!</v>
      </c>
      <c r="D19" s="144">
        <f ca="1">SUMIF(INDIRECT("'"&amp;D4&amp;"'"&amp;"!A:A"),'结果表 (2)'!B19,INDIRECT("'"&amp;D4&amp;"'"&amp;"!B:B"))</f>
        <v>86</v>
      </c>
      <c r="E19" s="2428" t="s">
        <v>2147</v>
      </c>
      <c r="F19" s="2429" t="s">
        <v>2146</v>
      </c>
      <c r="G19" s="145" t="e">
        <f ca="1">ROUND(C19*$C$18+D19*$D$18,0)</f>
        <v>#DIV/0!</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t="e">
        <f ca="1">SUMIF(INDIRECT("'"&amp;C4&amp;"'"&amp;"!A:A"),'结果表 (2)'!B20,INDIRECT("'"&amp;C4&amp;"'"&amp;"!B:B"))</f>
        <v>#DIV/0!</v>
      </c>
      <c r="D20" s="147">
        <f ca="1">SUMIF(INDIRECT("'"&amp;D4&amp;"'"&amp;"!A:A"),'结果表 (2)'!B20,INDIRECT("'"&amp;D4&amp;"'"&amp;"!B:B"))</f>
        <v>8517</v>
      </c>
      <c r="E20" s="2431"/>
      <c r="F20" s="1245" t="s">
        <v>2150</v>
      </c>
      <c r="G20" s="148" t="e">
        <f ca="1">ROUND(C20*$C$18+D20*$D$18,0)</f>
        <v>#DIV/0!</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t="e">
        <f ca="1">IF(C19&lt;D19,D19/C19-1,C19/D19-1)</f>
        <v>#DIV/0!</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t="e">
        <f ca="1">IF(D32="总价",G19-C24,G20-C25)</f>
        <v>#DIV/0!</v>
      </c>
      <c r="D32" s="2443" t="s">
        <v>2161</v>
      </c>
      <c r="E32" s="138"/>
      <c r="F32" s="138"/>
      <c r="G32" s="138"/>
      <c r="H32" s="138"/>
      <c r="I32" s="138"/>
    </row>
    <row r="33" spans="1:15" ht="15">
      <c r="A33" s="956" t="s">
        <v>2162</v>
      </c>
      <c r="B33" s="2444"/>
      <c r="C33" s="2445"/>
      <c r="D33" s="2446"/>
      <c r="E33" s="2447" t="s">
        <v>2163</v>
      </c>
      <c r="F33" s="2947" t="str">
        <f>IF(D32="楼面单价","取值（单价）","取值（总价）")</f>
        <v>取值（总价）</v>
      </c>
      <c r="G33" s="138"/>
      <c r="H33" s="138"/>
      <c r="I33" s="138"/>
    </row>
    <row r="34" spans="1:15" ht="15">
      <c r="A34" s="2449"/>
      <c r="B34" s="2450" t="s">
        <v>2164</v>
      </c>
      <c r="C34" s="157" t="e">
        <f ca="1">IF(C33="自定义",F34,C32-C35)</f>
        <v>#DIV/0!</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#DIV/0!</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t="e">
        <f ca="1">ROUND(H101*F45,0)</f>
        <v>#DIV/0!</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2957">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2957">
        <v>2</v>
      </c>
      <c r="K47" s="3185" t="s">
        <v>2193</v>
      </c>
      <c r="L47" s="3185"/>
      <c r="M47" s="3186">
        <f>'数据-取费表'!B2</f>
        <v>43711</v>
      </c>
      <c r="N47" s="3186"/>
      <c r="O47" s="3186"/>
    </row>
    <row r="48" spans="1:15" ht="25.5">
      <c r="A48" s="3187" t="s">
        <v>2194</v>
      </c>
      <c r="B48" s="3182"/>
      <c r="C48" s="3182"/>
      <c r="D48" s="140">
        <f>IF(H48="情况1",0,IF(H48="情况2",D52,IF(H48="情况3",D53,IF(H48="情况4",D54))))</f>
        <v>0</v>
      </c>
      <c r="E48" s="2951" t="str">
        <f>IF(H48="情况4","(销售额-原购置价)×税（费）率","销售额×税（费）率")</f>
        <v>销售额×税（费）率</v>
      </c>
      <c r="F48" s="175" t="str">
        <f>IF(H48="情况1","免征",'数据-取费表'!B41)</f>
        <v>免征</v>
      </c>
      <c r="G48" s="2475" t="s">
        <v>2195</v>
      </c>
      <c r="H48" s="2476" t="s">
        <v>2196</v>
      </c>
      <c r="I48" s="2474"/>
      <c r="J48" s="2957">
        <v>3</v>
      </c>
      <c r="K48" s="3185" t="s">
        <v>2197</v>
      </c>
      <c r="L48" s="3185"/>
      <c r="M48" s="3188" t="e">
        <f ca="1">H101</f>
        <v>#DIV/0!</v>
      </c>
      <c r="N48" s="3188"/>
      <c r="O48" s="3188"/>
    </row>
    <row r="49" spans="1:35" ht="25.5" customHeight="1">
      <c r="A49" s="176" t="s">
        <v>2198</v>
      </c>
      <c r="B49" s="3162" t="s">
        <v>2199</v>
      </c>
      <c r="C49" s="3162"/>
      <c r="D49" s="177">
        <v>0</v>
      </c>
      <c r="E49" s="23" t="s">
        <v>2200</v>
      </c>
      <c r="F49" s="28" t="s">
        <v>34</v>
      </c>
      <c r="G49" s="3189"/>
      <c r="H49" s="138"/>
      <c r="I49" s="2477"/>
      <c r="J49" s="2957">
        <v>4</v>
      </c>
      <c r="K49" s="3185" t="str">
        <f>IF(项目基本情况!E8="房地产抵押价值","房地产抵押价值","抵押担保权已注销时的房地产抵押价值")</f>
        <v>房地产抵押价值</v>
      </c>
      <c r="L49" s="3185"/>
      <c r="M49" s="3188" t="e">
        <f ca="1">IF(项目基本情况!E8="房地产抵押价值",H107,H109)</f>
        <v>#DIV/0!</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956" t="s">
        <v>2204</v>
      </c>
      <c r="K51" s="3185" t="s">
        <v>2205</v>
      </c>
      <c r="L51" s="3185"/>
      <c r="M51" s="2956" t="s">
        <v>2206</v>
      </c>
      <c r="N51" s="2956" t="s">
        <v>2207</v>
      </c>
      <c r="O51" s="2956" t="s">
        <v>2208</v>
      </c>
    </row>
    <row r="52" spans="1:35" ht="24" customHeight="1">
      <c r="A52" s="183" t="s">
        <v>2209</v>
      </c>
      <c r="B52" s="3162" t="s">
        <v>2210</v>
      </c>
      <c r="C52" s="3162"/>
      <c r="D52" s="182" t="e">
        <f ca="1">ROUND(D45*'数据-取费表'!B41/(1+'数据-取费表'!C42),0)</f>
        <v>#DIV/0!</v>
      </c>
      <c r="E52" s="11" t="s">
        <v>2211</v>
      </c>
      <c r="F52" s="184">
        <f>'数据-取费表'!B41</f>
        <v>5.5000000000000007E-2</v>
      </c>
      <c r="G52" s="2479"/>
      <c r="H52" s="138"/>
      <c r="I52" s="2477"/>
      <c r="J52" s="2957">
        <v>1</v>
      </c>
      <c r="K52" s="3169" t="s">
        <v>2212</v>
      </c>
      <c r="L52" s="3169"/>
      <c r="M52" s="1749">
        <f>D48</f>
        <v>0</v>
      </c>
      <c r="N52" s="2957" t="str">
        <f>E48</f>
        <v>销售额×税（费）率</v>
      </c>
      <c r="O52" s="1750" t="str">
        <f>F48</f>
        <v>免征</v>
      </c>
    </row>
    <row r="53" spans="1:35" ht="12" customHeight="1">
      <c r="A53" s="183" t="s">
        <v>2213</v>
      </c>
      <c r="B53" s="3161" t="s">
        <v>2214</v>
      </c>
      <c r="C53" s="3180"/>
      <c r="D53" s="182" t="e">
        <f ca="1">ROUND(D45*'数据-取费表'!B41/(1+'数据-取费表'!C42),0)</f>
        <v>#DIV/0!</v>
      </c>
      <c r="E53" s="11" t="s">
        <v>2211</v>
      </c>
      <c r="F53" s="184">
        <f>'数据-取费表'!B41</f>
        <v>5.5000000000000007E-2</v>
      </c>
      <c r="G53" s="2479"/>
      <c r="H53" s="138"/>
      <c r="I53" s="2477"/>
      <c r="J53" s="2957">
        <v>2</v>
      </c>
      <c r="K53" s="3169" t="s">
        <v>2215</v>
      </c>
      <c r="L53" s="3169"/>
      <c r="M53" s="1749" t="e">
        <f t="shared" ref="M53:O54" ca="1" si="0">D55</f>
        <v>#DIV/0!</v>
      </c>
      <c r="N53" s="2957" t="str">
        <f t="shared" si="0"/>
        <v>销售额×税（费）率</v>
      </c>
      <c r="O53" s="1750">
        <f t="shared" si="0"/>
        <v>5.0000000000000001E-4</v>
      </c>
    </row>
    <row r="54" spans="1:35" ht="12" customHeight="1">
      <c r="A54" s="183" t="s">
        <v>2216</v>
      </c>
      <c r="B54" s="3161" t="s">
        <v>2217</v>
      </c>
      <c r="C54" s="3180"/>
      <c r="D54" s="182" t="e">
        <f ca="1">C68</f>
        <v>#DIV/0!</v>
      </c>
      <c r="E54" s="30" t="s">
        <v>2218</v>
      </c>
      <c r="F54" s="184">
        <f>'数据-取费表'!B41</f>
        <v>5.5000000000000007E-2</v>
      </c>
      <c r="G54" s="2479"/>
      <c r="H54" s="2480"/>
      <c r="I54" s="2477"/>
      <c r="J54" s="2957">
        <v>3</v>
      </c>
      <c r="K54" s="3169" t="s">
        <v>2219</v>
      </c>
      <c r="L54" s="3169"/>
      <c r="M54" s="1749" t="e">
        <f t="shared" ca="1" si="0"/>
        <v>#DIV/0!</v>
      </c>
      <c r="N54" s="2957" t="str">
        <f t="shared" si="0"/>
        <v>增值额×税（费）率</v>
      </c>
      <c r="O54" s="1751" t="str">
        <f t="shared" si="0"/>
        <v>——</v>
      </c>
    </row>
    <row r="55" spans="1:35" ht="24" customHeight="1">
      <c r="A55" s="3181" t="s">
        <v>2220</v>
      </c>
      <c r="B55" s="3182"/>
      <c r="C55" s="3182"/>
      <c r="D55" s="185" t="e">
        <f ca="1">IF(H55="个人住宅",0,ROUND(D45*I55,0))</f>
        <v>#DIV/0!</v>
      </c>
      <c r="E55" s="11" t="s">
        <v>2221</v>
      </c>
      <c r="F55" s="184">
        <f>IF(H55="正常",I55,"免征")</f>
        <v>5.0000000000000001E-4</v>
      </c>
      <c r="G55" s="2479"/>
      <c r="H55" s="2476" t="s">
        <v>2222</v>
      </c>
      <c r="I55" s="186">
        <f>'数据-取费表'!B49</f>
        <v>5.0000000000000001E-4</v>
      </c>
      <c r="J55" s="2957" t="str">
        <f>IF(H59="非个人房产","",4)</f>
        <v/>
      </c>
      <c r="K55" s="3169" t="str">
        <f>IF(H59="非个人房产","——","个人所得税")</f>
        <v>——</v>
      </c>
      <c r="L55" s="3169"/>
      <c r="M55" s="1752" t="str">
        <f>D59</f>
        <v>——</v>
      </c>
      <c r="N55" s="2958" t="str">
        <f>E59</f>
        <v>——</v>
      </c>
      <c r="O55" s="1753" t="str">
        <f>F59</f>
        <v>——</v>
      </c>
    </row>
    <row r="56" spans="1:35" ht="24.75">
      <c r="A56" s="3181" t="s">
        <v>2223</v>
      </c>
      <c r="B56" s="3182"/>
      <c r="C56" s="3182"/>
      <c r="D56" s="185" t="e">
        <f ca="1">IF(H56="个人住宅",D57,D58)</f>
        <v>#DIV/0!</v>
      </c>
      <c r="E56" s="11" t="s">
        <v>2224</v>
      </c>
      <c r="F56" s="184" t="str">
        <f>IF(H56="正常",F58,"免征")</f>
        <v>——</v>
      </c>
      <c r="G56" s="2481" t="s">
        <v>2225</v>
      </c>
      <c r="H56" s="2482" t="s">
        <v>2222</v>
      </c>
      <c r="I56" s="2483"/>
      <c r="J56" s="2957"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 (2)'!J56+1,'结果表 (2)'!J55+1))</f>
        <v>4</v>
      </c>
      <c r="K57" s="3169" t="s">
        <v>2227</v>
      </c>
      <c r="L57" s="2484" t="s">
        <v>2228</v>
      </c>
      <c r="M57" s="1754"/>
      <c r="N57" s="1755">
        <f ca="1">SUMIF(M52:M56,"&lt;9e307")</f>
        <v>0</v>
      </c>
      <c r="O57" s="2485"/>
      <c r="P57" s="1748" t="e">
        <f ca="1">N57/M49</f>
        <v>#DIV/0!</v>
      </c>
    </row>
    <row r="58" spans="1:35" ht="24.75">
      <c r="A58" s="183" t="s">
        <v>2209</v>
      </c>
      <c r="B58" s="3173" t="s">
        <v>2229</v>
      </c>
      <c r="C58" s="3175"/>
      <c r="D58" s="185" t="e">
        <f ca="1">IF(H58="转让取得",C81,C97)</f>
        <v>#DIV/0!</v>
      </c>
      <c r="E58" s="11" t="s">
        <v>2224</v>
      </c>
      <c r="F58" s="24" t="s">
        <v>34</v>
      </c>
      <c r="G58" s="2479"/>
      <c r="H58" s="2482" t="s">
        <v>2230</v>
      </c>
      <c r="I58" s="2483"/>
      <c r="J58" s="3169"/>
      <c r="K58" s="3169"/>
      <c r="L58" s="2484" t="s">
        <v>2231</v>
      </c>
      <c r="M58" s="1756"/>
      <c r="N58" s="2486" t="str">
        <f ca="1">NUMBERSTRING(INT(N57*10000),2)&amp;"元整"</f>
        <v>零元整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2957" t="s">
        <v>2228</v>
      </c>
      <c r="M59" s="1757"/>
      <c r="N59" s="1758" t="e">
        <f ca="1">M49-N57</f>
        <v>#DIV/0!</v>
      </c>
      <c r="O59" s="2489"/>
    </row>
    <row r="60" spans="1:35" ht="12" customHeight="1">
      <c r="A60" s="2490"/>
      <c r="B60" s="2412"/>
      <c r="C60" s="2412"/>
      <c r="D60" s="2412"/>
      <c r="E60" s="2159"/>
      <c r="F60" s="2483"/>
      <c r="G60" s="2483"/>
      <c r="H60" s="2491"/>
      <c r="I60" s="138"/>
      <c r="J60" s="3179"/>
      <c r="K60" s="3169"/>
      <c r="L60" s="2484" t="s">
        <v>2231</v>
      </c>
      <c r="M60" s="1756"/>
      <c r="N60" s="2486" t="e">
        <f ca="1">NUMBERSTRING(INT(N59*10000),2)&amp;"元整"</f>
        <v>#DIV/0!</v>
      </c>
      <c r="O60" s="2487"/>
    </row>
    <row r="61" spans="1:35" ht="13.5" thickBot="1">
      <c r="A61" s="3168" t="s">
        <v>2235</v>
      </c>
      <c r="B61" s="3168"/>
      <c r="C61" s="3168"/>
      <c r="D61" s="3168"/>
      <c r="E61" s="3168"/>
      <c r="F61" s="2483"/>
      <c r="G61" s="2483"/>
      <c r="H61" s="2491"/>
      <c r="I61" s="138"/>
      <c r="J61" s="2957">
        <f>J59+1</f>
        <v>6</v>
      </c>
      <c r="K61" s="3169" t="s">
        <v>2236</v>
      </c>
      <c r="L61" s="3169"/>
      <c r="M61" s="1759"/>
      <c r="N61" s="1760" t="e">
        <f ca="1">ROUND(N59*10000/'数据-汇总表'!E3,0)</f>
        <v>#DIV/0!</v>
      </c>
      <c r="O61" s="2492"/>
    </row>
    <row r="62" spans="1:35" ht="12.75">
      <c r="A62" s="3166" t="s">
        <v>2237</v>
      </c>
      <c r="B62" s="3167"/>
      <c r="C62" s="2954"/>
      <c r="D62" s="2954" t="s">
        <v>2238</v>
      </c>
      <c r="E62" s="192" t="s">
        <v>2239</v>
      </c>
      <c r="F62" s="2483"/>
      <c r="G62" s="2483"/>
      <c r="H62" s="2491"/>
      <c r="I62" s="138"/>
    </row>
    <row r="63" spans="1:35" ht="12.75">
      <c r="A63" s="203" t="s">
        <v>775</v>
      </c>
      <c r="B63" s="193" t="s">
        <v>2240</v>
      </c>
      <c r="C63" s="194" t="e">
        <f ca="1">ROUND((C64+C65)/(1+'数据-取费表'!C42),0)</f>
        <v>#DIV/0!</v>
      </c>
      <c r="D63" s="195"/>
      <c r="E63" s="196"/>
      <c r="F63" s="2483"/>
      <c r="G63" s="2483"/>
      <c r="H63" s="2491"/>
      <c r="I63" s="138"/>
      <c r="J63" s="3170" t="s">
        <v>2241</v>
      </c>
      <c r="K63" s="2959" t="s">
        <v>2242</v>
      </c>
      <c r="L63" s="1747" t="e">
        <f ca="1">IF(M49&gt;10000,M49*0.5%,IF(AND(M49&gt;1000,M49&lt;=10000),M49*1%,IF(AND(M49&gt;100,M49&lt;=1000),M49*3%,IF(AND(M49&gt;10,M49&lt;=100),M49*5%,M49*8%))))</f>
        <v>#DIV/0!</v>
      </c>
      <c r="M63" s="24" t="e">
        <f ca="1">ROUND(L63,1)</f>
        <v>#DIV/0!</v>
      </c>
      <c r="Z63" s="2417"/>
      <c r="AI63" s="2418"/>
    </row>
    <row r="64" spans="1:35" ht="14.25" customHeight="1">
      <c r="A64" s="197" t="s">
        <v>770</v>
      </c>
      <c r="B64" s="198" t="s">
        <v>2243</v>
      </c>
      <c r="C64" s="199" t="e">
        <f ca="1">D45</f>
        <v>#DIV/0!</v>
      </c>
      <c r="D64" s="200" t="s">
        <v>32</v>
      </c>
      <c r="E64" s="201"/>
      <c r="F64" s="2483"/>
      <c r="G64" s="2483"/>
      <c r="H64" s="2491"/>
      <c r="I64" s="138"/>
      <c r="J64" s="3170"/>
      <c r="K64" s="2959" t="s">
        <v>2244</v>
      </c>
      <c r="L64" s="1747" t="e">
        <f ca="1">IF(M49&gt;2000,M49*0.5%,IF(AND(M49&gt;1000,M49&lt;=2000),M49*0.6%,IF(AND(M49&gt;500,M49&lt;=1000),M49*0.7%,IF(AND(M49&gt;200,M49&lt;=500),M49*0.8%,IF(AND(M49&gt;100,M49&lt;=200),M49*0.9%,IF(AND(M49&gt;50,M49&lt;=100),M49*1%,IF(AND(M49&gt;20,M49&lt;=50),M49*1.5%,IF(AND(M49&gt;10,M49&lt;=20),M49*2%,IF(AND(M49&gt;1,M49&lt;=10),M49*2.5%)))))))))</f>
        <v>#DIV/0!</v>
      </c>
      <c r="M64" s="24" t="e">
        <f t="shared" ref="M64:M65" ca="1" si="1">ROUND(L64,1)</f>
        <v>#DIV/0!</v>
      </c>
      <c r="N64" s="138" t="s">
        <v>2245</v>
      </c>
      <c r="Z64" s="2417"/>
      <c r="AI64" s="2418"/>
    </row>
    <row r="65" spans="1:35" ht="14.25" customHeight="1">
      <c r="A65" s="197" t="s">
        <v>771</v>
      </c>
      <c r="B65" s="198" t="s">
        <v>2246</v>
      </c>
      <c r="C65" s="202"/>
      <c r="D65" s="200"/>
      <c r="E65" s="201"/>
      <c r="F65" s="2483"/>
      <c r="G65" s="2483"/>
      <c r="H65" s="2491"/>
      <c r="I65" s="138"/>
      <c r="J65" s="3170"/>
      <c r="K65" s="2959" t="s">
        <v>2247</v>
      </c>
      <c r="L65" s="1747" t="e">
        <f ca="1">IF(M49&gt;1000,M49*0.1%,IF(AND(M49&gt;500,M49&lt;=1000),M49*0.5%,IF(AND(M49&gt;50,M49&lt;=500),M49*1%,IF(AND(M49&gt;1,M49&lt;=50),M49*1.5%))))</f>
        <v>#DIV/0!</v>
      </c>
      <c r="M65" s="24" t="e">
        <f t="shared" ca="1" si="1"/>
        <v>#DIV/0!</v>
      </c>
      <c r="N65" s="138" t="s">
        <v>2245</v>
      </c>
      <c r="Z65" s="2417"/>
      <c r="AI65" s="2418"/>
    </row>
    <row r="66" spans="1:35" ht="14.25" customHeight="1">
      <c r="A66" s="203" t="s">
        <v>772</v>
      </c>
      <c r="B66" s="204" t="s">
        <v>2248</v>
      </c>
      <c r="C66" s="205"/>
      <c r="D66" s="206" t="s">
        <v>32</v>
      </c>
      <c r="E66" s="1771" t="s">
        <v>1367</v>
      </c>
      <c r="F66" s="2483"/>
      <c r="G66" s="2483"/>
      <c r="H66" s="2491"/>
      <c r="I66" s="138"/>
      <c r="J66" s="3170"/>
      <c r="K66" s="2959" t="s">
        <v>2249</v>
      </c>
      <c r="L66" s="1747" t="e">
        <f ca="1">M49*0.5%</f>
        <v>#DIV/0!</v>
      </c>
      <c r="M66" s="24" t="e">
        <f ca="1">IF(L66&gt;0.5,0.5,ROUND(L66,0))</f>
        <v>#DIV/0!</v>
      </c>
      <c r="N66" s="138" t="s">
        <v>2250</v>
      </c>
      <c r="Z66" s="2417"/>
      <c r="AI66" s="2418"/>
    </row>
    <row r="67" spans="1:35" ht="14.25" customHeight="1">
      <c r="A67" s="203" t="s">
        <v>773</v>
      </c>
      <c r="B67" s="204" t="s">
        <v>2251</v>
      </c>
      <c r="C67" s="207" t="e">
        <f ca="1">C63-C66</f>
        <v>#DIV/0!</v>
      </c>
      <c r="D67" s="200" t="s">
        <v>32</v>
      </c>
      <c r="E67" s="201"/>
      <c r="F67" s="2483"/>
      <c r="G67" s="2483"/>
      <c r="H67" s="2491"/>
      <c r="I67" s="138"/>
      <c r="J67" s="3170"/>
      <c r="K67" s="2959" t="s">
        <v>2252</v>
      </c>
      <c r="L67" s="1747" t="e">
        <f ca="1">IF(M49&gt;=10000,(8.25+(M49-10000)*0.01%),IF(AND(M49&gt;=8000,M49&lt;10000),(7.85+(M49-8000)*0.02%),IF(AND(M49&gt;=5000,M49&lt;8000),(6.65+(M49-5000)*0.04%),IF(AND(M49&gt;=2000,M49&lt;5000),(4.25+(PM49-2000)*0.08%),IF(AND(M49&gt;=1000,M49&lt;2000),(2.75+(M49-1000)*0.15%),IF(AND(M49&gt;=100,M49&lt;1000),(0.5+(M49-100)*0.25%),IF(AND(M49&gt;0,M49&lt;100),M49*0.5%)))))))</f>
        <v>#DIV/0!</v>
      </c>
      <c r="M67" s="24" t="e">
        <f ca="1">ROUND(L67*0.9,1)</f>
        <v>#DIV/0!</v>
      </c>
      <c r="Z67" s="2417"/>
      <c r="AI67" s="2418"/>
    </row>
    <row r="68" spans="1:35" ht="14.25" customHeight="1" thickBot="1">
      <c r="A68" s="208" t="s">
        <v>774</v>
      </c>
      <c r="B68" s="209" t="s">
        <v>2253</v>
      </c>
      <c r="C68" s="210" t="e">
        <f ca="1">IF(C67&lt;=0,0,ROUND(C67*D68,0))</f>
        <v>#DIV/0!</v>
      </c>
      <c r="D68" s="211">
        <f>'数据-取费表'!B41</f>
        <v>5.5000000000000007E-2</v>
      </c>
      <c r="E68" s="212"/>
      <c r="F68" s="2483"/>
      <c r="G68" s="2483"/>
      <c r="H68" s="2491"/>
      <c r="I68" s="138"/>
      <c r="J68" s="3170"/>
      <c r="K68" s="2959" t="s">
        <v>2254</v>
      </c>
      <c r="L68" s="1747" t="e">
        <f ca="1">IF(M49&gt;10000,M49*0.5%,IF(AND(M49&gt;5000,M49&lt;=10000),M49*1%,IF(AND(M49&gt;1000,M49&lt;=5000),M49*2%,IF(AND(M49&gt;200,M49&lt;=1000),M49*3%,M49*5%))))</f>
        <v>#DIV/0!</v>
      </c>
      <c r="M68" s="24" t="e">
        <f ca="1">ROUND(L68,1)</f>
        <v>#DIV/0!</v>
      </c>
      <c r="Z68" s="2417"/>
      <c r="AI68" s="2418"/>
    </row>
    <row r="69" spans="1:35" s="2440" customFormat="1" ht="16.5" customHeight="1">
      <c r="A69" s="2494"/>
      <c r="B69" s="2495"/>
      <c r="C69" s="2496"/>
      <c r="D69" s="2497"/>
      <c r="E69" s="2498"/>
      <c r="F69" s="2159"/>
      <c r="G69" s="2159"/>
      <c r="H69" s="2158"/>
      <c r="I69" s="2412"/>
      <c r="J69" s="3170"/>
      <c r="K69" s="2959" t="s">
        <v>2255</v>
      </c>
      <c r="L69" s="2499"/>
      <c r="M69" s="24" t="e">
        <f ca="1">ROUND(SUM(M63:M68),0)</f>
        <v>#DIV/0!</v>
      </c>
      <c r="N69" s="1748" t="e">
        <f ca="1">M69/M49</f>
        <v>#DIV/0!</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2954"/>
      <c r="D71" s="295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t="e">
        <f ca="1">ROUND(D45/(1+'数据-取费表'!C42),0)</f>
        <v>#DIV/0!</v>
      </c>
      <c r="D72" s="200" t="s">
        <v>32</v>
      </c>
      <c r="E72" s="2953"/>
      <c r="F72" s="2948"/>
      <c r="G72" s="2948"/>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t="e">
        <f ca="1">C74+C78</f>
        <v>#DIV/0!</v>
      </c>
      <c r="D73" s="200" t="s">
        <v>32</v>
      </c>
      <c r="E73" s="2953"/>
      <c r="F73" s="2948"/>
      <c r="G73" s="2948"/>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53"/>
      <c r="F74" s="2948"/>
      <c r="G74" s="2948"/>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0" t="s">
        <v>2267</v>
      </c>
      <c r="F77" s="224"/>
      <c r="G77" s="2507" t="s">
        <v>2268</v>
      </c>
      <c r="H77" s="2955"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t="e">
        <f ca="1">ROUND(D45*D78/(1+'数据-取费表'!C42),0)</f>
        <v>#DIV/0!</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t="e">
        <f ca="1">C72-C73</f>
        <v>#DIV/0!</v>
      </c>
      <c r="D79" s="200" t="s">
        <v>32</v>
      </c>
      <c r="E79" s="2953"/>
      <c r="F79" s="2948"/>
      <c r="G79" s="2948"/>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t="e">
        <f ca="1">IF(C79&lt;=0,0,C79/C73)</f>
        <v>#DIV/0!</v>
      </c>
      <c r="D80" s="200" t="s">
        <v>32</v>
      </c>
      <c r="E80" s="2960" t="e">
        <f ca="1">IF(C80&gt;=200%,"增值额超过扣除项目金额200%",IF(C80&gt;=100%,"增值额超过扣除项目金额100%，未超过200%",IF(C80&gt;=50%,"增值额超过扣除项目金额50%，未超过100%",IF(C80&lt;50%,"增值额未超过扣除项目金额50%"))))</f>
        <v>#DIV/0!</v>
      </c>
      <c r="F80" s="2948"/>
      <c r="G80" s="2948"/>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t="e">
        <f ca="1">ROUND(IF(C79&lt;=0,0,IF(C80&gt;=200%,C79*60%-C73*35%,IF(C80&gt;=100%,C79*50%-C73*15%,IF(C80&gt;=50%,C79*40%-C73*5%,IF(C80&lt;50%,C79*30%,0))))),0)</f>
        <v>#DIV/0!</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2954"/>
      <c r="D84" s="295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t="e">
        <f ca="1">ROUND(D45/(1+'数据-取费表'!C42),0)</f>
        <v>#DIV/0!</v>
      </c>
      <c r="D85" s="200" t="s">
        <v>32</v>
      </c>
      <c r="E85" s="2953"/>
      <c r="F85" s="2948"/>
      <c r="G85" s="2948"/>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t="e">
        <f ca="1">IF(H88="仅含出让金",C87+C90+C91+C92+C93+C94,C87+C91+C92+C93+C94)</f>
        <v>#DIV/0!</v>
      </c>
      <c r="D86" s="235"/>
      <c r="E86" s="2953"/>
      <c r="F86" s="2948"/>
      <c r="G86" s="2948"/>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49"/>
      <c r="F87" s="2950"/>
      <c r="G87" s="2950"/>
      <c r="H87" s="2952"/>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50"/>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50"/>
      <c r="G89" s="2950"/>
      <c r="H89" s="2952"/>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50"/>
      <c r="G90" s="2950"/>
      <c r="H90" s="2952"/>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t="e">
        <f ca="1">ROUND(D45*D93/(1+'数据-取费表'!C42),0)</f>
        <v>#DIV/0!</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t="e">
        <f ca="1">ROUND(C85-C86,0)</f>
        <v>#DIV/0!</v>
      </c>
      <c r="D95" s="200" t="s">
        <v>32</v>
      </c>
      <c r="E95" s="2953"/>
      <c r="F95" s="2948"/>
      <c r="G95" s="2948"/>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t="e">
        <f ca="1">IF(C95&lt;=0,0,C95/C86)</f>
        <v>#DIV/0!</v>
      </c>
      <c r="D96" s="200" t="s">
        <v>32</v>
      </c>
      <c r="E96" s="2960" t="e">
        <f ca="1">IF(C96&gt;=200%,"增值额超过扣除项目金额200%",IF(C96&gt;=100%,"增值额超过扣除项目金额100%，未超过200%",IF(C96&gt;=50%,"增值额超过扣除项目金额50%，未超过100%",IF(C96&lt;50%,"增值额未超过扣除项目金额50%"))))</f>
        <v>#DIV/0!</v>
      </c>
      <c r="F96" s="2948"/>
      <c r="G96" s="2948"/>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t="e">
        <f ca="1">ROUND(IF(C95&lt;=0,0,IF(C96&gt;=200%,C95*60%-C86*35%,IF(C96&gt;=100%,C95*50%-C86*15%,IF(C96&gt;=50%,C95*40%-C86*5%,IF(C96&lt;50%,C95*30%,0))))),0)</f>
        <v>#DIV/0!</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成本法</v>
      </c>
      <c r="D101" s="736" t="str">
        <f>D4</f>
        <v>收益法</v>
      </c>
      <c r="E101" s="3158" t="s">
        <v>2296</v>
      </c>
      <c r="F101" s="3140"/>
      <c r="G101" s="2514" t="s">
        <v>2297</v>
      </c>
      <c r="H101" s="1043" t="e">
        <f ca="1">H118</f>
        <v>#DIV/0!</v>
      </c>
      <c r="I101" s="138"/>
    </row>
    <row r="102" spans="1:35" ht="18.75" customHeight="1">
      <c r="A102" s="3137" t="s">
        <v>2298</v>
      </c>
      <c r="B102" s="2514" t="s">
        <v>2297</v>
      </c>
      <c r="C102" s="735" t="e">
        <f ca="1">C19</f>
        <v>#DIV/0!</v>
      </c>
      <c r="D102" s="736">
        <f ca="1">D19</f>
        <v>86</v>
      </c>
      <c r="E102" s="3158"/>
      <c r="F102" s="3140"/>
      <c r="G102" s="2514" t="s">
        <v>2299</v>
      </c>
      <c r="H102" s="371" t="e">
        <f ca="1">I118</f>
        <v>#DIV/0!</v>
      </c>
      <c r="I102" s="138"/>
    </row>
    <row r="103" spans="1:35" ht="42.75" customHeight="1">
      <c r="A103" s="3137"/>
      <c r="B103" s="2514" t="s">
        <v>2299</v>
      </c>
      <c r="C103" s="737" t="e">
        <f ca="1">C20</f>
        <v>#DIV/0!</v>
      </c>
      <c r="D103" s="738">
        <f ca="1">D20</f>
        <v>8517</v>
      </c>
      <c r="E103" s="3159" t="s">
        <v>2300</v>
      </c>
      <c r="F103" s="3160"/>
      <c r="G103" s="2515" t="s">
        <v>2301</v>
      </c>
      <c r="H103" s="1043">
        <f>IF(D36="正常操作",H104+H105+H106,H105+H106)</f>
        <v>0</v>
      </c>
      <c r="I103" s="138"/>
    </row>
    <row r="104" spans="1:35" ht="18.75" customHeight="1">
      <c r="A104" s="3137" t="s">
        <v>2302</v>
      </c>
      <c r="B104" s="2516" t="s">
        <v>2297</v>
      </c>
      <c r="C104" s="739" t="e">
        <f ca="1">H118</f>
        <v>#DIV/0!</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t="e">
        <f ca="1">I118</f>
        <v>#DIV/0!</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t="e">
        <f ca="1">IF(E107="——","——",H101-H103)</f>
        <v>#DIV/0!</v>
      </c>
      <c r="I107" s="138"/>
    </row>
    <row r="108" spans="1:35" ht="18.75" customHeight="1">
      <c r="A108" s="138"/>
      <c r="B108" s="138"/>
      <c r="C108" s="138"/>
      <c r="D108" s="138"/>
      <c r="E108" s="3139"/>
      <c r="F108" s="3140"/>
      <c r="G108" s="2514" t="s">
        <v>2299</v>
      </c>
      <c r="H108" s="371" t="e">
        <f ca="1">ROUND(H107*10000/'数据-汇总表'!E3,0)</f>
        <v>#DIV/0!</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2946" t="s">
        <v>2314</v>
      </c>
      <c r="E117" s="2946" t="s">
        <v>2315</v>
      </c>
      <c r="F117" s="2946" t="s">
        <v>2314</v>
      </c>
      <c r="G117" s="2946" t="s">
        <v>2316</v>
      </c>
      <c r="H117" s="2946" t="s">
        <v>2314</v>
      </c>
      <c r="I117" s="2946" t="s">
        <v>2316</v>
      </c>
    </row>
    <row r="118" spans="1:11" ht="24.75" customHeight="1">
      <c r="A118" s="2520" t="str">
        <f>项目基本情况!S2</f>
        <v>江苏省泰州市泰兴市虹桥镇宏泰花苑商业1幢、2幢房地产</v>
      </c>
      <c r="B118" s="2946">
        <f>M18</f>
        <v>3992.9400000000005</v>
      </c>
      <c r="C118" s="2946">
        <f>M19</f>
        <v>0</v>
      </c>
      <c r="D118" s="2946" t="e">
        <f ca="1">ROUND(IF(D32="总价",C34,E118*B118/10000),0)</f>
        <v>#DIV/0!</v>
      </c>
      <c r="E118" s="2946" t="e">
        <f ca="1">ROUND(IF(C33="自定义",IF(D32="楼面单价",C34,D118*10000/B118),I118-G118),0)</f>
        <v>#DIV/0!</v>
      </c>
      <c r="F118" s="2946" t="e">
        <f ca="1">ROUND(IF(D32="总价",C35,G118*B118/10000),0)</f>
        <v>#DIV/0!</v>
      </c>
      <c r="G118" s="2946" t="e">
        <f ca="1">ROUND(IF(D32="楼面单价",C35,F118*10000/B118),0)</f>
        <v>#DIV/0!</v>
      </c>
      <c r="H118" s="2946" t="e">
        <f ca="1">ROUND(IF(D32="总价",C32,I118*B118/10000),0)</f>
        <v>#DIV/0!</v>
      </c>
      <c r="I118" s="2946" t="e">
        <f ca="1">ROUND(IF(D32="楼面单价",C32,H118*10000/B118),0)</f>
        <v>#DIV/0!</v>
      </c>
    </row>
    <row r="119" spans="1:11" ht="18.75" customHeight="1">
      <c r="A119" s="3072" t="s">
        <v>2317</v>
      </c>
      <c r="B119" s="3072"/>
      <c r="C119" s="3072"/>
      <c r="D119" s="3121" t="e">
        <f ca="1">NUMBERSTRING(INT(D118*10000),2)&amp;"元整"</f>
        <v>#DIV/0!</v>
      </c>
      <c r="E119" s="3123"/>
      <c r="F119" s="3121" t="e">
        <f ca="1">NUMBERSTRING(INT(F118*10000),2)&amp;"元整"</f>
        <v>#DIV/0!</v>
      </c>
      <c r="G119" s="3123"/>
      <c r="H119" s="3121" t="e">
        <f ca="1">NUMBERSTRING(INT(H118*10000),2)&amp;"元整"</f>
        <v>#DIV/0!</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t="e">
        <f ca="1">H107</f>
        <v>#DIV/0!</v>
      </c>
      <c r="E122" s="3127"/>
      <c r="F122" s="3127"/>
      <c r="G122" s="3127"/>
      <c r="H122" s="3127"/>
      <c r="I122" s="3128"/>
    </row>
    <row r="123" spans="1:11" ht="18.75" customHeight="1">
      <c r="A123" s="3072" t="s">
        <v>2317</v>
      </c>
      <c r="B123" s="3072"/>
      <c r="C123" s="3072"/>
      <c r="D123" s="3121" t="e">
        <f ca="1">NUMBERSTRING(INT(D122*10000),2)&amp;"元整"</f>
        <v>#DIV/0!</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67" priority="10" stopIfTrue="1" operator="equal">
      <formula>25</formula>
    </cfRule>
  </conditionalFormatting>
  <conditionalFormatting sqref="C8:C9">
    <cfRule type="cellIs" dxfId="166" priority="9" stopIfTrue="1" operator="equal">
      <formula>15</formula>
    </cfRule>
  </conditionalFormatting>
  <conditionalFormatting sqref="C14:C16">
    <cfRule type="cellIs" dxfId="165" priority="8" stopIfTrue="1" operator="equal">
      <formula>30</formula>
    </cfRule>
  </conditionalFormatting>
  <conditionalFormatting sqref="D5:D7">
    <cfRule type="cellIs" dxfId="164" priority="7" stopIfTrue="1" operator="equal">
      <formula>25</formula>
    </cfRule>
  </conditionalFormatting>
  <conditionalFormatting sqref="D8:D9">
    <cfRule type="cellIs" dxfId="163" priority="6" stopIfTrue="1" operator="equal">
      <formula>15</formula>
    </cfRule>
  </conditionalFormatting>
  <conditionalFormatting sqref="C10:D13">
    <cfRule type="cellIs" dxfId="162" priority="5" stopIfTrue="1" operator="equal">
      <formula>15</formula>
    </cfRule>
  </conditionalFormatting>
  <conditionalFormatting sqref="D14:D16">
    <cfRule type="cellIs" dxfId="161" priority="4" stopIfTrue="1" operator="equal">
      <formula>30</formula>
    </cfRule>
  </conditionalFormatting>
  <conditionalFormatting sqref="C90">
    <cfRule type="expression" dxfId="160" priority="3" stopIfTrue="1">
      <formula>$H$88&lt;&gt;"仅含出让金"</formula>
    </cfRule>
  </conditionalFormatting>
  <conditionalFormatting sqref="C91">
    <cfRule type="expression" dxfId="159" priority="2" stopIfTrue="1">
      <formula>$H$91="由企业提供"</formula>
    </cfRule>
  </conditionalFormatting>
  <conditionalFormatting sqref="E36">
    <cfRule type="expression" dxfId="15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H23" sqref="H23"/>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3240</v>
      </c>
      <c r="D4" s="2421" t="s">
        <v>3358</v>
      </c>
      <c r="E4" s="3173" t="s">
        <v>2122</v>
      </c>
      <c r="F4" s="3175"/>
      <c r="G4" s="3175"/>
      <c r="H4" s="3175"/>
      <c r="I4" s="3174"/>
      <c r="K4" s="2422" t="str">
        <f>IF(ISNUMBER(FIND("比较法",结果表!C4)),"比较法",IF(ISNUMBER(FIND("成本法",结果表!C4)),"成本法",IF(ISNUMBER(FIND("假设开发法",结果表!C4)),"假设开发法",IF(ISNUMBER(FIND("收益法",结果表!C4)),"收益法","基准地价系数修正法"))))</f>
        <v>基准地价系数修正法</v>
      </c>
      <c r="L4" s="2422" t="str">
        <f>IF(ISNUMBER(FIND("比较法",结果表!D4)),"比较法",IF(ISNUMBER(FIND("成本法",结果表!D4)),"成本法",IF(ISNUMBER(FIND("假设开发法",结果表!D4)),"假设开发法",IF(ISNUMBER(FIND("收益法",结果表!D4)),"收益法","基准地价系数修正法"))))</f>
        <v>收益法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1</v>
      </c>
      <c r="D14" s="3207">
        <v>0</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1</v>
      </c>
      <c r="D17" s="141">
        <f>SUM(D5:D16)</f>
        <v>0</v>
      </c>
      <c r="E17" s="138"/>
      <c r="F17" s="138"/>
      <c r="G17" s="138"/>
      <c r="H17" s="138"/>
      <c r="I17" s="138"/>
      <c r="K17" s="2422"/>
      <c r="L17" s="2425" t="s">
        <v>2141</v>
      </c>
      <c r="M17" s="2425" t="s">
        <v>2142</v>
      </c>
    </row>
    <row r="18" spans="1:35" ht="15.75" thickBot="1">
      <c r="A18" s="2426" t="s">
        <v>2143</v>
      </c>
      <c r="B18" s="2427"/>
      <c r="C18" s="142">
        <f>ROUND(C17/SUM(C17:D17),2)</f>
        <v>1</v>
      </c>
      <c r="D18" s="142">
        <f>1-C18</f>
        <v>0</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SUMIF(INDIRECT("'"&amp;C4&amp;"'"&amp;"!A:A"),结果表!B19,INDIRECT("'"&amp;C4&amp;"'"&amp;"!B:B"))</f>
        <v>4534</v>
      </c>
      <c r="D19" s="144">
        <f ca="1">SUMIF(INDIRECT("'"&amp;D4&amp;"'"&amp;"!A:A"),结果表!B19,INDIRECT("'"&amp;D4&amp;"'"&amp;"!B:B"))</f>
        <v>2871</v>
      </c>
      <c r="E19" s="2428" t="s">
        <v>2147</v>
      </c>
      <c r="F19" s="2429" t="s">
        <v>2146</v>
      </c>
      <c r="G19" s="145">
        <f ca="1">ROUND(C19*$C$18+D19*$D$18,0)</f>
        <v>4534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SUMIF(INDIRECT("'"&amp;C4&amp;"'"&amp;"!A:A"),结果表!B20,INDIRECT("'"&amp;C4&amp;"'"&amp;"!B:B"))</f>
        <v>11355</v>
      </c>
      <c r="D20" s="147">
        <f ca="1">SUMIF(INDIRECT("'"&amp;D4&amp;"'"&amp;"!A:A"),结果表!B20,INDIRECT("'"&amp;D4&amp;"'"&amp;"!B:B"))</f>
        <v>7190</v>
      </c>
      <c r="E20" s="2431"/>
      <c r="F20" s="1245" t="s">
        <v>2150</v>
      </c>
      <c r="G20" s="148">
        <f ca="1">ROUND(C20*$C$18+D20*$D$18,0)</f>
        <v>11355</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0.57924068268895845</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4534</v>
      </c>
      <c r="D32" s="2443" t="s">
        <v>3272</v>
      </c>
      <c r="E32" s="138"/>
      <c r="F32" s="138"/>
      <c r="G32" s="138"/>
      <c r="H32" s="138"/>
      <c r="I32" s="138"/>
    </row>
    <row r="33" spans="1:15" ht="15">
      <c r="A33" s="956" t="s">
        <v>2162</v>
      </c>
      <c r="B33" s="2444"/>
      <c r="C33" s="2445" t="s">
        <v>3273</v>
      </c>
      <c r="D33" s="2446" t="s">
        <v>3071</v>
      </c>
      <c r="E33" s="2447" t="s">
        <v>2163</v>
      </c>
      <c r="F33" s="2448" t="str">
        <f>IF(D32="楼面单价","取值（单价）","取值（总价）")</f>
        <v>取值（总价）</v>
      </c>
      <c r="G33" s="138"/>
      <c r="H33" s="138"/>
      <c r="I33" s="138"/>
    </row>
    <row r="34" spans="1:15" ht="15">
      <c r="A34" s="2449"/>
      <c r="B34" s="2450" t="s">
        <v>2164</v>
      </c>
      <c r="C34" s="157">
        <f ca="1">IF(C33="自定义",F34,C32-C35)</f>
        <v>2267</v>
      </c>
      <c r="D34" s="1053">
        <f ca="1">IF(C33="自定义",ROUND(C34/C32,3),IF(C33="收益比率",SUMIF(INDIRECT("'"&amp;D33&amp;"'"&amp;"!b:b"),"土地收益比率",INDIRECT("'"&amp;D33&amp;"'"&amp;"!c:c")),SUMIF(INDIRECT("'"&amp;D33&amp;"'"&amp;"!b:b"),"土地成本比率",INDIRECT("'"&amp;D33&amp;"'"&amp;"!c:c"))))</f>
        <v>0.5</v>
      </c>
      <c r="E34" s="2451" t="s">
        <v>2165</v>
      </c>
      <c r="F34" s="1734"/>
      <c r="G34" s="138"/>
      <c r="H34" s="138"/>
      <c r="I34" s="138"/>
    </row>
    <row r="35" spans="1:15" ht="15.75" thickBot="1">
      <c r="A35" s="2452"/>
      <c r="B35" s="2453" t="s">
        <v>2166</v>
      </c>
      <c r="C35" s="1439">
        <f ca="1">IF(C33="自定义",F35,ROUND(C32*D35,0))</f>
        <v>2267</v>
      </c>
      <c r="D35" s="1440">
        <f ca="1">IF(C33="自定义",ROUND(C35/C32,3),IF(C33="收益比率",SUMIF(INDIRECT("'"&amp;D33&amp;"'"&amp;"!b:b"),"建筑物收益比率",INDIRECT("'"&amp;D33&amp;"'"&amp;"!c:c")),SUMIF(INDIRECT("'"&amp;D33&amp;"'"&amp;"!b:b"),"建筑物成本比率",INDIRECT("'"&amp;D33&amp;"'"&amp;"!c:c"))))</f>
        <v>0.5</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f ca="1">ROUND(H101*F45,0)</f>
        <v>4534</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1807">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1807">
        <v>2</v>
      </c>
      <c r="K47" s="3185" t="s">
        <v>2193</v>
      </c>
      <c r="L47" s="3185"/>
      <c r="M47" s="3186">
        <f>'数据-取费表'!B2</f>
        <v>43711</v>
      </c>
      <c r="N47" s="3186"/>
      <c r="O47" s="3186"/>
    </row>
    <row r="48" spans="1:15" ht="25.5">
      <c r="A48" s="3187" t="s">
        <v>2194</v>
      </c>
      <c r="B48" s="3182"/>
      <c r="C48" s="3182"/>
      <c r="D48" s="140">
        <f>IF(H48="情况1",0,IF(H48="情况2",D52,IF(H48="情况3",D53,IF(H48="情况4",D54))))</f>
        <v>0</v>
      </c>
      <c r="E48" s="1796" t="str">
        <f>IF(H48="情况4","(销售额-原购置价)×税（费）率","销售额×税（费）率")</f>
        <v>销售额×税（费）率</v>
      </c>
      <c r="F48" s="175" t="str">
        <f>IF(H48="情况1","免征",'数据-取费表'!B41)</f>
        <v>免征</v>
      </c>
      <c r="G48" s="2475" t="s">
        <v>2195</v>
      </c>
      <c r="H48" s="2476" t="s">
        <v>2196</v>
      </c>
      <c r="I48" s="2474"/>
      <c r="J48" s="1807">
        <v>3</v>
      </c>
      <c r="K48" s="3185" t="s">
        <v>2197</v>
      </c>
      <c r="L48" s="3185"/>
      <c r="M48" s="3188">
        <f ca="1">H101</f>
        <v>4534</v>
      </c>
      <c r="N48" s="3188"/>
      <c r="O48" s="3188"/>
    </row>
    <row r="49" spans="1:35" ht="25.5" customHeight="1">
      <c r="A49" s="176" t="s">
        <v>2198</v>
      </c>
      <c r="B49" s="3162" t="s">
        <v>2199</v>
      </c>
      <c r="C49" s="3162"/>
      <c r="D49" s="177">
        <v>0</v>
      </c>
      <c r="E49" s="23" t="s">
        <v>2200</v>
      </c>
      <c r="F49" s="28" t="s">
        <v>34</v>
      </c>
      <c r="G49" s="3189"/>
      <c r="H49" s="138"/>
      <c r="I49" s="2477"/>
      <c r="J49" s="1807">
        <v>4</v>
      </c>
      <c r="K49" s="3185" t="str">
        <f>IF(项目基本情况!E8="房地产抵押价值","房地产抵押价值","抵押担保权已注销时的房地产抵押价值")</f>
        <v>房地产抵押价值</v>
      </c>
      <c r="L49" s="3185"/>
      <c r="M49" s="3188">
        <f ca="1">IF(项目基本情况!E8="房地产抵押价值",H107,H109)</f>
        <v>4534</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478" t="s">
        <v>2204</v>
      </c>
      <c r="K51" s="3185" t="s">
        <v>2205</v>
      </c>
      <c r="L51" s="3185"/>
      <c r="M51" s="2478" t="s">
        <v>2206</v>
      </c>
      <c r="N51" s="2478" t="s">
        <v>2207</v>
      </c>
      <c r="O51" s="2478" t="s">
        <v>2208</v>
      </c>
    </row>
    <row r="52" spans="1:35" ht="24" customHeight="1">
      <c r="A52" s="183" t="s">
        <v>2209</v>
      </c>
      <c r="B52" s="3162" t="s">
        <v>2210</v>
      </c>
      <c r="C52" s="3162"/>
      <c r="D52" s="182">
        <f ca="1">ROUND(D45*'数据-取费表'!B41/(1+'数据-取费表'!C42),0)</f>
        <v>237</v>
      </c>
      <c r="E52" s="11" t="s">
        <v>2211</v>
      </c>
      <c r="F52" s="184">
        <f>'数据-取费表'!B41</f>
        <v>5.5000000000000007E-2</v>
      </c>
      <c r="G52" s="2479"/>
      <c r="H52" s="138"/>
      <c r="I52" s="2477"/>
      <c r="J52" s="1807">
        <v>1</v>
      </c>
      <c r="K52" s="3169" t="s">
        <v>2212</v>
      </c>
      <c r="L52" s="3169"/>
      <c r="M52" s="1749">
        <f>D48</f>
        <v>0</v>
      </c>
      <c r="N52" s="1807" t="str">
        <f>E48</f>
        <v>销售额×税（费）率</v>
      </c>
      <c r="O52" s="1750" t="str">
        <f>F48</f>
        <v>免征</v>
      </c>
    </row>
    <row r="53" spans="1:35" ht="12" customHeight="1">
      <c r="A53" s="183" t="s">
        <v>2213</v>
      </c>
      <c r="B53" s="3161" t="s">
        <v>2214</v>
      </c>
      <c r="C53" s="3180"/>
      <c r="D53" s="182">
        <f ca="1">ROUND(D45*'数据-取费表'!B41/(1+'数据-取费表'!C42),0)</f>
        <v>237</v>
      </c>
      <c r="E53" s="11" t="s">
        <v>2211</v>
      </c>
      <c r="F53" s="184">
        <f>'数据-取费表'!B41</f>
        <v>5.5000000000000007E-2</v>
      </c>
      <c r="G53" s="2479"/>
      <c r="H53" s="138"/>
      <c r="I53" s="2477"/>
      <c r="J53" s="1807">
        <v>2</v>
      </c>
      <c r="K53" s="3169" t="s">
        <v>2215</v>
      </c>
      <c r="L53" s="3169"/>
      <c r="M53" s="1749">
        <f t="shared" ref="M53:O54" ca="1" si="0">D55</f>
        <v>2</v>
      </c>
      <c r="N53" s="1807" t="str">
        <f t="shared" si="0"/>
        <v>销售额×税（费）率</v>
      </c>
      <c r="O53" s="1750">
        <f t="shared" si="0"/>
        <v>5.0000000000000001E-4</v>
      </c>
    </row>
    <row r="54" spans="1:35" ht="12" customHeight="1">
      <c r="A54" s="183" t="s">
        <v>2216</v>
      </c>
      <c r="B54" s="3161" t="s">
        <v>2217</v>
      </c>
      <c r="C54" s="3180"/>
      <c r="D54" s="182">
        <f ca="1">C68</f>
        <v>237</v>
      </c>
      <c r="E54" s="30" t="s">
        <v>2218</v>
      </c>
      <c r="F54" s="184">
        <f>'数据-取费表'!B41</f>
        <v>5.5000000000000007E-2</v>
      </c>
      <c r="G54" s="2479"/>
      <c r="H54" s="2480"/>
      <c r="I54" s="2477"/>
      <c r="J54" s="1807">
        <v>3</v>
      </c>
      <c r="K54" s="3169" t="s">
        <v>2219</v>
      </c>
      <c r="L54" s="3169"/>
      <c r="M54" s="1749">
        <f t="shared" ca="1" si="0"/>
        <v>2570</v>
      </c>
      <c r="N54" s="1807" t="str">
        <f t="shared" si="0"/>
        <v>增值额×税（费）率</v>
      </c>
      <c r="O54" s="1751" t="str">
        <f t="shared" si="0"/>
        <v>——</v>
      </c>
    </row>
    <row r="55" spans="1:35" ht="24" customHeight="1">
      <c r="A55" s="3181" t="s">
        <v>2220</v>
      </c>
      <c r="B55" s="3182"/>
      <c r="C55" s="3182"/>
      <c r="D55" s="185">
        <f ca="1">IF(H55="个人住宅",0,ROUND(D45*I55,0))</f>
        <v>2</v>
      </c>
      <c r="E55" s="11" t="s">
        <v>2221</v>
      </c>
      <c r="F55" s="184">
        <f>IF(H55="正常",I55,"免征")</f>
        <v>5.0000000000000001E-4</v>
      </c>
      <c r="G55" s="2479"/>
      <c r="H55" s="2476" t="s">
        <v>2222</v>
      </c>
      <c r="I55" s="186">
        <f>'数据-取费表'!B49</f>
        <v>5.0000000000000001E-4</v>
      </c>
      <c r="J55" s="1807" t="str">
        <f>IF(H59="非个人房产","",4)</f>
        <v/>
      </c>
      <c r="K55" s="3169" t="str">
        <f>IF(H59="非个人房产","——","个人所得税")</f>
        <v>——</v>
      </c>
      <c r="L55" s="3169"/>
      <c r="M55" s="1752" t="str">
        <f>D59</f>
        <v>——</v>
      </c>
      <c r="N55" s="1805" t="str">
        <f>E59</f>
        <v>——</v>
      </c>
      <c r="O55" s="1753" t="str">
        <f>F59</f>
        <v>——</v>
      </c>
    </row>
    <row r="56" spans="1:35" ht="24.75">
      <c r="A56" s="3181" t="s">
        <v>2223</v>
      </c>
      <c r="B56" s="3182"/>
      <c r="C56" s="3182"/>
      <c r="D56" s="185">
        <f ca="1">IF(H56="个人住宅",D57,D58)</f>
        <v>2570</v>
      </c>
      <c r="E56" s="11" t="s">
        <v>2224</v>
      </c>
      <c r="F56" s="184" t="str">
        <f>IF(H56="正常",F58,"免征")</f>
        <v>——</v>
      </c>
      <c r="G56" s="2481" t="s">
        <v>2225</v>
      </c>
      <c r="H56" s="2482" t="s">
        <v>2222</v>
      </c>
      <c r="I56" s="2483"/>
      <c r="J56" s="1807"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IF(AND(J55="",J56=""),4,IF(项目基本情况!K6="上海银行",结果表!J56+1,结果表!J55+1))</f>
        <v>4</v>
      </c>
      <c r="K57" s="3169" t="s">
        <v>2227</v>
      </c>
      <c r="L57" s="2484" t="s">
        <v>2228</v>
      </c>
      <c r="M57" s="1754"/>
      <c r="N57" s="1755">
        <f ca="1">SUMIF(M52:M56,"&lt;9e307")</f>
        <v>2572</v>
      </c>
      <c r="O57" s="2485"/>
      <c r="P57" s="1748">
        <f ca="1">N57/M49</f>
        <v>0.56726951918835467</v>
      </c>
    </row>
    <row r="58" spans="1:35" ht="24.75">
      <c r="A58" s="183" t="s">
        <v>2209</v>
      </c>
      <c r="B58" s="3173" t="s">
        <v>2229</v>
      </c>
      <c r="C58" s="3175"/>
      <c r="D58" s="185">
        <f ca="1">IF(H58="转让取得",C81,C97)</f>
        <v>2570</v>
      </c>
      <c r="E58" s="11" t="s">
        <v>2224</v>
      </c>
      <c r="F58" s="24" t="s">
        <v>34</v>
      </c>
      <c r="G58" s="2479"/>
      <c r="H58" s="2482" t="s">
        <v>2230</v>
      </c>
      <c r="I58" s="2483"/>
      <c r="J58" s="3169"/>
      <c r="K58" s="3169"/>
      <c r="L58" s="2484" t="s">
        <v>2231</v>
      </c>
      <c r="M58" s="1756"/>
      <c r="N58" s="2486" t="str">
        <f ca="1">NUMBERSTRING(INT(N57*10000),2)&amp;"元整"</f>
        <v>贰仟伍佰柒拾贰万元整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1807" t="s">
        <v>2228</v>
      </c>
      <c r="M59" s="1757"/>
      <c r="N59" s="1758">
        <f ca="1">M49-N57</f>
        <v>1962</v>
      </c>
      <c r="O59" s="2489"/>
    </row>
    <row r="60" spans="1:35" ht="12" customHeight="1">
      <c r="A60" s="2490"/>
      <c r="B60" s="2412"/>
      <c r="C60" s="2412"/>
      <c r="D60" s="2412"/>
      <c r="E60" s="2159"/>
      <c r="F60" s="2483"/>
      <c r="G60" s="2483"/>
      <c r="H60" s="2491"/>
      <c r="I60" s="138"/>
      <c r="J60" s="3179"/>
      <c r="K60" s="3169"/>
      <c r="L60" s="2484" t="s">
        <v>2231</v>
      </c>
      <c r="M60" s="1756"/>
      <c r="N60" s="2486" t="str">
        <f ca="1">NUMBERSTRING(INT(N59*10000),2)&amp;"元整"</f>
        <v>壹仟玖佰陆拾贰万元整</v>
      </c>
      <c r="O60" s="2487"/>
    </row>
    <row r="61" spans="1:35" ht="13.5" thickBot="1">
      <c r="A61" s="3168" t="s">
        <v>2235</v>
      </c>
      <c r="B61" s="3168"/>
      <c r="C61" s="3168"/>
      <c r="D61" s="3168"/>
      <c r="E61" s="3168"/>
      <c r="F61" s="2483"/>
      <c r="G61" s="2483"/>
      <c r="H61" s="2491"/>
      <c r="I61" s="138"/>
      <c r="J61" s="1807">
        <f>J59+1</f>
        <v>6</v>
      </c>
      <c r="K61" s="3169" t="s">
        <v>2236</v>
      </c>
      <c r="L61" s="3169"/>
      <c r="M61" s="1759"/>
      <c r="N61" s="1760">
        <f ca="1">ROUND(N59*10000/'数据-汇总表'!E3,0)</f>
        <v>4914</v>
      </c>
      <c r="O61" s="2492"/>
    </row>
    <row r="62" spans="1:35" ht="12.75">
      <c r="A62" s="3166" t="s">
        <v>2237</v>
      </c>
      <c r="B62" s="3167"/>
      <c r="C62" s="1799"/>
      <c r="D62" s="1799" t="s">
        <v>2238</v>
      </c>
      <c r="E62" s="192" t="s">
        <v>2239</v>
      </c>
      <c r="F62" s="2483"/>
      <c r="G62" s="2483"/>
      <c r="H62" s="2491"/>
      <c r="I62" s="138"/>
    </row>
    <row r="63" spans="1:35" ht="12.75">
      <c r="A63" s="203" t="s">
        <v>775</v>
      </c>
      <c r="B63" s="193" t="s">
        <v>2240</v>
      </c>
      <c r="C63" s="194">
        <f ca="1">ROUND((C64+C65)/(1+'数据-取费表'!C42),0)</f>
        <v>4318</v>
      </c>
      <c r="D63" s="195"/>
      <c r="E63" s="196"/>
      <c r="F63" s="2483"/>
      <c r="G63" s="2483"/>
      <c r="H63" s="2491"/>
      <c r="I63" s="138"/>
      <c r="J63" s="3170" t="s">
        <v>2241</v>
      </c>
      <c r="K63" s="2493" t="s">
        <v>2242</v>
      </c>
      <c r="L63" s="1747">
        <f ca="1">IF(M49&gt;10000,M49*0.5%,IF(AND(M49&gt;1000,M49&lt;=10000),M49*1%,IF(AND(M49&gt;100,M49&lt;=1000),M49*3%,IF(AND(M49&gt;10,M49&lt;=100),M49*5%,M49*8%))))</f>
        <v>45.34</v>
      </c>
      <c r="M63" s="24">
        <f ca="1">ROUND(L63,1)</f>
        <v>45.3</v>
      </c>
      <c r="Z63" s="2417"/>
      <c r="AI63" s="2418"/>
    </row>
    <row r="64" spans="1:35" ht="14.25" customHeight="1">
      <c r="A64" s="197" t="s">
        <v>770</v>
      </c>
      <c r="B64" s="198" t="s">
        <v>2243</v>
      </c>
      <c r="C64" s="199">
        <f ca="1">D45</f>
        <v>4534</v>
      </c>
      <c r="D64" s="200" t="s">
        <v>32</v>
      </c>
      <c r="E64" s="201"/>
      <c r="F64" s="2483"/>
      <c r="G64" s="2483"/>
      <c r="H64" s="2491"/>
      <c r="I64" s="138"/>
      <c r="J64" s="3170"/>
      <c r="K64" s="2493" t="s">
        <v>2244</v>
      </c>
      <c r="L64" s="1747">
        <f ca="1">IF(M49&gt;2000,M49*0.5%,IF(AND(M49&gt;1000,M49&lt;=2000),M49*0.6%,IF(AND(M49&gt;500,M49&lt;=1000),M49*0.7%,IF(AND(M49&gt;200,M49&lt;=500),M49*0.8%,IF(AND(M49&gt;100,M49&lt;=200),M49*0.9%,IF(AND(M49&gt;50,M49&lt;=100),M49*1%,IF(AND(M49&gt;20,M49&lt;=50),M49*1.5%,IF(AND(M49&gt;10,M49&lt;=20),M49*2%,IF(AND(M49&gt;1,M49&lt;=10),M49*2.5%)))))))))</f>
        <v>22.67</v>
      </c>
      <c r="M64" s="24">
        <f t="shared" ref="M64:M65" ca="1" si="1">ROUND(L64,1)</f>
        <v>22.7</v>
      </c>
      <c r="N64" s="138" t="s">
        <v>2245</v>
      </c>
      <c r="Z64" s="2417"/>
      <c r="AI64" s="2418"/>
    </row>
    <row r="65" spans="1:35" ht="14.25" customHeight="1">
      <c r="A65" s="197" t="s">
        <v>771</v>
      </c>
      <c r="B65" s="198" t="s">
        <v>2246</v>
      </c>
      <c r="C65" s="202"/>
      <c r="D65" s="200"/>
      <c r="E65" s="201"/>
      <c r="F65" s="2483"/>
      <c r="G65" s="2483"/>
      <c r="H65" s="2491"/>
      <c r="I65" s="138"/>
      <c r="J65" s="3170"/>
      <c r="K65" s="2493" t="s">
        <v>2247</v>
      </c>
      <c r="L65" s="1747">
        <f ca="1">IF(M49&gt;1000,M49*0.1%,IF(AND(M49&gt;500,M49&lt;=1000),M49*0.5%,IF(AND(M49&gt;50,M49&lt;=500),M49*1%,IF(AND(M49&gt;1,M49&lt;=50),M49*1.5%))))</f>
        <v>4.5339999999999998</v>
      </c>
      <c r="M65" s="24">
        <f t="shared" ca="1" si="1"/>
        <v>4.5</v>
      </c>
      <c r="N65" s="138" t="s">
        <v>2245</v>
      </c>
      <c r="Z65" s="2417"/>
      <c r="AI65" s="2418"/>
    </row>
    <row r="66" spans="1:35" ht="14.25" customHeight="1">
      <c r="A66" s="203" t="s">
        <v>772</v>
      </c>
      <c r="B66" s="204" t="s">
        <v>2248</v>
      </c>
      <c r="C66" s="205"/>
      <c r="D66" s="206" t="s">
        <v>32</v>
      </c>
      <c r="E66" s="1771" t="s">
        <v>1367</v>
      </c>
      <c r="F66" s="2483"/>
      <c r="G66" s="2483"/>
      <c r="H66" s="2491"/>
      <c r="I66" s="138"/>
      <c r="J66" s="3170"/>
      <c r="K66" s="2493" t="s">
        <v>2249</v>
      </c>
      <c r="L66" s="1747">
        <f ca="1">M49*0.5%</f>
        <v>22.67</v>
      </c>
      <c r="M66" s="24">
        <f ca="1">IF(L66&gt;0.5,0.5,ROUND(L66,0))</f>
        <v>0.5</v>
      </c>
      <c r="N66" s="138" t="s">
        <v>2250</v>
      </c>
      <c r="Z66" s="2417"/>
      <c r="AI66" s="2418"/>
    </row>
    <row r="67" spans="1:35" ht="14.25" customHeight="1">
      <c r="A67" s="203" t="s">
        <v>773</v>
      </c>
      <c r="B67" s="204" t="s">
        <v>2251</v>
      </c>
      <c r="C67" s="207">
        <f ca="1">C63-C66</f>
        <v>4318</v>
      </c>
      <c r="D67" s="200" t="s">
        <v>32</v>
      </c>
      <c r="E67" s="201"/>
      <c r="F67" s="2483"/>
      <c r="G67" s="2483"/>
      <c r="H67" s="2491"/>
      <c r="I67" s="138"/>
      <c r="J67" s="3170"/>
      <c r="K67" s="2493" t="s">
        <v>2252</v>
      </c>
      <c r="L67" s="1747">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7"/>
      <c r="AI67" s="2418"/>
    </row>
    <row r="68" spans="1:35" ht="14.25" customHeight="1" thickBot="1">
      <c r="A68" s="208" t="s">
        <v>774</v>
      </c>
      <c r="B68" s="209" t="s">
        <v>2253</v>
      </c>
      <c r="C68" s="210">
        <f ca="1">IF(C67&lt;=0,0,ROUND(C67*D68,0))</f>
        <v>237</v>
      </c>
      <c r="D68" s="211">
        <f>'数据-取费表'!B41</f>
        <v>5.5000000000000007E-2</v>
      </c>
      <c r="E68" s="212"/>
      <c r="F68" s="2483"/>
      <c r="G68" s="2483"/>
      <c r="H68" s="2491"/>
      <c r="I68" s="138"/>
      <c r="J68" s="3170"/>
      <c r="K68" s="2493" t="s">
        <v>2254</v>
      </c>
      <c r="L68" s="1747">
        <f ca="1">IF(M49&gt;10000,M49*0.5%,IF(AND(M49&gt;5000,M49&lt;=10000),M49*1%,IF(AND(M49&gt;1000,M49&lt;=5000),M49*2%,IF(AND(M49&gt;200,M49&lt;=1000),M49*3%,M49*5%))))</f>
        <v>90.68</v>
      </c>
      <c r="M68" s="24">
        <f ca="1">ROUND(L68,1)</f>
        <v>90.7</v>
      </c>
      <c r="Z68" s="2417"/>
      <c r="AI68" s="2418"/>
    </row>
    <row r="69" spans="1:35" s="2440" customFormat="1" ht="16.5" customHeight="1">
      <c r="A69" s="2494"/>
      <c r="B69" s="2495"/>
      <c r="C69" s="2496"/>
      <c r="D69" s="2497"/>
      <c r="E69" s="2498"/>
      <c r="F69" s="2159"/>
      <c r="G69" s="2159"/>
      <c r="H69" s="2158"/>
      <c r="I69" s="2412"/>
      <c r="J69" s="3170"/>
      <c r="K69" s="2493" t="s">
        <v>2255</v>
      </c>
      <c r="L69" s="2499"/>
      <c r="M69" s="24">
        <f ca="1">ROUND(SUM(M63:M68),0)</f>
        <v>166</v>
      </c>
      <c r="N69" s="1748">
        <f ca="1">M69/M49</f>
        <v>3.6612262902514334E-2</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1799"/>
      <c r="D71" s="1799"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4318</v>
      </c>
      <c r="D72" s="200" t="s">
        <v>32</v>
      </c>
      <c r="E72" s="1798"/>
      <c r="F72" s="1792"/>
      <c r="G72" s="1792"/>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22</v>
      </c>
      <c r="D73" s="200" t="s">
        <v>32</v>
      </c>
      <c r="E73" s="1798"/>
      <c r="F73" s="1792"/>
      <c r="G73" s="1792"/>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1798"/>
      <c r="F74" s="1792"/>
      <c r="G74" s="1792"/>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07" t="s">
        <v>2268</v>
      </c>
      <c r="H77" s="1803"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22</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779</v>
      </c>
      <c r="B79" s="204" t="s">
        <v>2271</v>
      </c>
      <c r="C79" s="207">
        <f ca="1">C72-C73</f>
        <v>4296</v>
      </c>
      <c r="D79" s="200" t="s">
        <v>32</v>
      </c>
      <c r="E79" s="1798"/>
      <c r="F79" s="1792"/>
      <c r="G79" s="1792"/>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195.27272727272728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2570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1799"/>
      <c r="D84" s="1799"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4318</v>
      </c>
      <c r="D85" s="200" t="s">
        <v>32</v>
      </c>
      <c r="E85" s="1798"/>
      <c r="F85" s="1792"/>
      <c r="G85" s="1792"/>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22</v>
      </c>
      <c r="D86" s="235"/>
      <c r="E86" s="1798"/>
      <c r="F86" s="1792"/>
      <c r="G86" s="1792"/>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1794"/>
      <c r="F87" s="1795"/>
      <c r="G87" s="1795"/>
      <c r="H87" s="1797"/>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1795"/>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1795"/>
      <c r="G89" s="1795"/>
      <c r="H89" s="1797"/>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1795"/>
      <c r="G90" s="1795"/>
      <c r="H90" s="1797"/>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22</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779</v>
      </c>
      <c r="B95" s="204" t="s">
        <v>2271</v>
      </c>
      <c r="C95" s="207">
        <f ca="1">ROUND(C85-C86,0)</f>
        <v>4296</v>
      </c>
      <c r="D95" s="200" t="s">
        <v>32</v>
      </c>
      <c r="E95" s="1798"/>
      <c r="F95" s="1792"/>
      <c r="G95" s="1792"/>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195.27272727272728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2570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典型户型修正</v>
      </c>
      <c r="D101" s="736" t="str">
        <f>D4</f>
        <v>收益法（汇总）</v>
      </c>
      <c r="E101" s="3158" t="s">
        <v>2296</v>
      </c>
      <c r="F101" s="3140"/>
      <c r="G101" s="2514" t="s">
        <v>2297</v>
      </c>
      <c r="H101" s="1043">
        <f ca="1">H118</f>
        <v>4534</v>
      </c>
      <c r="I101" s="138"/>
    </row>
    <row r="102" spans="1:35" ht="18.75" customHeight="1">
      <c r="A102" s="3137" t="s">
        <v>2298</v>
      </c>
      <c r="B102" s="2514" t="s">
        <v>2297</v>
      </c>
      <c r="C102" s="735">
        <f ca="1">C19</f>
        <v>4534</v>
      </c>
      <c r="D102" s="736">
        <f ca="1">D19</f>
        <v>2871</v>
      </c>
      <c r="E102" s="3158"/>
      <c r="F102" s="3140"/>
      <c r="G102" s="2514" t="s">
        <v>2299</v>
      </c>
      <c r="H102" s="371">
        <f ca="1">I118</f>
        <v>11355</v>
      </c>
      <c r="I102" s="138"/>
    </row>
    <row r="103" spans="1:35" ht="42.75" customHeight="1">
      <c r="A103" s="3137"/>
      <c r="B103" s="2514" t="s">
        <v>2299</v>
      </c>
      <c r="C103" s="737">
        <f ca="1">C20</f>
        <v>11355</v>
      </c>
      <c r="D103" s="738">
        <f ca="1">D20</f>
        <v>7190</v>
      </c>
      <c r="E103" s="3159" t="s">
        <v>2300</v>
      </c>
      <c r="F103" s="3160"/>
      <c r="G103" s="2515" t="s">
        <v>2301</v>
      </c>
      <c r="H103" s="1043">
        <f>IF(D36="正常操作",H104+H105+H106,H105+H106)</f>
        <v>0</v>
      </c>
      <c r="I103" s="138"/>
    </row>
    <row r="104" spans="1:35" ht="18.75" customHeight="1">
      <c r="A104" s="3137" t="s">
        <v>2302</v>
      </c>
      <c r="B104" s="2516" t="s">
        <v>2297</v>
      </c>
      <c r="C104" s="739">
        <f ca="1">H118</f>
        <v>4534</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f ca="1">I118</f>
        <v>11355</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f ca="1">IF(E107="——","——",H101-H103)</f>
        <v>4534</v>
      </c>
      <c r="I107" s="138"/>
    </row>
    <row r="108" spans="1:35" ht="18.75" customHeight="1">
      <c r="A108" s="138"/>
      <c r="B108" s="138"/>
      <c r="C108" s="138"/>
      <c r="D108" s="138"/>
      <c r="E108" s="3139"/>
      <c r="F108" s="3140"/>
      <c r="G108" s="2514" t="s">
        <v>2299</v>
      </c>
      <c r="H108" s="371">
        <f ca="1">ROUND(H107*10000/'数据-汇总表'!E3,0)</f>
        <v>11355</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1793" t="s">
        <v>2314</v>
      </c>
      <c r="E117" s="1793" t="s">
        <v>2315</v>
      </c>
      <c r="F117" s="1793" t="s">
        <v>2314</v>
      </c>
      <c r="G117" s="1793" t="s">
        <v>2316</v>
      </c>
      <c r="H117" s="1793" t="s">
        <v>2314</v>
      </c>
      <c r="I117" s="1793" t="s">
        <v>2316</v>
      </c>
    </row>
    <row r="118" spans="1:11" ht="24.75" customHeight="1">
      <c r="A118" s="2520" t="str">
        <f>项目基本情况!S2</f>
        <v>江苏省泰州市泰兴市虹桥镇宏泰花苑商业1幢、2幢房地产</v>
      </c>
      <c r="B118" s="1793">
        <f>M18</f>
        <v>3992.9400000000005</v>
      </c>
      <c r="C118" s="1793">
        <f>M19</f>
        <v>0</v>
      </c>
      <c r="D118" s="1793">
        <f ca="1">ROUND(IF(D32="总价",C34,E118*B118/10000),0)</f>
        <v>2267</v>
      </c>
      <c r="E118" s="1793">
        <f ca="1">ROUND(IF(C33="自定义",IF(D32="楼面单价",C34,D118*10000/B118),I118-G118),0)</f>
        <v>5677</v>
      </c>
      <c r="F118" s="1793">
        <f ca="1">ROUND(IF(D32="总价",C35,G118*B118/10000),0)</f>
        <v>2267</v>
      </c>
      <c r="G118" s="1793">
        <f ca="1">ROUND(IF(D32="楼面单价",C35,F118*10000/B118),0)</f>
        <v>5678</v>
      </c>
      <c r="H118" s="1793">
        <f ca="1">ROUND(IF(D32="总价",C32,I118*B118/10000),0)</f>
        <v>4534</v>
      </c>
      <c r="I118" s="1793">
        <f ca="1">ROUND(IF(D32="楼面单价",C32,H118*10000/B118),0)</f>
        <v>11355</v>
      </c>
    </row>
    <row r="119" spans="1:11" ht="18.75" customHeight="1">
      <c r="A119" s="3072" t="s">
        <v>2317</v>
      </c>
      <c r="B119" s="3072"/>
      <c r="C119" s="3072"/>
      <c r="D119" s="3121" t="str">
        <f ca="1">NUMBERSTRING(INT(D118*10000),2)&amp;"元整"</f>
        <v>贰仟贰佰陆拾柒万元整</v>
      </c>
      <c r="E119" s="3123"/>
      <c r="F119" s="3121" t="str">
        <f ca="1">NUMBERSTRING(INT(F118*10000),2)&amp;"元整"</f>
        <v>贰仟贰佰陆拾柒万元整</v>
      </c>
      <c r="G119" s="3123"/>
      <c r="H119" s="3121" t="str">
        <f ca="1">NUMBERSTRING(INT(H118*10000),2)&amp;"元整"</f>
        <v>肆仟伍佰叁拾肆万元整</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f ca="1">H107</f>
        <v>4534</v>
      </c>
      <c r="E122" s="3127"/>
      <c r="F122" s="3127"/>
      <c r="G122" s="3127"/>
      <c r="H122" s="3127"/>
      <c r="I122" s="3128"/>
    </row>
    <row r="123" spans="1:11" ht="18.75" customHeight="1">
      <c r="A123" s="3072" t="s">
        <v>2317</v>
      </c>
      <c r="B123" s="3072"/>
      <c r="C123" s="3072"/>
      <c r="D123" s="3121" t="str">
        <f ca="1">NUMBERSTRING(INT(D122*10000),2)&amp;"元整"</f>
        <v>肆仟伍佰叁拾肆万元整</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57" priority="21" stopIfTrue="1" operator="equal">
      <formula>25</formula>
    </cfRule>
  </conditionalFormatting>
  <conditionalFormatting sqref="C8:C9">
    <cfRule type="cellIs" dxfId="156" priority="19" stopIfTrue="1" operator="equal">
      <formula>15</formula>
    </cfRule>
  </conditionalFormatting>
  <conditionalFormatting sqref="C14:C16">
    <cfRule type="cellIs" dxfId="155" priority="13" stopIfTrue="1" operator="equal">
      <formula>30</formula>
    </cfRule>
  </conditionalFormatting>
  <conditionalFormatting sqref="D5:D7">
    <cfRule type="cellIs" dxfId="154" priority="10" stopIfTrue="1" operator="equal">
      <formula>25</formula>
    </cfRule>
  </conditionalFormatting>
  <conditionalFormatting sqref="D8:D9">
    <cfRule type="cellIs" dxfId="153" priority="9" stopIfTrue="1" operator="equal">
      <formula>15</formula>
    </cfRule>
  </conditionalFormatting>
  <conditionalFormatting sqref="C10:D13">
    <cfRule type="cellIs" dxfId="152" priority="8" stopIfTrue="1" operator="equal">
      <formula>15</formula>
    </cfRule>
  </conditionalFormatting>
  <conditionalFormatting sqref="D14:D16">
    <cfRule type="cellIs" dxfId="151" priority="6"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tabSelected="1" view="pageBreakPreview" zoomScaleNormal="100" zoomScaleSheetLayoutView="100" zoomScalePageLayoutView="80" workbookViewId="0">
      <selection activeCell="E15" sqref="E1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3071</v>
      </c>
      <c r="D4" s="2421" t="s">
        <v>3078</v>
      </c>
      <c r="E4" s="3173" t="s">
        <v>2122</v>
      </c>
      <c r="F4" s="3175"/>
      <c r="G4" s="3175"/>
      <c r="H4" s="3175"/>
      <c r="I4" s="3174"/>
      <c r="K4" s="2422" t="str">
        <f>IF(ISNUMBER(FIND("比较法",'结果表 (3)'!C4)),"比较法",IF(ISNUMBER(FIND("成本法",'结果表 (3)'!C4)),"成本法",IF(ISNUMBER(FIND("假设开发法",'结果表 (3)'!C4)),"假设开发法",IF(ISNUMBER(FIND("收益法",'结果表 (3)'!C4)),"收益法","基准地价系数修正法"))))</f>
        <v>收益法</v>
      </c>
      <c r="L4" s="2422" t="str">
        <f>IF(ISNUMBER(FIND("比较法",'结果表 (3)'!D4)),"比较法",IF(ISNUMBER(FIND("成本法",'结果表 (3)'!D4)),"成本法",IF(ISNUMBER(FIND("假设开发法",'结果表 (3)'!D4)),"假设开发法",IF(ISNUMBER(FIND("收益法",'结果表 (3)'!D4)),"收益法","基准地价系数修正法"))))</f>
        <v>比较法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55</v>
      </c>
      <c r="D14" s="3207">
        <v>45</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55</v>
      </c>
      <c r="D17" s="141">
        <f>SUM(D5:D16)</f>
        <v>45</v>
      </c>
      <c r="E17" s="138"/>
      <c r="F17" s="138"/>
      <c r="G17" s="138"/>
      <c r="H17" s="138"/>
      <c r="I17" s="138"/>
      <c r="K17" s="2422"/>
      <c r="L17" s="2425" t="s">
        <v>2141</v>
      </c>
      <c r="M17" s="2425" t="s">
        <v>2142</v>
      </c>
    </row>
    <row r="18" spans="1:35" ht="15.75" thickBot="1">
      <c r="A18" s="2426" t="s">
        <v>2143</v>
      </c>
      <c r="B18" s="2427"/>
      <c r="C18" s="142">
        <f>ROUND(C17/SUM(C17:D17),2)</f>
        <v>0.55000000000000004</v>
      </c>
      <c r="D18" s="142">
        <f>1-C18</f>
        <v>0.44999999999999996</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 (3)'!B19,INDIRECT("'"&amp;C4&amp;"'"&amp;"!B:B"))</f>
        <v>86</v>
      </c>
      <c r="D19" s="144">
        <f ca="1">SUMIF(INDIRECT("'"&amp;D4&amp;"'"&amp;"!A:A"),'结果表 (3)'!B19,INDIRECT("'"&amp;D4&amp;"'"&amp;"!B:B"))</f>
        <v>149</v>
      </c>
      <c r="E19" s="2428" t="s">
        <v>2147</v>
      </c>
      <c r="F19" s="2429" t="s">
        <v>2146</v>
      </c>
      <c r="G19" s="145">
        <f ca="1">ROUND(C19*$C$18+D19*$D$18,0)</f>
        <v>114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 (3)'!B20,INDIRECT("'"&amp;C4&amp;"'"&amp;"!B:B"))</f>
        <v>8517</v>
      </c>
      <c r="D20" s="147">
        <f ca="1">SUMIF(INDIRECT("'"&amp;D4&amp;"'"&amp;"!A:A"),'结果表 (3)'!B20,INDIRECT("'"&amp;D4&amp;"'"&amp;"!B:B"))</f>
        <v>14793</v>
      </c>
      <c r="E20" s="2431"/>
      <c r="F20" s="1245" t="s">
        <v>2150</v>
      </c>
      <c r="G20" s="148">
        <f ca="1">ROUND(C20*$C$18+D20*$D$18,0)</f>
        <v>11341</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0.73255813953488369</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114</v>
      </c>
      <c r="D32" s="2443" t="s">
        <v>2161</v>
      </c>
      <c r="E32" s="138"/>
      <c r="F32" s="138"/>
      <c r="G32" s="138"/>
      <c r="H32" s="138"/>
      <c r="I32" s="138"/>
    </row>
    <row r="33" spans="1:15" ht="15">
      <c r="A33" s="956" t="s">
        <v>2162</v>
      </c>
      <c r="B33" s="2444"/>
      <c r="C33" s="2445"/>
      <c r="D33" s="2446"/>
      <c r="E33" s="2447" t="s">
        <v>2163</v>
      </c>
      <c r="F33" s="2964" t="str">
        <f>IF(D32="楼面单价","取值（单价）","取值（总价）")</f>
        <v>取值（总价）</v>
      </c>
      <c r="G33" s="138"/>
      <c r="H33" s="138"/>
      <c r="I33" s="138"/>
    </row>
    <row r="34" spans="1:15" ht="15">
      <c r="A34" s="2449"/>
      <c r="B34" s="2450" t="s">
        <v>2164</v>
      </c>
      <c r="C34" s="157" t="e">
        <f ca="1">IF(C33="自定义",F34,C32-C35)</f>
        <v>#REF!</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2156</v>
      </c>
      <c r="C39" s="2462" t="s">
        <v>2157</v>
      </c>
      <c r="D39" s="2462" t="s">
        <v>2176</v>
      </c>
      <c r="E39" s="2463" t="s">
        <v>2158</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f ca="1">ROUND(H101*F45,0)</f>
        <v>114</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2969">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2969">
        <v>2</v>
      </c>
      <c r="K47" s="3185" t="s">
        <v>2193</v>
      </c>
      <c r="L47" s="3185"/>
      <c r="M47" s="3186">
        <f>'数据-取费表'!B2</f>
        <v>43711</v>
      </c>
      <c r="N47" s="3186"/>
      <c r="O47" s="3186"/>
    </row>
    <row r="48" spans="1:15" ht="25.5">
      <c r="A48" s="3187" t="s">
        <v>2194</v>
      </c>
      <c r="B48" s="3182"/>
      <c r="C48" s="3182"/>
      <c r="D48" s="140">
        <f>IF(H48="情况1",0,IF(H48="情况2",D52,IF(H48="情况3",D53,IF(H48="情况4",D54))))</f>
        <v>0</v>
      </c>
      <c r="E48" s="2978" t="str">
        <f>IF(H48="情况4","(销售额-原购置价)×税（费）率","销售额×税（费）率")</f>
        <v>销售额×税（费）率</v>
      </c>
      <c r="F48" s="175" t="str">
        <f>IF(H48="情况1","免征",'数据-取费表'!B41)</f>
        <v>免征</v>
      </c>
      <c r="G48" s="2475" t="s">
        <v>2195</v>
      </c>
      <c r="H48" s="2476" t="s">
        <v>2196</v>
      </c>
      <c r="I48" s="2474"/>
      <c r="J48" s="2969">
        <v>3</v>
      </c>
      <c r="K48" s="3185" t="s">
        <v>2197</v>
      </c>
      <c r="L48" s="3185"/>
      <c r="M48" s="3188">
        <f ca="1">H101</f>
        <v>114</v>
      </c>
      <c r="N48" s="3188"/>
      <c r="O48" s="3188"/>
    </row>
    <row r="49" spans="1:35" ht="25.5" customHeight="1">
      <c r="A49" s="176" t="s">
        <v>2198</v>
      </c>
      <c r="B49" s="3162" t="s">
        <v>2199</v>
      </c>
      <c r="C49" s="3162"/>
      <c r="D49" s="177">
        <v>0</v>
      </c>
      <c r="E49" s="23" t="s">
        <v>2200</v>
      </c>
      <c r="F49" s="28" t="s">
        <v>34</v>
      </c>
      <c r="G49" s="3189"/>
      <c r="H49" s="138"/>
      <c r="I49" s="2477"/>
      <c r="J49" s="2969">
        <v>4</v>
      </c>
      <c r="K49" s="3185" t="str">
        <f>IF(项目基本情况!E8="房地产抵押价值","房地产抵押价值","抵押担保权已注销时的房地产抵押价值")</f>
        <v>房地产抵押价值</v>
      </c>
      <c r="L49" s="3185"/>
      <c r="M49" s="3188">
        <f ca="1">IF(项目基本情况!E8="房地产抵押价值",H107,H109)</f>
        <v>114</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966" t="s">
        <v>2204</v>
      </c>
      <c r="K51" s="3185" t="s">
        <v>2205</v>
      </c>
      <c r="L51" s="3185"/>
      <c r="M51" s="2966" t="s">
        <v>2206</v>
      </c>
      <c r="N51" s="2966" t="s">
        <v>2207</v>
      </c>
      <c r="O51" s="2966" t="s">
        <v>2208</v>
      </c>
    </row>
    <row r="52" spans="1:35" ht="24" customHeight="1">
      <c r="A52" s="183" t="s">
        <v>2209</v>
      </c>
      <c r="B52" s="3162" t="s">
        <v>2210</v>
      </c>
      <c r="C52" s="3162"/>
      <c r="D52" s="182">
        <f ca="1">ROUND(D45*'数据-取费表'!B41/(1+'数据-取费表'!C42),0)</f>
        <v>6</v>
      </c>
      <c r="E52" s="11" t="s">
        <v>2211</v>
      </c>
      <c r="F52" s="184">
        <f>'数据-取费表'!B41</f>
        <v>5.5000000000000007E-2</v>
      </c>
      <c r="G52" s="2479"/>
      <c r="H52" s="138"/>
      <c r="I52" s="2477"/>
      <c r="J52" s="2969">
        <v>1</v>
      </c>
      <c r="K52" s="3169" t="s">
        <v>2212</v>
      </c>
      <c r="L52" s="3169"/>
      <c r="M52" s="1749">
        <f>D48</f>
        <v>0</v>
      </c>
      <c r="N52" s="2969" t="str">
        <f>E48</f>
        <v>销售额×税（费）率</v>
      </c>
      <c r="O52" s="1750" t="str">
        <f>F48</f>
        <v>免征</v>
      </c>
    </row>
    <row r="53" spans="1:35" ht="12" customHeight="1">
      <c r="A53" s="183" t="s">
        <v>2213</v>
      </c>
      <c r="B53" s="3161" t="s">
        <v>2214</v>
      </c>
      <c r="C53" s="3180"/>
      <c r="D53" s="182">
        <f ca="1">ROUND(D45*'数据-取费表'!B41/(1+'数据-取费表'!C42),0)</f>
        <v>6</v>
      </c>
      <c r="E53" s="11" t="s">
        <v>2211</v>
      </c>
      <c r="F53" s="184">
        <f>'数据-取费表'!B41</f>
        <v>5.5000000000000007E-2</v>
      </c>
      <c r="G53" s="2479"/>
      <c r="H53" s="138"/>
      <c r="I53" s="2477"/>
      <c r="J53" s="2969">
        <v>2</v>
      </c>
      <c r="K53" s="3169" t="s">
        <v>2215</v>
      </c>
      <c r="L53" s="3169"/>
      <c r="M53" s="1749">
        <f t="shared" ref="M53:O54" ca="1" si="0">D55</f>
        <v>0</v>
      </c>
      <c r="N53" s="2969" t="str">
        <f t="shared" si="0"/>
        <v>销售额×税（费）率</v>
      </c>
      <c r="O53" s="1750">
        <f t="shared" si="0"/>
        <v>5.0000000000000001E-4</v>
      </c>
    </row>
    <row r="54" spans="1:35" ht="12" customHeight="1">
      <c r="A54" s="183" t="s">
        <v>2216</v>
      </c>
      <c r="B54" s="3161" t="s">
        <v>2217</v>
      </c>
      <c r="C54" s="3180"/>
      <c r="D54" s="182">
        <f ca="1">C68</f>
        <v>6</v>
      </c>
      <c r="E54" s="30" t="s">
        <v>2218</v>
      </c>
      <c r="F54" s="184">
        <f>'数据-取费表'!B41</f>
        <v>5.5000000000000007E-2</v>
      </c>
      <c r="G54" s="2479"/>
      <c r="H54" s="2480"/>
      <c r="I54" s="2477"/>
      <c r="J54" s="2969">
        <v>3</v>
      </c>
      <c r="K54" s="3169" t="s">
        <v>2219</v>
      </c>
      <c r="L54" s="3169"/>
      <c r="M54" s="1749">
        <f t="shared" ca="1" si="0"/>
        <v>64</v>
      </c>
      <c r="N54" s="2969" t="str">
        <f t="shared" si="0"/>
        <v>增值额×税（费）率</v>
      </c>
      <c r="O54" s="1751" t="str">
        <f t="shared" si="0"/>
        <v>——</v>
      </c>
    </row>
    <row r="55" spans="1:35" ht="24" customHeight="1">
      <c r="A55" s="3181" t="s">
        <v>2220</v>
      </c>
      <c r="B55" s="3182"/>
      <c r="C55" s="3182"/>
      <c r="D55" s="185">
        <f ca="1">IF(H55="个人住宅",0,ROUND(D45*I55,0))</f>
        <v>0</v>
      </c>
      <c r="E55" s="11" t="s">
        <v>2221</v>
      </c>
      <c r="F55" s="184">
        <f>IF(H55="正常",I55,"免征")</f>
        <v>5.0000000000000001E-4</v>
      </c>
      <c r="G55" s="2479"/>
      <c r="H55" s="2476" t="s">
        <v>2222</v>
      </c>
      <c r="I55" s="186">
        <f>'数据-取费表'!B49</f>
        <v>5.0000000000000001E-4</v>
      </c>
      <c r="J55" s="2969" t="str">
        <f>IF(H59="非个人房产","",4)</f>
        <v/>
      </c>
      <c r="K55" s="3169" t="str">
        <f>IF(H59="非个人房产","——","个人所得税")</f>
        <v>——</v>
      </c>
      <c r="L55" s="3169"/>
      <c r="M55" s="1752" t="str">
        <f>D59</f>
        <v>——</v>
      </c>
      <c r="N55" s="2970" t="str">
        <f>E59</f>
        <v>——</v>
      </c>
      <c r="O55" s="1753" t="str">
        <f>F59</f>
        <v>——</v>
      </c>
    </row>
    <row r="56" spans="1:35" ht="24.75">
      <c r="A56" s="3181" t="s">
        <v>2223</v>
      </c>
      <c r="B56" s="3182"/>
      <c r="C56" s="3182"/>
      <c r="D56" s="185">
        <f ca="1">IF(H56="个人住宅",D57,D58)</f>
        <v>64</v>
      </c>
      <c r="E56" s="11" t="s">
        <v>2224</v>
      </c>
      <c r="F56" s="184" t="str">
        <f>IF(H56="正常",F58,"免征")</f>
        <v>——</v>
      </c>
      <c r="G56" s="2481" t="s">
        <v>2225</v>
      </c>
      <c r="H56" s="2482" t="s">
        <v>2222</v>
      </c>
      <c r="I56" s="2483"/>
      <c r="J56" s="2969"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 (3)'!J56+1,'结果表 (3)'!J55+1))</f>
        <v>4</v>
      </c>
      <c r="K57" s="3169" t="s">
        <v>2227</v>
      </c>
      <c r="L57" s="2484" t="s">
        <v>2228</v>
      </c>
      <c r="M57" s="1754"/>
      <c r="N57" s="1755">
        <f ca="1">SUMIF(M52:M56,"&lt;9e307")</f>
        <v>64</v>
      </c>
      <c r="O57" s="2485"/>
      <c r="P57" s="1748">
        <f ca="1">N57/M49</f>
        <v>0.56140350877192979</v>
      </c>
    </row>
    <row r="58" spans="1:35" ht="24.75">
      <c r="A58" s="183" t="s">
        <v>2209</v>
      </c>
      <c r="B58" s="3173" t="s">
        <v>2229</v>
      </c>
      <c r="C58" s="3175"/>
      <c r="D58" s="185">
        <f ca="1">IF(H58="转让取得",C81,C97)</f>
        <v>64</v>
      </c>
      <c r="E58" s="11" t="s">
        <v>2224</v>
      </c>
      <c r="F58" s="24" t="s">
        <v>34</v>
      </c>
      <c r="G58" s="2479"/>
      <c r="H58" s="2482" t="s">
        <v>2230</v>
      </c>
      <c r="I58" s="2483"/>
      <c r="J58" s="3169"/>
      <c r="K58" s="3169"/>
      <c r="L58" s="2484" t="s">
        <v>2231</v>
      </c>
      <c r="M58" s="1756"/>
      <c r="N58" s="2486" t="str">
        <f ca="1">NUMBERSTRING(INT(N57*10000),2)&amp;"元整"</f>
        <v>陆拾肆万元整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2969" t="s">
        <v>2228</v>
      </c>
      <c r="M59" s="1757"/>
      <c r="N59" s="1758">
        <f ca="1">M49-N57</f>
        <v>50</v>
      </c>
      <c r="O59" s="2489"/>
    </row>
    <row r="60" spans="1:35" ht="12" customHeight="1">
      <c r="A60" s="2490"/>
      <c r="B60" s="2412"/>
      <c r="C60" s="2412"/>
      <c r="D60" s="2412"/>
      <c r="E60" s="2159"/>
      <c r="F60" s="2483"/>
      <c r="G60" s="2483"/>
      <c r="H60" s="2491"/>
      <c r="I60" s="138"/>
      <c r="J60" s="3179"/>
      <c r="K60" s="3169"/>
      <c r="L60" s="2484" t="s">
        <v>2231</v>
      </c>
      <c r="M60" s="1756"/>
      <c r="N60" s="2486" t="str">
        <f ca="1">NUMBERSTRING(INT(N59*10000),2)&amp;"元整"</f>
        <v>伍拾万元整</v>
      </c>
      <c r="O60" s="2487"/>
    </row>
    <row r="61" spans="1:35" ht="13.5" thickBot="1">
      <c r="A61" s="3168" t="s">
        <v>2235</v>
      </c>
      <c r="B61" s="3168"/>
      <c r="C61" s="3168"/>
      <c r="D61" s="3168"/>
      <c r="E61" s="3168"/>
      <c r="F61" s="2483"/>
      <c r="G61" s="2483"/>
      <c r="H61" s="2491"/>
      <c r="I61" s="138"/>
      <c r="J61" s="2969">
        <f>J59+1</f>
        <v>6</v>
      </c>
      <c r="K61" s="3169" t="s">
        <v>2236</v>
      </c>
      <c r="L61" s="3169"/>
      <c r="M61" s="1759"/>
      <c r="N61" s="1760">
        <f ca="1">ROUND(N59*10000/'数据-汇总表'!E3,0)</f>
        <v>125</v>
      </c>
      <c r="O61" s="2492"/>
    </row>
    <row r="62" spans="1:35" ht="12.75">
      <c r="A62" s="3166" t="s">
        <v>2237</v>
      </c>
      <c r="B62" s="3167"/>
      <c r="C62" s="2974"/>
      <c r="D62" s="2974" t="s">
        <v>2238</v>
      </c>
      <c r="E62" s="192" t="s">
        <v>2239</v>
      </c>
      <c r="F62" s="2483"/>
      <c r="G62" s="2483"/>
      <c r="H62" s="2491"/>
      <c r="I62" s="138"/>
    </row>
    <row r="63" spans="1:35" ht="12.75">
      <c r="A63" s="203" t="s">
        <v>775</v>
      </c>
      <c r="B63" s="193" t="s">
        <v>2240</v>
      </c>
      <c r="C63" s="194">
        <f ca="1">ROUND((C64+C65)/(1+'数据-取费表'!C42),0)</f>
        <v>109</v>
      </c>
      <c r="D63" s="195"/>
      <c r="E63" s="196"/>
      <c r="F63" s="2483"/>
      <c r="G63" s="2483"/>
      <c r="H63" s="2491"/>
      <c r="I63" s="138"/>
      <c r="J63" s="3170" t="s">
        <v>2241</v>
      </c>
      <c r="K63" s="2967" t="s">
        <v>2242</v>
      </c>
      <c r="L63" s="1747">
        <f ca="1">IF(M49&gt;10000,M49*0.5%,IF(AND(M49&gt;1000,M49&lt;=10000),M49*1%,IF(AND(M49&gt;100,M49&lt;=1000),M49*3%,IF(AND(M49&gt;10,M49&lt;=100),M49*5%,M49*8%))))</f>
        <v>3.42</v>
      </c>
      <c r="M63" s="24">
        <f ca="1">ROUND(L63,1)</f>
        <v>3.4</v>
      </c>
      <c r="Z63" s="2417"/>
      <c r="AI63" s="2418"/>
    </row>
    <row r="64" spans="1:35" ht="14.25" customHeight="1">
      <c r="A64" s="197" t="s">
        <v>770</v>
      </c>
      <c r="B64" s="198" t="s">
        <v>2243</v>
      </c>
      <c r="C64" s="199">
        <f ca="1">D45</f>
        <v>114</v>
      </c>
      <c r="D64" s="200" t="s">
        <v>32</v>
      </c>
      <c r="E64" s="201"/>
      <c r="F64" s="2483"/>
      <c r="G64" s="2483"/>
      <c r="H64" s="2491"/>
      <c r="I64" s="138"/>
      <c r="J64" s="3170"/>
      <c r="K64" s="2967" t="s">
        <v>2244</v>
      </c>
      <c r="L64" s="1747">
        <f ca="1">IF(M49&gt;2000,M49*0.5%,IF(AND(M49&gt;1000,M49&lt;=2000),M49*0.6%,IF(AND(M49&gt;500,M49&lt;=1000),M49*0.7%,IF(AND(M49&gt;200,M49&lt;=500),M49*0.8%,IF(AND(M49&gt;100,M49&lt;=200),M49*0.9%,IF(AND(M49&gt;50,M49&lt;=100),M49*1%,IF(AND(M49&gt;20,M49&lt;=50),M49*1.5%,IF(AND(M49&gt;10,M49&lt;=20),M49*2%,IF(AND(M49&gt;1,M49&lt;=10),M49*2.5%)))))))))</f>
        <v>1.026</v>
      </c>
      <c r="M64" s="24">
        <f t="shared" ref="M64:M65" ca="1" si="1">ROUND(L64,1)</f>
        <v>1</v>
      </c>
      <c r="N64" s="138" t="s">
        <v>2245</v>
      </c>
      <c r="Z64" s="2417"/>
      <c r="AI64" s="2418"/>
    </row>
    <row r="65" spans="1:35" ht="14.25" customHeight="1">
      <c r="A65" s="197" t="s">
        <v>771</v>
      </c>
      <c r="B65" s="198" t="s">
        <v>2246</v>
      </c>
      <c r="C65" s="202"/>
      <c r="D65" s="200"/>
      <c r="E65" s="201"/>
      <c r="F65" s="2483"/>
      <c r="G65" s="2483"/>
      <c r="H65" s="2491"/>
      <c r="I65" s="138"/>
      <c r="J65" s="3170"/>
      <c r="K65" s="2967" t="s">
        <v>2247</v>
      </c>
      <c r="L65" s="1747">
        <f ca="1">IF(M49&gt;1000,M49*0.1%,IF(AND(M49&gt;500,M49&lt;=1000),M49*0.5%,IF(AND(M49&gt;50,M49&lt;=500),M49*1%,IF(AND(M49&gt;1,M49&lt;=50),M49*1.5%))))</f>
        <v>1.1400000000000001</v>
      </c>
      <c r="M65" s="24">
        <f t="shared" ca="1" si="1"/>
        <v>1.1000000000000001</v>
      </c>
      <c r="N65" s="138" t="s">
        <v>2245</v>
      </c>
      <c r="Z65" s="2417"/>
      <c r="AI65" s="2418"/>
    </row>
    <row r="66" spans="1:35" ht="14.25" customHeight="1">
      <c r="A66" s="203" t="s">
        <v>772</v>
      </c>
      <c r="B66" s="204" t="s">
        <v>2248</v>
      </c>
      <c r="C66" s="205"/>
      <c r="D66" s="206" t="s">
        <v>32</v>
      </c>
      <c r="E66" s="1771" t="s">
        <v>1367</v>
      </c>
      <c r="F66" s="2483"/>
      <c r="G66" s="2483"/>
      <c r="H66" s="2491"/>
      <c r="I66" s="138"/>
      <c r="J66" s="3170"/>
      <c r="K66" s="2967" t="s">
        <v>2249</v>
      </c>
      <c r="L66" s="1747">
        <f ca="1">M49*0.5%</f>
        <v>0.57000000000000006</v>
      </c>
      <c r="M66" s="24">
        <f ca="1">IF(L66&gt;0.5,0.5,ROUND(L66,0))</f>
        <v>0.5</v>
      </c>
      <c r="N66" s="138" t="s">
        <v>2250</v>
      </c>
      <c r="Z66" s="2417"/>
      <c r="AI66" s="2418"/>
    </row>
    <row r="67" spans="1:35" ht="14.25" customHeight="1">
      <c r="A67" s="203" t="s">
        <v>773</v>
      </c>
      <c r="B67" s="204" t="s">
        <v>2251</v>
      </c>
      <c r="C67" s="207">
        <f ca="1">C63-C66</f>
        <v>109</v>
      </c>
      <c r="D67" s="200" t="s">
        <v>32</v>
      </c>
      <c r="E67" s="201"/>
      <c r="F67" s="2483"/>
      <c r="G67" s="2483"/>
      <c r="H67" s="2491"/>
      <c r="I67" s="138"/>
      <c r="J67" s="3170"/>
      <c r="K67" s="2967" t="s">
        <v>2252</v>
      </c>
      <c r="L67" s="1747">
        <f ca="1">IF(M49&gt;=10000,(8.25+(M49-10000)*0.01%),IF(AND(M49&gt;=8000,M49&lt;10000),(7.85+(M49-8000)*0.02%),IF(AND(M49&gt;=5000,M49&lt;8000),(6.65+(M49-5000)*0.04%),IF(AND(M49&gt;=2000,M49&lt;5000),(4.25+(PM49-2000)*0.08%),IF(AND(M49&gt;=1000,M49&lt;2000),(2.75+(M49-1000)*0.15%),IF(AND(M49&gt;=100,M49&lt;1000),(0.5+(M49-100)*0.25%),IF(AND(M49&gt;0,M49&lt;100),M49*0.5%)))))))</f>
        <v>0.53500000000000003</v>
      </c>
      <c r="M67" s="24">
        <f ca="1">ROUND(L67*0.9,1)</f>
        <v>0.5</v>
      </c>
      <c r="Z67" s="2417"/>
      <c r="AI67" s="2418"/>
    </row>
    <row r="68" spans="1:35" ht="14.25" customHeight="1" thickBot="1">
      <c r="A68" s="208" t="s">
        <v>774</v>
      </c>
      <c r="B68" s="209" t="s">
        <v>2253</v>
      </c>
      <c r="C68" s="210">
        <f ca="1">IF(C67&lt;=0,0,ROUND(C67*D68,0))</f>
        <v>6</v>
      </c>
      <c r="D68" s="211">
        <f>'数据-取费表'!B41</f>
        <v>5.5000000000000007E-2</v>
      </c>
      <c r="E68" s="212"/>
      <c r="F68" s="2483"/>
      <c r="G68" s="2483"/>
      <c r="H68" s="2491"/>
      <c r="I68" s="138"/>
      <c r="J68" s="3170"/>
      <c r="K68" s="2967" t="s">
        <v>2254</v>
      </c>
      <c r="L68" s="1747">
        <f ca="1">IF(M49&gt;10000,M49*0.5%,IF(AND(M49&gt;5000,M49&lt;=10000),M49*1%,IF(AND(M49&gt;1000,M49&lt;=5000),M49*2%,IF(AND(M49&gt;200,M49&lt;=1000),M49*3%,M49*5%))))</f>
        <v>5.7</v>
      </c>
      <c r="M68" s="24">
        <f ca="1">ROUND(L68,1)</f>
        <v>5.7</v>
      </c>
      <c r="Z68" s="2417"/>
      <c r="AI68" s="2418"/>
    </row>
    <row r="69" spans="1:35" s="2440" customFormat="1" ht="16.5" customHeight="1">
      <c r="A69" s="2494"/>
      <c r="B69" s="2495"/>
      <c r="C69" s="2496"/>
      <c r="D69" s="2497"/>
      <c r="E69" s="2498"/>
      <c r="F69" s="2159"/>
      <c r="G69" s="2159"/>
      <c r="H69" s="2158"/>
      <c r="I69" s="2412"/>
      <c r="J69" s="3170"/>
      <c r="K69" s="2967" t="s">
        <v>2255</v>
      </c>
      <c r="L69" s="2499"/>
      <c r="M69" s="24">
        <f ca="1">ROUND(SUM(M63:M68),0)</f>
        <v>12</v>
      </c>
      <c r="N69" s="1748">
        <f ca="1">M69/M49</f>
        <v>0.10526315789473684</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2974"/>
      <c r="D71" s="297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109</v>
      </c>
      <c r="D72" s="200" t="s">
        <v>32</v>
      </c>
      <c r="E72" s="2976"/>
      <c r="F72" s="2975"/>
      <c r="G72" s="2975"/>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1</v>
      </c>
      <c r="D73" s="200" t="s">
        <v>32</v>
      </c>
      <c r="E73" s="2976"/>
      <c r="F73" s="2975"/>
      <c r="G73" s="2975"/>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76"/>
      <c r="F74" s="2975"/>
      <c r="G74" s="2975"/>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8" t="s">
        <v>2267</v>
      </c>
      <c r="F77" s="224"/>
      <c r="G77" s="2507" t="s">
        <v>2268</v>
      </c>
      <c r="H77" s="297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1</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f ca="1">C72-C73</f>
        <v>108</v>
      </c>
      <c r="D79" s="200" t="s">
        <v>32</v>
      </c>
      <c r="E79" s="2976"/>
      <c r="F79" s="2975"/>
      <c r="G79" s="2975"/>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108</v>
      </c>
      <c r="D80" s="200" t="s">
        <v>32</v>
      </c>
      <c r="E80" s="2968" t="str">
        <f ca="1">IF(C80&gt;=200%,"增值额超过扣除项目金额200%",IF(C80&gt;=100%,"增值额超过扣除项目金额100%，未超过200%",IF(C80&gt;=50%,"增值额超过扣除项目金额50%，未超过100%",IF(C80&lt;50%,"增值额未超过扣除项目金额50%"))))</f>
        <v>增值额超过扣除项目金额200%</v>
      </c>
      <c r="F80" s="2975"/>
      <c r="G80" s="2975"/>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64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2974"/>
      <c r="D84" s="297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109</v>
      </c>
      <c r="D85" s="200" t="s">
        <v>32</v>
      </c>
      <c r="E85" s="2976"/>
      <c r="F85" s="2975"/>
      <c r="G85" s="2975"/>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1</v>
      </c>
      <c r="D86" s="235"/>
      <c r="E86" s="2976"/>
      <c r="F86" s="2975"/>
      <c r="G86" s="2975"/>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71"/>
      <c r="F87" s="2972"/>
      <c r="G87" s="2972"/>
      <c r="H87" s="2973"/>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72"/>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72"/>
      <c r="G89" s="2972"/>
      <c r="H89" s="2973"/>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72"/>
      <c r="G90" s="2972"/>
      <c r="H90" s="2973"/>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1</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f ca="1">ROUND(C85-C86,0)</f>
        <v>108</v>
      </c>
      <c r="D95" s="200" t="s">
        <v>32</v>
      </c>
      <c r="E95" s="2976"/>
      <c r="F95" s="2975"/>
      <c r="G95" s="2975"/>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108</v>
      </c>
      <c r="D96" s="200" t="s">
        <v>32</v>
      </c>
      <c r="E96" s="2968" t="str">
        <f ca="1">IF(C96&gt;=200%,"增值额超过扣除项目金额200%",IF(C96&gt;=100%,"增值额超过扣除项目金额100%，未超过200%",IF(C96&gt;=50%,"增值额超过扣除项目金额50%，未超过100%",IF(C96&lt;50%,"增值额未超过扣除项目金额50%"))))</f>
        <v>增值额超过扣除项目金额200%</v>
      </c>
      <c r="F96" s="2975"/>
      <c r="G96" s="2975"/>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64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收益法</v>
      </c>
      <c r="D101" s="736" t="str">
        <f>D4</f>
        <v>比较法-商业</v>
      </c>
      <c r="E101" s="3158" t="s">
        <v>2296</v>
      </c>
      <c r="F101" s="3140"/>
      <c r="G101" s="2514" t="s">
        <v>2297</v>
      </c>
      <c r="H101" s="1043">
        <f ca="1">H118</f>
        <v>114</v>
      </c>
      <c r="I101" s="138"/>
    </row>
    <row r="102" spans="1:35" ht="18.75" customHeight="1">
      <c r="A102" s="3137" t="s">
        <v>2298</v>
      </c>
      <c r="B102" s="2514" t="s">
        <v>2297</v>
      </c>
      <c r="C102" s="735">
        <f ca="1">C19</f>
        <v>86</v>
      </c>
      <c r="D102" s="736">
        <f ca="1">D19</f>
        <v>149</v>
      </c>
      <c r="E102" s="3158"/>
      <c r="F102" s="3140"/>
      <c r="G102" s="2514" t="s">
        <v>2299</v>
      </c>
      <c r="H102" s="371">
        <f ca="1">I118</f>
        <v>286</v>
      </c>
      <c r="I102" s="138"/>
    </row>
    <row r="103" spans="1:35" ht="42.75" customHeight="1">
      <c r="A103" s="3137"/>
      <c r="B103" s="2514" t="s">
        <v>2299</v>
      </c>
      <c r="C103" s="737">
        <f ca="1">C20</f>
        <v>8517</v>
      </c>
      <c r="D103" s="738">
        <f ca="1">D20</f>
        <v>14793</v>
      </c>
      <c r="E103" s="3159" t="s">
        <v>2300</v>
      </c>
      <c r="F103" s="3160"/>
      <c r="G103" s="2515" t="s">
        <v>2301</v>
      </c>
      <c r="H103" s="1043">
        <f>IF(D36="正常操作",H104+H105+H106,H105+H106)</f>
        <v>0</v>
      </c>
      <c r="I103" s="138"/>
    </row>
    <row r="104" spans="1:35" ht="18.75" customHeight="1">
      <c r="A104" s="3137" t="s">
        <v>2302</v>
      </c>
      <c r="B104" s="2516" t="s">
        <v>2297</v>
      </c>
      <c r="C104" s="739">
        <f ca="1">H118</f>
        <v>114</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f ca="1">I118</f>
        <v>286</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f ca="1">IF(E107="——","——",H101-H103)</f>
        <v>114</v>
      </c>
      <c r="I107" s="138"/>
    </row>
    <row r="108" spans="1:35" ht="18.75" customHeight="1">
      <c r="A108" s="138"/>
      <c r="B108" s="138"/>
      <c r="C108" s="138"/>
      <c r="D108" s="138"/>
      <c r="E108" s="3139"/>
      <c r="F108" s="3140"/>
      <c r="G108" s="2514" t="s">
        <v>2299</v>
      </c>
      <c r="H108" s="371">
        <f ca="1">ROUND(H107*10000/'数据-汇总表'!E3,0)</f>
        <v>286</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2965" t="s">
        <v>2314</v>
      </c>
      <c r="E117" s="2965" t="s">
        <v>2315</v>
      </c>
      <c r="F117" s="2965" t="s">
        <v>2314</v>
      </c>
      <c r="G117" s="2965" t="s">
        <v>2316</v>
      </c>
      <c r="H117" s="2965" t="s">
        <v>2314</v>
      </c>
      <c r="I117" s="2965" t="s">
        <v>2316</v>
      </c>
    </row>
    <row r="118" spans="1:11" ht="24.75" customHeight="1">
      <c r="A118" s="2520" t="str">
        <f>项目基本情况!S2</f>
        <v>江苏省泰州市泰兴市虹桥镇宏泰花苑商业1幢、2幢房地产</v>
      </c>
      <c r="B118" s="2965">
        <f>M18</f>
        <v>3992.9400000000005</v>
      </c>
      <c r="C118" s="2965">
        <f>M19</f>
        <v>0</v>
      </c>
      <c r="D118" s="2965" t="e">
        <f ca="1">ROUND(IF(D32="总价",C34,E118*B118/10000),0)</f>
        <v>#REF!</v>
      </c>
      <c r="E118" s="2965" t="e">
        <f ca="1">ROUND(IF(C33="自定义",IF(D32="楼面单价",C34,D118*10000/B118),I118-G118),0)</f>
        <v>#REF!</v>
      </c>
      <c r="F118" s="2965" t="e">
        <f ca="1">ROUND(IF(D32="总价",C35,G118*B118/10000),0)</f>
        <v>#REF!</v>
      </c>
      <c r="G118" s="2965" t="e">
        <f ca="1">ROUND(IF(D32="楼面单价",C35,F118*10000/B118),0)</f>
        <v>#REF!</v>
      </c>
      <c r="H118" s="2965">
        <f ca="1">ROUND(IF(D32="总价",C32,I118*B118/10000),0)</f>
        <v>114</v>
      </c>
      <c r="I118" s="2965">
        <f ca="1">ROUND(IF(D32="楼面单价",C32,H118*10000/B118),0)</f>
        <v>286</v>
      </c>
    </row>
    <row r="119" spans="1:11" ht="18.75" customHeight="1">
      <c r="A119" s="3072" t="s">
        <v>2317</v>
      </c>
      <c r="B119" s="3072"/>
      <c r="C119" s="3072"/>
      <c r="D119" s="3121" t="e">
        <f ca="1">NUMBERSTRING(INT(D118*10000),2)&amp;"元整"</f>
        <v>#REF!</v>
      </c>
      <c r="E119" s="3123"/>
      <c r="F119" s="3121" t="e">
        <f ca="1">NUMBERSTRING(INT(F118*10000),2)&amp;"元整"</f>
        <v>#REF!</v>
      </c>
      <c r="G119" s="3123"/>
      <c r="H119" s="3121" t="str">
        <f ca="1">NUMBERSTRING(INT(H118*10000),2)&amp;"元整"</f>
        <v>壹佰壹拾肆万元整</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f ca="1">H107</f>
        <v>114</v>
      </c>
      <c r="E122" s="3127"/>
      <c r="F122" s="3127"/>
      <c r="G122" s="3127"/>
      <c r="H122" s="3127"/>
      <c r="I122" s="3128"/>
    </row>
    <row r="123" spans="1:11" ht="18.75" customHeight="1">
      <c r="A123" s="3072" t="s">
        <v>2317</v>
      </c>
      <c r="B123" s="3072"/>
      <c r="C123" s="3072"/>
      <c r="D123" s="3121" t="str">
        <f ca="1">NUMBERSTRING(INT(D122*10000),2)&amp;"元整"</f>
        <v>壹佰壹拾肆万元整</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47" priority="10" stopIfTrue="1" operator="equal">
      <formula>25</formula>
    </cfRule>
  </conditionalFormatting>
  <conditionalFormatting sqref="C8:C9">
    <cfRule type="cellIs" dxfId="146" priority="9" stopIfTrue="1" operator="equal">
      <formula>15</formula>
    </cfRule>
  </conditionalFormatting>
  <conditionalFormatting sqref="C14:C16">
    <cfRule type="cellIs" dxfId="145" priority="8" stopIfTrue="1" operator="equal">
      <formula>30</formula>
    </cfRule>
  </conditionalFormatting>
  <conditionalFormatting sqref="D5:D7">
    <cfRule type="cellIs" dxfId="144" priority="7" stopIfTrue="1" operator="equal">
      <formula>25</formula>
    </cfRule>
  </conditionalFormatting>
  <conditionalFormatting sqref="D8:D9">
    <cfRule type="cellIs" dxfId="143" priority="6" stopIfTrue="1" operator="equal">
      <formula>15</formula>
    </cfRule>
  </conditionalFormatting>
  <conditionalFormatting sqref="C10:D13">
    <cfRule type="cellIs" dxfId="142" priority="5" stopIfTrue="1" operator="equal">
      <formula>15</formula>
    </cfRule>
  </conditionalFormatting>
  <conditionalFormatting sqref="D14:D16">
    <cfRule type="cellIs" dxfId="141" priority="4" stopIfTrue="1" operator="equal">
      <formula>30</formula>
    </cfRule>
  </conditionalFormatting>
  <conditionalFormatting sqref="C90">
    <cfRule type="expression" dxfId="140" priority="3" stopIfTrue="1">
      <formula>$H$88&lt;&gt;"仅含出让金"</formula>
    </cfRule>
  </conditionalFormatting>
  <conditionalFormatting sqref="C91">
    <cfRule type="expression" dxfId="139" priority="2" stopIfTrue="1">
      <formula>$H$91="由企业提供"</formula>
    </cfRule>
  </conditionalFormatting>
  <conditionalFormatting sqref="E36">
    <cfRule type="expression" dxfId="13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19"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34"/>
      <c r="C1" s="242"/>
      <c r="D1" s="242"/>
      <c r="E1" s="242"/>
      <c r="F1" s="242"/>
      <c r="G1" s="1377">
        <f>MATCH(B1,'数据-取费表'!A6:A16,0)+5</f>
        <v>8</v>
      </c>
    </row>
    <row r="2" spans="1:9" s="244" customFormat="1" ht="18" customHeight="1">
      <c r="A2" s="245" t="s">
        <v>2327</v>
      </c>
      <c r="B2" s="246" t="e">
        <f ca="1">IF(D2="——",C52,C52-E2)</f>
        <v>#DIV/0!</v>
      </c>
      <c r="C2" s="243" t="s">
        <v>2328</v>
      </c>
      <c r="D2" s="2543" t="s">
        <v>70</v>
      </c>
      <c r="E2" s="1438" t="e">
        <f ca="1">SUMIF(INDIRECT("'"&amp;G2&amp;"'"&amp;"!A:A"),"承租人权益价值",INDIRECT("'"&amp;G2&amp;"'"&amp;"!c:c"))</f>
        <v>#REF!</v>
      </c>
      <c r="F2" s="2544" t="s">
        <v>2328</v>
      </c>
      <c r="G2" s="2545"/>
    </row>
    <row r="3" spans="1:9" s="244" customFormat="1" ht="18" customHeight="1" thickBot="1">
      <c r="A3" s="247" t="s">
        <v>2329</v>
      </c>
      <c r="B3" s="248" t="e">
        <f ca="1">ROUND(B2*10000/(IF(B1="",'数据-汇总表'!E3,INDIRECT("'数据-取费表'!k"&amp;$G$1))),0)</f>
        <v>#DIV/0!</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t="e">
        <f>C6+C7+C8</f>
        <v>#DIV/0!</v>
      </c>
      <c r="D5" s="255" t="s">
        <v>2334</v>
      </c>
      <c r="E5" s="256" t="s">
        <v>2335</v>
      </c>
      <c r="F5" s="256" t="s">
        <v>2336</v>
      </c>
      <c r="G5" s="257"/>
    </row>
    <row r="6" spans="1:9" s="258" customFormat="1" ht="13.5" customHeight="1">
      <c r="A6" s="948" t="s">
        <v>2337</v>
      </c>
      <c r="B6" s="259" t="s">
        <v>2338</v>
      </c>
      <c r="C6" s="260" t="e">
        <f>'土地比较法-住宅、综合'!B2</f>
        <v>#DIV/0!</v>
      </c>
      <c r="D6" s="261"/>
      <c r="E6" s="262"/>
      <c r="F6" s="262"/>
      <c r="G6" s="263"/>
    </row>
    <row r="7" spans="1:9" s="258" customFormat="1" ht="13.5" customHeight="1">
      <c r="A7" s="948" t="s">
        <v>2339</v>
      </c>
      <c r="B7" s="259" t="s">
        <v>2340</v>
      </c>
      <c r="C7" s="264" t="e">
        <f>ROUND(C6*F7,0)</f>
        <v>#DIV/0!</v>
      </c>
      <c r="D7" s="264"/>
      <c r="E7" s="262"/>
      <c r="F7" s="265">
        <f>IF(项目基本情况!B8="出让",0,'数据-取费表'!B48+'数据-取费表'!B49)</f>
        <v>3.0499999999999999E-2</v>
      </c>
      <c r="G7" s="263"/>
    </row>
    <row r="8" spans="1:9" s="267" customFormat="1">
      <c r="A8" s="948" t="s">
        <v>2341</v>
      </c>
      <c r="B8" s="259" t="s">
        <v>2342</v>
      </c>
      <c r="C8" s="264">
        <f>IF(G8="已包含在土地购买价格中","0",IF(B1="",'数据-取费表'!B29,IF(G9="全部缴纳",C9+C10,H9)))</f>
        <v>60</v>
      </c>
      <c r="D8" s="266"/>
      <c r="E8" s="264"/>
      <c r="F8" s="265"/>
      <c r="G8" s="2546" t="s">
        <v>3081</v>
      </c>
    </row>
    <row r="9" spans="1:9" s="258" customFormat="1" ht="13.5" customHeight="1">
      <c r="A9" s="949" t="s">
        <v>800</v>
      </c>
      <c r="B9" s="268" t="s">
        <v>2343</v>
      </c>
      <c r="C9" s="269">
        <f ca="1">ROUND(D9*E9/10000,0)</f>
        <v>0</v>
      </c>
      <c r="D9" s="1031">
        <f ca="1">IF(B1="",'数据-汇总表'!E5,IF(INDIRECT("'数据-取费表'!c"&amp;$G$1)="住宅",INDIRECT("'数据-取费表'!k"&amp;$G$1),0))</f>
        <v>0</v>
      </c>
      <c r="E9" s="269">
        <f>'数据-取费表'!B27</f>
        <v>150</v>
      </c>
      <c r="F9" s="265"/>
      <c r="G9" s="2547" t="s">
        <v>3082</v>
      </c>
      <c r="H9" s="1388"/>
      <c r="I9" s="2548" t="s">
        <v>2344</v>
      </c>
    </row>
    <row r="10" spans="1:9" s="258" customFormat="1" ht="13.5" customHeight="1">
      <c r="A10" s="949" t="s">
        <v>801</v>
      </c>
      <c r="B10" s="268" t="s">
        <v>2345</v>
      </c>
      <c r="C10" s="269">
        <f ca="1">ROUND(D10*E10/10000,0)</f>
        <v>60</v>
      </c>
      <c r="D10" s="1031">
        <f ca="1">IF(B1="",'数据-汇总表'!E6,IF(INDIRECT("'数据-取费表'!c"&amp;$G$1)="住宅",INDIRECT("'数据-取费表'!s"&amp;$G$1),INDIRECT("'数据-取费表'!k"&amp;$G$1)+INDIRECT("'数据-取费表'!s"&amp;$G$1)))</f>
        <v>3992.9400000000005</v>
      </c>
      <c r="E10" s="269">
        <f>'数据-取费表'!B28</f>
        <v>150</v>
      </c>
      <c r="F10" s="265"/>
      <c r="G10" s="270"/>
    </row>
    <row r="11" spans="1:9" s="258" customFormat="1" ht="13.5" hidden="1" customHeight="1">
      <c r="A11" s="271" t="s">
        <v>7</v>
      </c>
      <c r="B11" s="259" t="s">
        <v>2346</v>
      </c>
      <c r="C11" s="255"/>
      <c r="D11" s="1033"/>
      <c r="E11" s="262"/>
      <c r="F11" s="262"/>
      <c r="G11" s="263"/>
    </row>
    <row r="12" spans="1:9" s="258" customFormat="1" ht="13.5" hidden="1" customHeight="1">
      <c r="A12" s="271" t="s">
        <v>8</v>
      </c>
      <c r="B12" s="259" t="s">
        <v>2347</v>
      </c>
      <c r="C12" s="255">
        <v>0</v>
      </c>
      <c r="D12" s="1033"/>
      <c r="E12" s="272"/>
      <c r="F12" s="265">
        <v>3.0499999999999999E-2</v>
      </c>
      <c r="G12" s="263"/>
    </row>
    <row r="13" spans="1:9" s="258" customFormat="1" ht="13.5" hidden="1" customHeight="1">
      <c r="A13" s="271" t="s">
        <v>9</v>
      </c>
      <c r="B13" s="259" t="s">
        <v>2348</v>
      </c>
      <c r="C13" s="255"/>
      <c r="D13" s="1033"/>
      <c r="E13" s="262"/>
      <c r="F13" s="262"/>
      <c r="G13" s="263"/>
    </row>
    <row r="14" spans="1:9" s="258" customFormat="1" ht="13.5" hidden="1" customHeight="1">
      <c r="A14" s="271" t="s">
        <v>10</v>
      </c>
      <c r="B14" s="259" t="s">
        <v>2349</v>
      </c>
      <c r="C14" s="255"/>
      <c r="D14" s="1033"/>
      <c r="E14" s="262"/>
      <c r="F14" s="262"/>
      <c r="G14" s="263" t="s">
        <v>2350</v>
      </c>
    </row>
    <row r="15" spans="1:9" s="258" customFormat="1" ht="13.5" hidden="1" customHeight="1">
      <c r="A15" s="271" t="s">
        <v>11</v>
      </c>
      <c r="B15" s="259" t="s">
        <v>2351</v>
      </c>
      <c r="C15" s="264"/>
      <c r="D15" s="1033"/>
      <c r="E15" s="262"/>
      <c r="F15" s="262"/>
      <c r="G15" s="263" t="s">
        <v>2352</v>
      </c>
    </row>
    <row r="16" spans="1:9" s="258" customFormat="1" ht="13.5" hidden="1" customHeight="1">
      <c r="A16" s="271" t="s">
        <v>12</v>
      </c>
      <c r="B16" s="259" t="s">
        <v>2349</v>
      </c>
      <c r="C16" s="264"/>
      <c r="D16" s="1033"/>
      <c r="E16" s="262"/>
      <c r="F16" s="262"/>
      <c r="G16" s="263"/>
    </row>
    <row r="17" spans="1:7" s="258" customFormat="1" ht="13.5" hidden="1" customHeight="1">
      <c r="A17" s="271" t="s">
        <v>13</v>
      </c>
      <c r="B17" s="259" t="s">
        <v>2353</v>
      </c>
      <c r="C17" s="273"/>
      <c r="D17" s="1034"/>
      <c r="E17" s="273"/>
      <c r="F17" s="273"/>
      <c r="G17" s="263" t="s">
        <v>2352</v>
      </c>
    </row>
    <row r="18" spans="1:7" s="258" customFormat="1" ht="13.5" hidden="1" customHeight="1">
      <c r="A18" s="271" t="s">
        <v>14</v>
      </c>
      <c r="B18" s="259" t="s">
        <v>2354</v>
      </c>
      <c r="C18" s="264">
        <v>0</v>
      </c>
      <c r="D18" s="1033"/>
      <c r="E18" s="262"/>
      <c r="F18" s="265">
        <v>3.0499999999999999E-2</v>
      </c>
      <c r="G18" s="263" t="s">
        <v>2355</v>
      </c>
    </row>
    <row r="19" spans="1:7" s="267" customFormat="1" ht="13.5" customHeight="1">
      <c r="A19" s="299" t="s">
        <v>2356</v>
      </c>
      <c r="B19" s="254" t="s">
        <v>2357</v>
      </c>
      <c r="C19" s="255" t="str">
        <f>IF(G19="已包含在土地取得成本中","0",ROUND(D19*E19/10000,0))</f>
        <v>0</v>
      </c>
      <c r="D19" s="1035">
        <f ca="1">D9+D10</f>
        <v>3992.9400000000005</v>
      </c>
      <c r="E19" s="255">
        <f>'数据-取费表'!B31</f>
        <v>200</v>
      </c>
      <c r="F19" s="275"/>
      <c r="G19" s="2546" t="s">
        <v>3083</v>
      </c>
    </row>
    <row r="20" spans="1:7" s="258" customFormat="1" ht="13.5" customHeight="1">
      <c r="A20" s="299" t="s">
        <v>2358</v>
      </c>
      <c r="B20" s="254" t="s">
        <v>2359</v>
      </c>
      <c r="C20" s="276" t="e">
        <f>ROUND((C5+C19)*F20,0)</f>
        <v>#DIV/0!</v>
      </c>
      <c r="D20" s="276"/>
      <c r="E20" s="276"/>
      <c r="F20" s="277">
        <f>'数据-取费表'!B37</f>
        <v>0.01</v>
      </c>
      <c r="G20" s="278" t="s">
        <v>2360</v>
      </c>
    </row>
    <row r="21" spans="1:7" s="258" customFormat="1" ht="13.5" customHeight="1">
      <c r="A21" s="299" t="s">
        <v>2361</v>
      </c>
      <c r="B21" s="254" t="s">
        <v>2362</v>
      </c>
      <c r="C21" s="279">
        <f>F21</f>
        <v>0.01</v>
      </c>
      <c r="D21" s="280" t="s">
        <v>2363</v>
      </c>
      <c r="E21" s="276"/>
      <c r="F21" s="277">
        <f>'数据-取费表'!B38</f>
        <v>0.01</v>
      </c>
      <c r="G21" s="278" t="s">
        <v>2364</v>
      </c>
    </row>
    <row r="22" spans="1:7" s="258" customFormat="1" ht="13.5" customHeight="1">
      <c r="A22" s="299" t="s">
        <v>2365</v>
      </c>
      <c r="B22" s="254" t="s">
        <v>2366</v>
      </c>
      <c r="C22" s="1352" t="e">
        <f ca="1">ROUND(SUM(C23:C25),0)</f>
        <v>#DIV/0!</v>
      </c>
      <c r="D22" s="279">
        <f ca="1">C26</f>
        <v>2.0000000000000001E-4</v>
      </c>
      <c r="E22" s="280" t="s">
        <v>2363</v>
      </c>
      <c r="F22" s="281">
        <f ca="1">'数据-取费表'!B40</f>
        <v>4.3499999999999997E-2</v>
      </c>
      <c r="G22" s="278" t="str">
        <f>IF('数据-取费表'!B22&lt;=1,"单利计息","复利计息")</f>
        <v>单利计息</v>
      </c>
    </row>
    <row r="23" spans="1:7" s="258" customFormat="1" ht="13.5" customHeight="1">
      <c r="A23" s="950" t="s">
        <v>2367</v>
      </c>
      <c r="B23" s="259" t="s">
        <v>2368</v>
      </c>
      <c r="C23" s="1353" t="e">
        <f ca="1">ROUND(IF('数据-取费表'!B22&lt;=1,C5*F22*'数据-取费表'!B23,C5*(POWER((1+F22),'数据-取费表'!B23)-1)),0)</f>
        <v>#DIV/0!</v>
      </c>
      <c r="D23" s="282"/>
      <c r="E23" s="282"/>
      <c r="F23" s="283"/>
      <c r="G23" s="284" t="s">
        <v>2369</v>
      </c>
    </row>
    <row r="24" spans="1:7" s="258" customFormat="1" ht="13.5" customHeight="1">
      <c r="A24" s="950" t="s">
        <v>2370</v>
      </c>
      <c r="B24" s="259" t="s">
        <v>2371</v>
      </c>
      <c r="C24" s="1353">
        <f ca="1">ROUND(IF('数据-取费表'!B22&lt;=1,C19*F22*('数据-取费表'!B19/2+'数据-取费表'!B21),C19*(POWER((1+F22),('数据-取费表'!B19/2+'数据-取费表'!B21))-1)),0)</f>
        <v>0</v>
      </c>
      <c r="D24" s="282"/>
      <c r="E24" s="282"/>
      <c r="F24" s="283"/>
      <c r="G24" s="284" t="s">
        <v>2372</v>
      </c>
    </row>
    <row r="25" spans="1:7" s="258" customFormat="1" ht="24">
      <c r="A25" s="950" t="s">
        <v>2373</v>
      </c>
      <c r="B25" s="259" t="s">
        <v>2374</v>
      </c>
      <c r="C25" s="1353" t="e">
        <f ca="1">ROUND(IF('数据-取费表'!B22&lt;=1,C20*F22*'数据-取费表'!B23/2,C20*(POWER((1+F22),'数据-取费表'!B23/2)-1)),0)</f>
        <v>#DIV/0!</v>
      </c>
      <c r="D25" s="282"/>
      <c r="E25" s="285"/>
      <c r="F25" s="283"/>
      <c r="G25" s="286" t="s">
        <v>2375</v>
      </c>
    </row>
    <row r="26" spans="1:7" s="258" customFormat="1">
      <c r="A26" s="950" t="s">
        <v>795</v>
      </c>
      <c r="B26" s="259" t="s">
        <v>2376</v>
      </c>
      <c r="C26" s="282">
        <f ca="1">ROUND(IF('数据-取费表'!B22&lt;=1,F21*F22*'数据-取费表'!B23/2,F21*(POWER((1+F22),'数据-取费表'!B23/2)-1)),4)</f>
        <v>2.0000000000000001E-4</v>
      </c>
      <c r="D26" s="282"/>
      <c r="E26" s="285"/>
      <c r="F26" s="283"/>
      <c r="G26" s="287"/>
    </row>
    <row r="27" spans="1:7" s="258" customFormat="1" ht="24.75">
      <c r="A27" s="299" t="s">
        <v>2377</v>
      </c>
      <c r="B27" s="288" t="s">
        <v>2378</v>
      </c>
      <c r="C27" s="289" t="e">
        <f ca="1">C28</f>
        <v>#DIV/0!</v>
      </c>
      <c r="D27" s="279">
        <f ca="1">C29</f>
        <v>1.5E-3</v>
      </c>
      <c r="E27" s="280" t="s">
        <v>2379</v>
      </c>
      <c r="F27" s="290">
        <f ca="1">IF(B1="",'数据-取费表'!Q16,INDIRECT("'数据-取费表'!q"&amp;$G$1))</f>
        <v>0.15</v>
      </c>
      <c r="G27" s="291" t="s">
        <v>2380</v>
      </c>
    </row>
    <row r="28" spans="1:7" s="258" customFormat="1" ht="13.5" customHeight="1">
      <c r="A28" s="950" t="s">
        <v>791</v>
      </c>
      <c r="B28" s="292" t="s">
        <v>2381</v>
      </c>
      <c r="C28" s="293" t="e">
        <f ca="1">ROUND((C5+C19+C20)*F27*'数据-取费表'!B21/'数据-取费表'!B20,0)</f>
        <v>#DIV/0!</v>
      </c>
      <c r="D28" s="279"/>
      <c r="E28" s="280"/>
      <c r="F28" s="290"/>
      <c r="G28" s="291"/>
    </row>
    <row r="29" spans="1:7" s="258" customFormat="1" ht="13.5" customHeight="1">
      <c r="A29" s="950" t="s">
        <v>792</v>
      </c>
      <c r="B29" s="292" t="s">
        <v>2382</v>
      </c>
      <c r="C29" s="282">
        <f ca="1">ROUND(C21*F27*'数据-取费表'!B21/'数据-取费表'!B20,4)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t="e">
        <f ca="1">ROUND((C5+C19+C20+C22+C27)/(1-C21-D22-D27-C30),0)</f>
        <v>#DIV/0!</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914</v>
      </c>
      <c r="D33" s="276"/>
      <c r="E33" s="256"/>
      <c r="F33" s="285"/>
      <c r="G33" s="278"/>
    </row>
    <row r="34" spans="1:7" s="302" customFormat="1" ht="13.5" customHeight="1">
      <c r="A34" s="950" t="s">
        <v>791</v>
      </c>
      <c r="B34" s="259" t="s">
        <v>2390</v>
      </c>
      <c r="C34" s="264">
        <f ca="1">IF(B1="",IF(F34=100%,'数据-取费表'!M16,'数据-取费表'!O16),IF(F34=100%,INDIRECT("'数据-取费表'!m"&amp;$G$1)+INDIRECT("'数据-取费表'!t"&amp;$G$1),INDIRECT("'数据-取费表'!o"&amp;$G$1)+INDIRECT("'数据-取费表'!aq"&amp;$G$1)))</f>
        <v>798</v>
      </c>
      <c r="D34" s="261"/>
      <c r="E34" s="264"/>
      <c r="F34" s="301">
        <f ca="1">IF('数据-取费表'!B24=0,1,IF(B1="",'数据-取费表'!N16,INDIRECT("'数据-取费表'!n"&amp;$G$1)))</f>
        <v>1</v>
      </c>
      <c r="G34" s="263" t="s">
        <v>2391</v>
      </c>
    </row>
    <row r="35" spans="1:7" ht="13.5" customHeight="1">
      <c r="A35" s="950" t="s">
        <v>796</v>
      </c>
      <c r="B35" s="259" t="s">
        <v>2392</v>
      </c>
      <c r="C35" s="264">
        <f ca="1">ROUND(C34*F35,0)</f>
        <v>24</v>
      </c>
      <c r="D35" s="264"/>
      <c r="E35" s="264"/>
      <c r="F35" s="303">
        <f>'数据-取费表'!B33</f>
        <v>0.03</v>
      </c>
      <c r="G35" s="263" t="s">
        <v>2393</v>
      </c>
    </row>
    <row r="36" spans="1:7" ht="24">
      <c r="A36" s="950"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50" t="s">
        <v>798</v>
      </c>
      <c r="B37" s="259" t="s">
        <v>2396</v>
      </c>
      <c r="C37" s="293">
        <f ca="1">ROUND(E37*D37*F34/10000,0)</f>
        <v>80</v>
      </c>
      <c r="D37" s="261">
        <f ca="1">D19</f>
        <v>3992.9400000000005</v>
      </c>
      <c r="E37" s="293">
        <f>'数据-取费表'!B35</f>
        <v>200</v>
      </c>
      <c r="F37" s="303"/>
      <c r="G37" s="305" t="s">
        <v>2397</v>
      </c>
    </row>
    <row r="38" spans="1:7" ht="13.5" customHeight="1">
      <c r="A38" s="950" t="s">
        <v>799</v>
      </c>
      <c r="B38" s="259" t="s">
        <v>2398</v>
      </c>
      <c r="C38" s="264">
        <f ca="1">ROUND(C34*F38,0)</f>
        <v>12</v>
      </c>
      <c r="D38" s="264"/>
      <c r="E38" s="264"/>
      <c r="F38" s="303">
        <f>'数据-取费表'!B36</f>
        <v>1.4999999999999999E-2</v>
      </c>
      <c r="G38" s="263" t="s">
        <v>2393</v>
      </c>
    </row>
    <row r="39" spans="1:7" s="258" customFormat="1" ht="13.5" customHeight="1">
      <c r="A39" s="299" t="s">
        <v>2399</v>
      </c>
      <c r="B39" s="254" t="s">
        <v>2400</v>
      </c>
      <c r="C39" s="276">
        <f ca="1">ROUND(C33*F20,0)</f>
        <v>9</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ROUND(IF('数据-取费表'!B22&lt;=1,C33*F22*'数据-取费表'!B21/2,C33*(POWER((1+F22),'数据-取费表'!B21/2)-1)),0)</f>
        <v>20</v>
      </c>
      <c r="D42" s="282"/>
      <c r="E42" s="282"/>
      <c r="F42" s="283"/>
      <c r="G42" s="3214" t="s">
        <v>2409</v>
      </c>
    </row>
    <row r="43" spans="1:7" ht="13.5" customHeight="1">
      <c r="A43" s="950" t="s">
        <v>792</v>
      </c>
      <c r="B43" s="259" t="s">
        <v>2410</v>
      </c>
      <c r="C43" s="282">
        <f ca="1">ROUND(IF('数据-取费表'!B22&lt;=1,C39*F22*'数据-取费表'!B21/2,C39*(POWER((1+F22),'数据-取费表'!B21/2)-1)),0)</f>
        <v>0</v>
      </c>
      <c r="D43" s="282"/>
      <c r="E43" s="282"/>
      <c r="F43" s="283"/>
      <c r="G43" s="3215"/>
    </row>
    <row r="44" spans="1:7" ht="13.5" customHeight="1">
      <c r="A44" s="950" t="s">
        <v>793</v>
      </c>
      <c r="B44" s="259" t="s">
        <v>2411</v>
      </c>
      <c r="C44" s="282">
        <f ca="1">ROUND(IF('数据-取费表'!B22&lt;=1,C40*F22*'数据-取费表'!B21/2,C40*(POWER((1+F22),'数据-取费表'!B21/2)-1)),4)</f>
        <v>2.0000000000000001E-4</v>
      </c>
      <c r="D44" s="282"/>
      <c r="E44" s="282"/>
      <c r="F44" s="283"/>
      <c r="G44" s="3216"/>
    </row>
    <row r="45" spans="1:7" s="258" customFormat="1" ht="13.5" customHeight="1">
      <c r="A45" s="299" t="s">
        <v>2412</v>
      </c>
      <c r="B45" s="288" t="s">
        <v>2378</v>
      </c>
      <c r="C45" s="289">
        <f ca="1">C46</f>
        <v>138</v>
      </c>
      <c r="D45" s="279">
        <f ca="1">C47</f>
        <v>1.5E-3</v>
      </c>
      <c r="E45" s="280" t="s">
        <v>2404</v>
      </c>
      <c r="F45" s="290"/>
      <c r="G45" s="291" t="s">
        <v>2413</v>
      </c>
    </row>
    <row r="46" spans="1:7" s="258" customFormat="1" ht="13.5" customHeight="1">
      <c r="A46" s="950" t="s">
        <v>791</v>
      </c>
      <c r="B46" s="292" t="s">
        <v>2414</v>
      </c>
      <c r="C46" s="293">
        <f ca="1">ROUND((C33+C39)*F27,0)</f>
        <v>138</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1726">
        <f>ROUND(F30/(1+'数据-取费表'!C42),4)</f>
        <v>5.2400000000000002E-2</v>
      </c>
      <c r="D48" s="280" t="s">
        <v>2404</v>
      </c>
      <c r="E48" s="276"/>
      <c r="F48" s="281"/>
      <c r="G48" s="278" t="s">
        <v>2417</v>
      </c>
    </row>
    <row r="49" spans="1:7" ht="16.5" customHeight="1">
      <c r="A49" s="299" t="s">
        <v>2383</v>
      </c>
      <c r="B49" s="254" t="s">
        <v>2418</v>
      </c>
      <c r="C49" s="276">
        <f ca="1">ROUND((C33+C39+C41+C45)/(1-C40-D41-D45-C48),0)</f>
        <v>1155</v>
      </c>
      <c r="D49" s="276"/>
      <c r="E49" s="276"/>
      <c r="F49" s="308"/>
      <c r="G49" s="278" t="s">
        <v>2419</v>
      </c>
    </row>
    <row r="50" spans="1:7" s="302" customFormat="1" ht="24">
      <c r="A50" s="299" t="s">
        <v>2420</v>
      </c>
      <c r="B50" s="254" t="s">
        <v>2421</v>
      </c>
      <c r="C50" s="276"/>
      <c r="D50" s="276"/>
      <c r="E50" s="276"/>
      <c r="F50" s="308">
        <f>IF('数据-取费表'!B24=0,'数据-取费表'!N16,1)</f>
        <v>0.93</v>
      </c>
      <c r="G50" s="291" t="s">
        <v>2422</v>
      </c>
    </row>
    <row r="51" spans="1:7" ht="16.5" customHeight="1">
      <c r="A51" s="299" t="s">
        <v>2423</v>
      </c>
      <c r="B51" s="254" t="s">
        <v>2424</v>
      </c>
      <c r="C51" s="276">
        <f ca="1">ROUND(C49*F50,0)</f>
        <v>1074</v>
      </c>
      <c r="D51" s="276"/>
      <c r="E51" s="276"/>
      <c r="F51" s="308"/>
      <c r="G51" s="278" t="s">
        <v>2425</v>
      </c>
    </row>
    <row r="52" spans="1:7" s="252" customFormat="1" ht="16.5" thickBot="1">
      <c r="A52" s="309" t="s">
        <v>2426</v>
      </c>
      <c r="B52" s="310"/>
      <c r="C52" s="311" t="e">
        <f ca="1">C31+C51</f>
        <v>#DIV/0!</v>
      </c>
      <c r="D52" s="310"/>
      <c r="E52" s="310"/>
      <c r="F52" s="310"/>
      <c r="G52" s="312"/>
    </row>
    <row r="55" spans="1:7" ht="15">
      <c r="B55" s="314" t="s">
        <v>2427</v>
      </c>
      <c r="C55" s="315"/>
    </row>
    <row r="56" spans="1:7">
      <c r="B56" s="317" t="s">
        <v>1508</v>
      </c>
      <c r="C56" s="319" t="e">
        <f ca="1">1-C57</f>
        <v>#DIV/0!</v>
      </c>
    </row>
    <row r="57" spans="1:7">
      <c r="B57" s="317" t="s">
        <v>1509</v>
      </c>
      <c r="C57" s="318" t="e">
        <f ca="1">ROUND(C51/C52,3)</f>
        <v>#DIV/0!</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40" zoomScale="80" zoomScaleNormal="80" workbookViewId="0">
      <selection activeCell="J84" sqref="J84"/>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2327</v>
      </c>
      <c r="B2" s="671" t="e">
        <f>F66</f>
        <v>#DIV/0!</v>
      </c>
      <c r="C2" s="1122"/>
      <c r="D2" s="1122"/>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c r="AD2" s="397"/>
    </row>
    <row r="3" spans="1:30" s="398" customFormat="1" ht="28.5" customHeight="1" thickBot="1">
      <c r="A3" s="247" t="s">
        <v>2329</v>
      </c>
      <c r="B3" s="609" t="e">
        <f>ROUND(IF(D3="",B2*10000/'数据-汇总表'!E3,B2*10000/D3),0)</f>
        <v>#DIV/0!</v>
      </c>
      <c r="C3" s="247" t="s">
        <v>2746</v>
      </c>
      <c r="D3" s="1581">
        <f>'数据-汇总表'!F27</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30"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30" ht="15">
      <c r="A5" s="404"/>
      <c r="B5" s="405"/>
      <c r="C5" s="3251" t="s">
        <v>2542</v>
      </c>
      <c r="D5" s="3252"/>
      <c r="E5" s="3258" t="str">
        <f>土地案例!A15</f>
        <v>虹桥镇长虹路西侧</v>
      </c>
      <c r="F5" s="3259"/>
      <c r="G5" s="3251" t="str">
        <f>土地案例!A26</f>
        <v>虹桥镇焦土港北侧</v>
      </c>
      <c r="H5" s="3252"/>
      <c r="I5" s="3251" t="str">
        <f>土地案例!A27</f>
        <v>虹桥镇焦土港北侧</v>
      </c>
      <c r="J5" s="3252"/>
      <c r="K5" s="610"/>
      <c r="L5" s="1128"/>
      <c r="M5" s="1129"/>
      <c r="N5" s="1129"/>
      <c r="O5" s="1129"/>
      <c r="P5" s="3239"/>
      <c r="Q5" s="3240"/>
      <c r="R5" s="3245"/>
      <c r="S5" s="3246"/>
      <c r="T5" s="3245"/>
      <c r="U5" s="3246"/>
      <c r="V5" s="3230"/>
      <c r="W5" s="3230"/>
      <c r="X5" s="1811"/>
      <c r="Y5" s="3245"/>
      <c r="Z5" s="3246"/>
      <c r="AA5" s="3232"/>
      <c r="AB5" s="3232"/>
      <c r="AC5" s="3232"/>
    </row>
    <row r="6" spans="1:30"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30" s="117" customFormat="1" ht="15.75" thickBot="1">
      <c r="A7" s="408" t="s">
        <v>2548</v>
      </c>
      <c r="B7" s="409"/>
      <c r="C7" s="410">
        <f>'数据-取费表'!B2</f>
        <v>43711</v>
      </c>
      <c r="D7" s="411">
        <v>100</v>
      </c>
      <c r="E7" s="412" t="str">
        <f>土地案例!H15</f>
        <v>2019-05-20</v>
      </c>
      <c r="F7" s="413">
        <f>SUMIF(70:70,YEAR(E7)&amp;"-"&amp;INT((MONTH(E7)+2)/3),71:71)</f>
        <v>99.5</v>
      </c>
      <c r="G7" s="2692" t="str">
        <f>土地案例!H26</f>
        <v>2018-12-07</v>
      </c>
      <c r="H7" s="411">
        <f>SUMIF(70:70,YEAR(G7)&amp;"-"&amp;INT((MONTH(G7)+2)/3),71:71)</f>
        <v>98.5</v>
      </c>
      <c r="I7" s="2692" t="str">
        <f>土地案例!H27</f>
        <v>2018-12-07</v>
      </c>
      <c r="J7" s="411">
        <f>SUMIF(70:70,YEAR(I7)&amp;"-"&amp;INT((MONTH(I7)+2)/3),71:71)</f>
        <v>98.5</v>
      </c>
      <c r="K7" s="611"/>
      <c r="L7" s="1130"/>
      <c r="M7" s="1131"/>
      <c r="N7" s="1131"/>
      <c r="O7" s="1131"/>
      <c r="P7" s="3253" t="s">
        <v>2549</v>
      </c>
      <c r="Q7" s="3255"/>
      <c r="R7" s="769" t="s">
        <v>17</v>
      </c>
      <c r="S7" s="770">
        <f t="shared" ref="S7:S15" si="0">F7</f>
        <v>99.5</v>
      </c>
      <c r="T7" s="769" t="s">
        <v>17</v>
      </c>
      <c r="U7" s="770">
        <f t="shared" ref="U7:U15" si="1">H7</f>
        <v>98.5</v>
      </c>
      <c r="V7" s="769" t="s">
        <v>17</v>
      </c>
      <c r="W7" s="770">
        <f t="shared" ref="W7:W15" si="2">J7</f>
        <v>98.5</v>
      </c>
      <c r="X7" s="771"/>
      <c r="Y7" s="3253" t="s">
        <v>2549</v>
      </c>
      <c r="Z7" s="3254"/>
      <c r="AA7" s="772">
        <f>D7/F7</f>
        <v>1.0050251256281406</v>
      </c>
      <c r="AB7" s="772">
        <f>D7/H7</f>
        <v>1.015228426395939</v>
      </c>
      <c r="AC7" s="772">
        <f>D7/J7</f>
        <v>1.015228426395939</v>
      </c>
    </row>
    <row r="8" spans="1:30" s="117" customFormat="1" ht="15.75" thickBot="1">
      <c r="A8" s="408" t="s">
        <v>2550</v>
      </c>
      <c r="B8" s="409"/>
      <c r="C8" s="414" t="s">
        <v>2551</v>
      </c>
      <c r="D8" s="411">
        <v>100</v>
      </c>
      <c r="E8" s="414" t="s">
        <v>3076</v>
      </c>
      <c r="F8" s="413">
        <f>SUMIF(73:73,E8,74:74)-SUMIF(73:73,C8,74:74)+100</f>
        <v>100</v>
      </c>
      <c r="G8" s="414" t="s">
        <v>3076</v>
      </c>
      <c r="H8" s="411">
        <f>SUMIF(73:73,G8,74:74)-SUMIF(73:73,C8,74:74)+100</f>
        <v>100</v>
      </c>
      <c r="I8" s="414" t="s">
        <v>3076</v>
      </c>
      <c r="J8" s="411">
        <f>SUMIF(73:73,I8,74:74)-SUMIF(73:73,C8,74:74)+100</f>
        <v>100</v>
      </c>
      <c r="K8" s="611"/>
      <c r="L8" s="1130"/>
      <c r="M8" s="1131"/>
      <c r="N8" s="1131"/>
      <c r="O8" s="1131"/>
      <c r="P8" s="3253" t="s">
        <v>2552</v>
      </c>
      <c r="Q8" s="3254"/>
      <c r="R8" s="769" t="s">
        <v>17</v>
      </c>
      <c r="S8" s="770">
        <f t="shared" si="0"/>
        <v>100</v>
      </c>
      <c r="T8" s="769" t="s">
        <v>17</v>
      </c>
      <c r="U8" s="770">
        <f t="shared" si="1"/>
        <v>100</v>
      </c>
      <c r="V8" s="769" t="s">
        <v>17</v>
      </c>
      <c r="W8" s="770">
        <f t="shared" si="2"/>
        <v>100</v>
      </c>
      <c r="X8" s="771"/>
      <c r="Y8" s="3253" t="s">
        <v>2552</v>
      </c>
      <c r="Z8" s="3254"/>
      <c r="AA8" s="772">
        <f t="shared" ref="AA8:AA45" si="3">D8/F8</f>
        <v>1</v>
      </c>
      <c r="AB8" s="772">
        <f t="shared" ref="AB8:AB45" si="4">D8/H8</f>
        <v>1</v>
      </c>
      <c r="AC8" s="772">
        <f t="shared" ref="AC8:AC45" si="5">D8/J8</f>
        <v>1</v>
      </c>
    </row>
    <row r="9" spans="1:30" s="117" customFormat="1">
      <c r="A9" s="415" t="s">
        <v>2553</v>
      </c>
      <c r="B9" s="71" t="s">
        <v>2554</v>
      </c>
      <c r="C9" s="2695"/>
      <c r="D9" s="135">
        <v>100</v>
      </c>
      <c r="E9" s="2695"/>
      <c r="F9" s="135">
        <f>SUMIF(75:75,E9,76:76)-SUMIF(75:75,C9,76:76)+100</f>
        <v>100</v>
      </c>
      <c r="G9" s="2695"/>
      <c r="H9" s="135">
        <f>SUMIF(75:75,G9,76:76)-SUMIF(75:75,C9,76:76)+100</f>
        <v>100</v>
      </c>
      <c r="I9" s="2695"/>
      <c r="J9" s="135">
        <f>SUMIF(75:75,I9,76:76)-SUMIF(75:75,C9,76:76)+100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30" s="427" customFormat="1" ht="27">
      <c r="A10" s="421"/>
      <c r="B10" s="422" t="s">
        <v>2557</v>
      </c>
      <c r="C10" s="432"/>
      <c r="D10" s="136">
        <v>100</v>
      </c>
      <c r="E10" s="465"/>
      <c r="F10" s="136">
        <f>ROUND(100/'数据-取费表'!G16,0)</f>
        <v>104</v>
      </c>
      <c r="G10" s="463"/>
      <c r="H10" s="136">
        <f>ROUND(100/'数据-取费表'!G16,0)</f>
        <v>104</v>
      </c>
      <c r="I10" s="463"/>
      <c r="J10" s="136">
        <f>ROUND(100/'数据-取费表'!G16,0)</f>
        <v>104</v>
      </c>
      <c r="K10" s="672"/>
      <c r="L10" s="1133"/>
      <c r="M10" s="1134"/>
      <c r="N10" s="1134"/>
      <c r="O10" s="1135"/>
      <c r="P10" s="3224"/>
      <c r="Q10" s="1793" t="str">
        <f t="shared" si="6"/>
        <v>土地使用年限（年）</v>
      </c>
      <c r="R10" s="769" t="s">
        <v>17</v>
      </c>
      <c r="S10" s="770">
        <f t="shared" si="0"/>
        <v>104</v>
      </c>
      <c r="T10" s="769" t="s">
        <v>17</v>
      </c>
      <c r="U10" s="770">
        <f t="shared" si="1"/>
        <v>104</v>
      </c>
      <c r="V10" s="769" t="s">
        <v>17</v>
      </c>
      <c r="W10" s="770">
        <f t="shared" si="2"/>
        <v>104</v>
      </c>
      <c r="X10" s="771"/>
      <c r="Y10" s="3072"/>
      <c r="Z10" s="55" t="str">
        <f t="shared" si="7"/>
        <v>土地使用年限（年）</v>
      </c>
      <c r="AA10" s="772">
        <f t="shared" si="3"/>
        <v>0.96153846153846156</v>
      </c>
      <c r="AB10" s="772">
        <f t="shared" si="4"/>
        <v>0.96153846153846156</v>
      </c>
      <c r="AC10" s="772">
        <f t="shared" si="5"/>
        <v>0.96153846153846156</v>
      </c>
    </row>
    <row r="11" spans="1:30" ht="15">
      <c r="A11" s="428"/>
      <c r="B11" s="422" t="s">
        <v>2558</v>
      </c>
      <c r="C11" s="429" t="e">
        <f>'数据-汇总表'!I4</f>
        <v>#DIV/0!</v>
      </c>
      <c r="D11" s="136">
        <v>100</v>
      </c>
      <c r="E11" s="429">
        <v>2.5</v>
      </c>
      <c r="F11" s="136" t="e">
        <f>LOOKUP(E11,80:80,81:81)-LOOKUP(C11,80:80,81:81)+100</f>
        <v>#DIV/0!</v>
      </c>
      <c r="G11" s="430">
        <v>3.5</v>
      </c>
      <c r="H11" s="136" t="e">
        <f>LOOKUP(G11,80:80,81:81)-LOOKUP(C11,80:80,81:81)+100</f>
        <v>#DIV/0!</v>
      </c>
      <c r="I11" s="429">
        <v>3.5</v>
      </c>
      <c r="J11" s="136" t="e">
        <f>LOOKUP(I11,80:80,81:81)-LOOKUP(C11,80:80,81:81)+100</f>
        <v>#DIV/0!</v>
      </c>
      <c r="K11" s="673">
        <v>2</v>
      </c>
      <c r="L11" s="1136"/>
      <c r="M11" s="1129"/>
      <c r="N11" s="1129"/>
      <c r="O11" s="1137"/>
      <c r="P11" s="3224"/>
      <c r="Q11" s="1793" t="str">
        <f t="shared" si="6"/>
        <v>容积率</v>
      </c>
      <c r="R11" s="769" t="s">
        <v>17</v>
      </c>
      <c r="S11" s="770" t="e">
        <f t="shared" si="0"/>
        <v>#DIV/0!</v>
      </c>
      <c r="T11" s="769" t="s">
        <v>17</v>
      </c>
      <c r="U11" s="770" t="e">
        <f t="shared" si="1"/>
        <v>#DIV/0!</v>
      </c>
      <c r="V11" s="769" t="s">
        <v>17</v>
      </c>
      <c r="W11" s="770" t="e">
        <f t="shared" si="2"/>
        <v>#DIV/0!</v>
      </c>
      <c r="X11" s="771"/>
      <c r="Y11" s="3072"/>
      <c r="Z11" s="55" t="str">
        <f t="shared" si="7"/>
        <v>容积率</v>
      </c>
      <c r="AA11" s="772" t="e">
        <f t="shared" si="3"/>
        <v>#DIV/0!</v>
      </c>
      <c r="AB11" s="772" t="e">
        <f t="shared" si="4"/>
        <v>#DIV/0!</v>
      </c>
      <c r="AC11" s="772" t="e">
        <f t="shared" si="5"/>
        <v>#DIV/0!</v>
      </c>
    </row>
    <row r="12" spans="1:30" s="117" customFormat="1" ht="15">
      <c r="A12" s="431"/>
      <c r="B12" s="2596" t="s">
        <v>2747</v>
      </c>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224"/>
      <c r="Q12" s="1793" t="str">
        <f t="shared" si="6"/>
        <v>配建</v>
      </c>
      <c r="R12" s="769" t="s">
        <v>17</v>
      </c>
      <c r="S12" s="770">
        <f t="shared" si="0"/>
        <v>100</v>
      </c>
      <c r="T12" s="769" t="s">
        <v>17</v>
      </c>
      <c r="U12" s="770">
        <f t="shared" si="1"/>
        <v>100</v>
      </c>
      <c r="V12" s="769" t="s">
        <v>17</v>
      </c>
      <c r="W12" s="770">
        <f t="shared" si="2"/>
        <v>100</v>
      </c>
      <c r="X12" s="771"/>
      <c r="Y12" s="3072"/>
      <c r="Z12" s="55" t="str">
        <f t="shared" si="7"/>
        <v>配建</v>
      </c>
      <c r="AA12" s="772">
        <f>D12/F12</f>
        <v>1</v>
      </c>
      <c r="AB12" s="772">
        <f>D12/H12</f>
        <v>1</v>
      </c>
      <c r="AC12" s="772">
        <f>D12/J12</f>
        <v>1</v>
      </c>
    </row>
    <row r="13" spans="1:30" ht="15">
      <c r="A13" s="428"/>
      <c r="B13" s="2596">
        <v>111</v>
      </c>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D13/F13</f>
        <v>1</v>
      </c>
      <c r="AB13" s="772">
        <f>D13/H13</f>
        <v>1</v>
      </c>
      <c r="AC13" s="772">
        <f>D13/J13</f>
        <v>1</v>
      </c>
    </row>
    <row r="14" spans="1:30" ht="15.75" thickBot="1">
      <c r="A14" s="436"/>
      <c r="B14" s="2598">
        <v>111</v>
      </c>
      <c r="C14" s="437"/>
      <c r="D14" s="438">
        <v>100</v>
      </c>
      <c r="E14" s="549"/>
      <c r="F14" s="438">
        <f>SUMIF(86:86,E14,87:87)-SUMIF(86:86,C14,87:87)+100</f>
        <v>100</v>
      </c>
      <c r="G14" s="674"/>
      <c r="H14" s="438">
        <f>SUMIF(86:86,G14,87:87)-SUMIF(86:86,C14,87:87)+100</f>
        <v>100</v>
      </c>
      <c r="I14" s="674"/>
      <c r="J14" s="438">
        <f>SUMIF(86:86,I14,87:87)-SUMIF(86:86,C14,87:87)+100</f>
        <v>100</v>
      </c>
      <c r="K14" s="672"/>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D14/F14</f>
        <v>1</v>
      </c>
      <c r="AB14" s="772">
        <f>D14/H14</f>
        <v>1</v>
      </c>
      <c r="AC14" s="772">
        <f>D14/J14</f>
        <v>1</v>
      </c>
    </row>
    <row r="15" spans="1:30" ht="99.75">
      <c r="A15" s="440" t="s">
        <v>2559</v>
      </c>
      <c r="B15" s="69" t="s">
        <v>2084</v>
      </c>
      <c r="C15" s="2599"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8"/>
      <c r="M15" s="1129"/>
      <c r="N15" s="1129"/>
      <c r="O15" s="1137"/>
      <c r="P15" s="3226" t="s">
        <v>2560</v>
      </c>
      <c r="Q15" s="1808" t="str">
        <f t="shared" si="6"/>
        <v>居住社区成熟度</v>
      </c>
      <c r="R15" s="773" t="s">
        <v>17</v>
      </c>
      <c r="S15" s="774">
        <f t="shared" si="0"/>
        <v>100</v>
      </c>
      <c r="T15" s="773" t="s">
        <v>17</v>
      </c>
      <c r="U15" s="774">
        <f t="shared" si="1"/>
        <v>100</v>
      </c>
      <c r="V15" s="773" t="s">
        <v>17</v>
      </c>
      <c r="W15" s="774">
        <f t="shared" si="2"/>
        <v>100</v>
      </c>
      <c r="X15" s="1811"/>
      <c r="Y15" s="3226" t="s">
        <v>2560</v>
      </c>
      <c r="Z15" s="1812" t="str">
        <f t="shared" si="7"/>
        <v>居住社区成熟度</v>
      </c>
      <c r="AA15" s="1809">
        <f t="shared" si="3"/>
        <v>1</v>
      </c>
      <c r="AB15" s="1809">
        <f t="shared" si="4"/>
        <v>1</v>
      </c>
      <c r="AC15" s="1809">
        <f t="shared" si="5"/>
        <v>1</v>
      </c>
    </row>
    <row r="16" spans="1:30" ht="15">
      <c r="A16" s="428"/>
      <c r="B16" s="446"/>
      <c r="C16" s="447"/>
      <c r="D16" s="448"/>
      <c r="E16" s="2601"/>
      <c r="F16" s="448"/>
      <c r="G16" s="2601"/>
      <c r="H16" s="450"/>
      <c r="I16" s="2600"/>
      <c r="J16" s="448"/>
      <c r="K16" s="672"/>
      <c r="L16" s="1138"/>
      <c r="M16" s="1129"/>
      <c r="N16" s="1129"/>
      <c r="O16" s="1137"/>
      <c r="P16" s="3227"/>
      <c r="Q16" s="1808"/>
      <c r="R16" s="773"/>
      <c r="S16" s="774"/>
      <c r="T16" s="773"/>
      <c r="U16" s="774"/>
      <c r="V16" s="773"/>
      <c r="W16" s="774"/>
      <c r="X16" s="1811"/>
      <c r="Y16" s="3227"/>
      <c r="Z16" s="1812"/>
      <c r="AA16" s="1809">
        <v>1</v>
      </c>
      <c r="AB16" s="1809">
        <v>1</v>
      </c>
      <c r="AC16" s="1809">
        <v>1</v>
      </c>
    </row>
    <row r="17" spans="1:29" ht="71.25">
      <c r="A17" s="428"/>
      <c r="B17" s="451" t="s">
        <v>2653</v>
      </c>
      <c r="C17" s="2660"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8"/>
      <c r="M17" s="1129"/>
      <c r="N17" s="1129"/>
      <c r="O17" s="1137"/>
      <c r="P17" s="3227"/>
      <c r="Q17" s="1808" t="str">
        <f>B17</f>
        <v>商业繁华度</v>
      </c>
      <c r="R17" s="773" t="s">
        <v>17</v>
      </c>
      <c r="S17" s="774">
        <f>F17</f>
        <v>100</v>
      </c>
      <c r="T17" s="773" t="s">
        <v>17</v>
      </c>
      <c r="U17" s="774">
        <f>H17</f>
        <v>100</v>
      </c>
      <c r="V17" s="773" t="s">
        <v>17</v>
      </c>
      <c r="W17" s="774">
        <f>J17</f>
        <v>100</v>
      </c>
      <c r="X17" s="1811"/>
      <c r="Y17" s="3227"/>
      <c r="Z17" s="1812" t="str">
        <f>Q17</f>
        <v>商业繁华度</v>
      </c>
      <c r="AA17" s="1809">
        <f t="shared" si="3"/>
        <v>1</v>
      </c>
      <c r="AB17" s="1809">
        <f t="shared" si="4"/>
        <v>1</v>
      </c>
      <c r="AC17" s="1809">
        <f t="shared" si="5"/>
        <v>1</v>
      </c>
    </row>
    <row r="18" spans="1:29" ht="15">
      <c r="A18" s="428"/>
      <c r="B18" s="456"/>
      <c r="C18" s="2604"/>
      <c r="D18" s="450"/>
      <c r="E18" s="2606"/>
      <c r="F18" s="450"/>
      <c r="G18" s="2606"/>
      <c r="H18" s="448"/>
      <c r="I18" s="2605"/>
      <c r="J18" s="448"/>
      <c r="K18" s="672"/>
      <c r="L18" s="1138"/>
      <c r="M18" s="1129"/>
      <c r="N18" s="1129"/>
      <c r="O18" s="1137"/>
      <c r="P18" s="3227"/>
      <c r="Q18" s="1808"/>
      <c r="R18" s="773"/>
      <c r="S18" s="774"/>
      <c r="T18" s="773"/>
      <c r="U18" s="774"/>
      <c r="V18" s="773"/>
      <c r="W18" s="774"/>
      <c r="X18" s="1811"/>
      <c r="Y18" s="3227"/>
      <c r="Z18" s="1812"/>
      <c r="AA18" s="1809">
        <v>1</v>
      </c>
      <c r="AB18" s="1809">
        <v>1</v>
      </c>
      <c r="AC18" s="1809">
        <v>1</v>
      </c>
    </row>
    <row r="19" spans="1:29" ht="71.25">
      <c r="A19" s="428"/>
      <c r="B19" s="451" t="s">
        <v>2687</v>
      </c>
      <c r="C19" s="2660"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8"/>
      <c r="M19" s="1129"/>
      <c r="N19" s="1129"/>
      <c r="O19" s="1137"/>
      <c r="P19" s="3227"/>
      <c r="Q19" s="1808" t="str">
        <f>B19</f>
        <v>办公集聚程度</v>
      </c>
      <c r="R19" s="773" t="s">
        <v>17</v>
      </c>
      <c r="S19" s="774">
        <f>F19</f>
        <v>100</v>
      </c>
      <c r="T19" s="773" t="s">
        <v>17</v>
      </c>
      <c r="U19" s="774">
        <f>H19</f>
        <v>100</v>
      </c>
      <c r="V19" s="773" t="s">
        <v>17</v>
      </c>
      <c r="W19" s="774">
        <f>J19</f>
        <v>100</v>
      </c>
      <c r="X19" s="1811"/>
      <c r="Y19" s="3227"/>
      <c r="Z19" s="1812" t="str">
        <f>Q19</f>
        <v>办公集聚程度</v>
      </c>
      <c r="AA19" s="1809">
        <f t="shared" si="3"/>
        <v>1</v>
      </c>
      <c r="AB19" s="1809">
        <f t="shared" si="4"/>
        <v>1</v>
      </c>
      <c r="AC19" s="1809">
        <f t="shared" si="5"/>
        <v>1</v>
      </c>
    </row>
    <row r="20" spans="1:29" ht="15">
      <c r="A20" s="428"/>
      <c r="B20" s="456"/>
      <c r="C20" s="447"/>
      <c r="D20" s="448"/>
      <c r="E20" s="2601"/>
      <c r="F20" s="448"/>
      <c r="G20" s="2601"/>
      <c r="H20" s="448"/>
      <c r="I20" s="2600"/>
      <c r="J20" s="448"/>
      <c r="K20" s="672"/>
      <c r="L20" s="1138"/>
      <c r="M20" s="1129"/>
      <c r="N20" s="1129"/>
      <c r="O20" s="1137"/>
      <c r="P20" s="3227"/>
      <c r="Q20" s="1808"/>
      <c r="R20" s="773"/>
      <c r="S20" s="774"/>
      <c r="T20" s="773"/>
      <c r="U20" s="774"/>
      <c r="V20" s="773"/>
      <c r="W20" s="774"/>
      <c r="X20" s="1811"/>
      <c r="Y20" s="3227"/>
      <c r="Z20" s="1812"/>
      <c r="AA20" s="1809">
        <v>1</v>
      </c>
      <c r="AB20" s="1809">
        <v>1</v>
      </c>
      <c r="AC20" s="1809">
        <v>1</v>
      </c>
    </row>
    <row r="21" spans="1:29" ht="85.5">
      <c r="A21" s="428"/>
      <c r="B21" s="451" t="s">
        <v>2709</v>
      </c>
      <c r="C21" s="2603"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8"/>
      <c r="M21" s="1129"/>
      <c r="N21" s="1129"/>
      <c r="O21" s="1137"/>
      <c r="P21" s="3227"/>
      <c r="Q21" s="1808" t="str">
        <f>B21</f>
        <v>交通便捷度</v>
      </c>
      <c r="R21" s="773" t="s">
        <v>17</v>
      </c>
      <c r="S21" s="774">
        <f>F21</f>
        <v>100</v>
      </c>
      <c r="T21" s="773" t="s">
        <v>17</v>
      </c>
      <c r="U21" s="774">
        <f>H21</f>
        <v>100</v>
      </c>
      <c r="V21" s="773" t="s">
        <v>17</v>
      </c>
      <c r="W21" s="774">
        <f>J21</f>
        <v>100</v>
      </c>
      <c r="X21" s="1811"/>
      <c r="Y21" s="3227"/>
      <c r="Z21" s="1812" t="str">
        <f>Q21</f>
        <v>交通便捷度</v>
      </c>
      <c r="AA21" s="1809">
        <f t="shared" si="3"/>
        <v>1</v>
      </c>
      <c r="AB21" s="1809">
        <f t="shared" si="4"/>
        <v>1</v>
      </c>
      <c r="AC21" s="1809">
        <f t="shared" si="5"/>
        <v>1</v>
      </c>
    </row>
    <row r="22" spans="1:29" ht="15">
      <c r="A22" s="428"/>
      <c r="B22" s="1382"/>
      <c r="C22" s="447"/>
      <c r="D22" s="450"/>
      <c r="E22" s="2601"/>
      <c r="F22" s="448"/>
      <c r="G22" s="2601"/>
      <c r="H22" s="448"/>
      <c r="I22" s="2600"/>
      <c r="J22" s="448"/>
      <c r="K22" s="672"/>
      <c r="L22" s="1138"/>
      <c r="M22" s="1129"/>
      <c r="N22" s="1129"/>
      <c r="O22" s="1137"/>
      <c r="P22" s="3227"/>
      <c r="Q22" s="1808"/>
      <c r="R22" s="773"/>
      <c r="S22" s="774"/>
      <c r="T22" s="773"/>
      <c r="U22" s="774"/>
      <c r="V22" s="773"/>
      <c r="W22" s="774"/>
      <c r="X22" s="1811"/>
      <c r="Y22" s="3227"/>
      <c r="Z22" s="1812"/>
      <c r="AA22" s="1809">
        <v>1</v>
      </c>
      <c r="AB22" s="1809">
        <v>1</v>
      </c>
      <c r="AC22" s="1809">
        <v>1</v>
      </c>
    </row>
    <row r="23" spans="1:29" ht="15">
      <c r="A23" s="404"/>
      <c r="B23" s="451" t="s">
        <v>2748</v>
      </c>
      <c r="C23" s="1387">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8"/>
      <c r="M23" s="1129"/>
      <c r="N23" s="1129"/>
      <c r="O23" s="1137"/>
      <c r="P23" s="3227"/>
      <c r="Q23" s="1808" t="str">
        <f t="shared" ref="Q23:Q37" si="8">B23</f>
        <v>区域土地利用方向</v>
      </c>
      <c r="R23" s="773" t="s">
        <v>17</v>
      </c>
      <c r="S23" s="774">
        <f>F23</f>
        <v>100</v>
      </c>
      <c r="T23" s="773" t="s">
        <v>17</v>
      </c>
      <c r="U23" s="774">
        <f>H23</f>
        <v>100</v>
      </c>
      <c r="V23" s="773" t="s">
        <v>17</v>
      </c>
      <c r="W23" s="774">
        <f>J23</f>
        <v>100</v>
      </c>
      <c r="X23" s="1811"/>
      <c r="Y23" s="3227"/>
      <c r="Z23" s="1812" t="str">
        <f>Q23</f>
        <v>区域土地利用方向</v>
      </c>
      <c r="AA23" s="1809">
        <f t="shared" si="3"/>
        <v>1</v>
      </c>
      <c r="AB23" s="1809">
        <f t="shared" si="4"/>
        <v>1</v>
      </c>
      <c r="AC23" s="1809">
        <f t="shared" si="5"/>
        <v>1</v>
      </c>
    </row>
    <row r="24" spans="1:29" ht="15">
      <c r="A24" s="404"/>
      <c r="B24" s="456"/>
      <c r="C24" s="616"/>
      <c r="D24" s="448"/>
      <c r="E24" s="2601"/>
      <c r="F24" s="448"/>
      <c r="G24" s="2600"/>
      <c r="H24" s="448"/>
      <c r="I24" s="2600"/>
      <c r="J24" s="448"/>
      <c r="K24" s="811"/>
      <c r="L24" s="1138"/>
      <c r="M24" s="1129"/>
      <c r="N24" s="1129"/>
      <c r="O24" s="1137"/>
      <c r="P24" s="3227"/>
      <c r="Q24" s="1808"/>
      <c r="R24" s="773"/>
      <c r="S24" s="774"/>
      <c r="T24" s="773"/>
      <c r="U24" s="774"/>
      <c r="V24" s="773"/>
      <c r="W24" s="774"/>
      <c r="X24" s="1811"/>
      <c r="Y24" s="3227"/>
      <c r="Z24" s="1812"/>
      <c r="AA24" s="1809"/>
      <c r="AB24" s="1809"/>
      <c r="AC24" s="1809"/>
    </row>
    <row r="25" spans="1:29" ht="57">
      <c r="A25" s="404"/>
      <c r="B25" s="1382" t="s">
        <v>2749</v>
      </c>
      <c r="C25" s="2660"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8"/>
      <c r="M25" s="1129"/>
      <c r="N25" s="1129"/>
      <c r="O25" s="1137"/>
      <c r="P25" s="3227"/>
      <c r="Q25" s="1808" t="str">
        <f t="shared" si="8"/>
        <v>自然及人文环境状况</v>
      </c>
      <c r="R25" s="773" t="s">
        <v>17</v>
      </c>
      <c r="S25" s="774">
        <f>F25</f>
        <v>100</v>
      </c>
      <c r="T25" s="773" t="s">
        <v>17</v>
      </c>
      <c r="U25" s="774">
        <f>H25</f>
        <v>100</v>
      </c>
      <c r="V25" s="773" t="s">
        <v>17</v>
      </c>
      <c r="W25" s="774">
        <f>J25</f>
        <v>100</v>
      </c>
      <c r="X25" s="1811"/>
      <c r="Y25" s="3227"/>
      <c r="Z25" s="1812" t="str">
        <f>Q25</f>
        <v>自然及人文环境状况</v>
      </c>
      <c r="AA25" s="1809">
        <f t="shared" si="3"/>
        <v>1</v>
      </c>
      <c r="AB25" s="1809">
        <f t="shared" si="4"/>
        <v>1</v>
      </c>
      <c r="AC25" s="1809">
        <f t="shared" si="5"/>
        <v>1</v>
      </c>
    </row>
    <row r="26" spans="1:29" ht="15">
      <c r="A26" s="404"/>
      <c r="B26" s="456"/>
      <c r="C26" s="447"/>
      <c r="D26" s="448"/>
      <c r="E26" s="2607"/>
      <c r="F26" s="448"/>
      <c r="G26" s="2607"/>
      <c r="H26" s="448"/>
      <c r="I26" s="447"/>
      <c r="J26" s="448"/>
      <c r="K26" s="672"/>
      <c r="L26" s="1138"/>
      <c r="M26" s="1129"/>
      <c r="N26" s="1129"/>
      <c r="O26" s="1137"/>
      <c r="P26" s="3227"/>
      <c r="Q26" s="1808"/>
      <c r="R26" s="773"/>
      <c r="S26" s="774"/>
      <c r="T26" s="773"/>
      <c r="U26" s="774"/>
      <c r="V26" s="773"/>
      <c r="W26" s="774"/>
      <c r="X26" s="1811"/>
      <c r="Y26" s="3227"/>
      <c r="Z26" s="1812"/>
      <c r="AA26" s="1809">
        <v>1</v>
      </c>
      <c r="AB26" s="1809">
        <v>1</v>
      </c>
      <c r="AC26" s="1809">
        <v>1</v>
      </c>
    </row>
    <row r="27" spans="1:29" s="117" customFormat="1" ht="42.75">
      <c r="A27" s="649"/>
      <c r="B27" s="1382" t="s">
        <v>2654</v>
      </c>
      <c r="C27" s="2603"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0"/>
      <c r="M27" s="1131"/>
      <c r="N27" s="1131"/>
      <c r="O27" s="1132"/>
      <c r="P27" s="3227"/>
      <c r="Q27" s="1793" t="str">
        <f t="shared" si="8"/>
        <v>公共配套设施</v>
      </c>
      <c r="R27" s="769" t="s">
        <v>17</v>
      </c>
      <c r="S27" s="770">
        <f>F27</f>
        <v>100</v>
      </c>
      <c r="T27" s="769" t="s">
        <v>17</v>
      </c>
      <c r="U27" s="770">
        <f>H27</f>
        <v>100</v>
      </c>
      <c r="V27" s="769" t="s">
        <v>17</v>
      </c>
      <c r="W27" s="770">
        <f>J27</f>
        <v>100</v>
      </c>
      <c r="X27" s="771"/>
      <c r="Y27" s="3227"/>
      <c r="Z27" s="55" t="str">
        <f>Q27</f>
        <v>公共配套设施</v>
      </c>
      <c r="AA27" s="1809">
        <f>D27/F27</f>
        <v>1</v>
      </c>
      <c r="AB27" s="1809">
        <f>D27/H27</f>
        <v>1</v>
      </c>
      <c r="AC27" s="1809">
        <f>D27/J27</f>
        <v>1</v>
      </c>
    </row>
    <row r="28" spans="1:29" s="117" customFormat="1" ht="15">
      <c r="A28" s="649"/>
      <c r="B28" s="456"/>
      <c r="C28" s="2696"/>
      <c r="D28" s="448"/>
      <c r="E28" s="2607"/>
      <c r="F28" s="448"/>
      <c r="G28" s="2607"/>
      <c r="H28" s="448"/>
      <c r="I28" s="447"/>
      <c r="J28" s="448"/>
      <c r="K28" s="672"/>
      <c r="L28" s="1130"/>
      <c r="M28" s="1131"/>
      <c r="N28" s="1131"/>
      <c r="O28" s="1132"/>
      <c r="P28" s="3227"/>
      <c r="Q28" s="1793"/>
      <c r="R28" s="769"/>
      <c r="S28" s="770"/>
      <c r="T28" s="769"/>
      <c r="U28" s="770"/>
      <c r="V28" s="769"/>
      <c r="W28" s="770"/>
      <c r="X28" s="771"/>
      <c r="Y28" s="3227"/>
      <c r="Z28" s="55"/>
      <c r="AA28" s="1809">
        <v>1</v>
      </c>
      <c r="AB28" s="1809">
        <v>1</v>
      </c>
      <c r="AC28" s="1809">
        <v>1</v>
      </c>
    </row>
    <row r="29" spans="1:29" s="117" customFormat="1" ht="28.5">
      <c r="A29" s="649"/>
      <c r="B29" s="1382" t="s">
        <v>2655</v>
      </c>
      <c r="C29" s="2603"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0"/>
      <c r="M29" s="1131"/>
      <c r="N29" s="1131"/>
      <c r="O29" s="1132"/>
      <c r="P29" s="3227"/>
      <c r="Q29" s="1793" t="str">
        <f t="shared" ref="Q29" si="9">B29</f>
        <v>基础设施水平</v>
      </c>
      <c r="R29" s="769" t="s">
        <v>17</v>
      </c>
      <c r="S29" s="770">
        <f>F29</f>
        <v>100</v>
      </c>
      <c r="T29" s="769" t="s">
        <v>17</v>
      </c>
      <c r="U29" s="770">
        <f>H29</f>
        <v>100</v>
      </c>
      <c r="V29" s="769" t="s">
        <v>17</v>
      </c>
      <c r="W29" s="770">
        <f>J29</f>
        <v>100</v>
      </c>
      <c r="X29" s="771"/>
      <c r="Y29" s="3227"/>
      <c r="Z29" s="55" t="str">
        <f>Q29</f>
        <v>基础设施水平</v>
      </c>
      <c r="AA29" s="1809">
        <f>D29/F29</f>
        <v>1</v>
      </c>
      <c r="AB29" s="1809">
        <f>D29/H29</f>
        <v>1</v>
      </c>
      <c r="AC29" s="1809">
        <f>D29/J29</f>
        <v>1</v>
      </c>
    </row>
    <row r="30" spans="1:29" s="117" customFormat="1" ht="15">
      <c r="A30" s="649"/>
      <c r="B30" s="456"/>
      <c r="C30" s="2696"/>
      <c r="D30" s="448"/>
      <c r="E30" s="2697"/>
      <c r="F30" s="448"/>
      <c r="G30" s="2697"/>
      <c r="H30" s="448"/>
      <c r="I30" s="2697"/>
      <c r="J30" s="448"/>
      <c r="K30" s="672"/>
      <c r="L30" s="1130"/>
      <c r="M30" s="1131"/>
      <c r="N30" s="1131"/>
      <c r="O30" s="1132"/>
      <c r="P30" s="3227"/>
      <c r="Q30" s="1793"/>
      <c r="R30" s="769"/>
      <c r="S30" s="770"/>
      <c r="T30" s="769"/>
      <c r="U30" s="770"/>
      <c r="V30" s="769"/>
      <c r="W30" s="770"/>
      <c r="X30" s="771"/>
      <c r="Y30" s="3227"/>
      <c r="Z30" s="55"/>
      <c r="AA30" s="1809">
        <v>1</v>
      </c>
      <c r="AB30" s="1809">
        <v>1</v>
      </c>
      <c r="AC30" s="1809">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227"/>
      <c r="Q31" s="1808" t="str">
        <f t="shared" si="8"/>
        <v>临街状况</v>
      </c>
      <c r="R31" s="773" t="s">
        <v>17</v>
      </c>
      <c r="S31" s="774">
        <f t="shared" ref="S31:S45" si="10">F31</f>
        <v>100</v>
      </c>
      <c r="T31" s="773" t="s">
        <v>17</v>
      </c>
      <c r="U31" s="774">
        <f t="shared" ref="U31:U45" si="11">H31</f>
        <v>100</v>
      </c>
      <c r="V31" s="773" t="s">
        <v>17</v>
      </c>
      <c r="W31" s="774">
        <f t="shared" ref="W31:W45" si="12">J31</f>
        <v>100</v>
      </c>
      <c r="X31" s="1811"/>
      <c r="Y31" s="3227"/>
      <c r="Z31" s="1812" t="str">
        <f t="shared" ref="Z31:Z45" si="13">Q31</f>
        <v>临街状况</v>
      </c>
      <c r="AA31" s="1809">
        <f t="shared" si="3"/>
        <v>1</v>
      </c>
      <c r="AB31" s="1809">
        <f t="shared" si="4"/>
        <v>1</v>
      </c>
      <c r="AC31" s="1809">
        <f t="shared" si="5"/>
        <v>1</v>
      </c>
    </row>
    <row r="32" spans="1:29" ht="27">
      <c r="A32" s="428"/>
      <c r="B32" s="1382"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8"/>
      <c r="M32" s="1129"/>
      <c r="N32" s="1129"/>
      <c r="O32" s="1137"/>
      <c r="P32" s="3227"/>
      <c r="Q32" s="1808" t="str">
        <f t="shared" si="8"/>
        <v>毗邻道路的类型与等级</v>
      </c>
      <c r="R32" s="773" t="s">
        <v>17</v>
      </c>
      <c r="S32" s="774">
        <f t="shared" si="10"/>
        <v>100</v>
      </c>
      <c r="T32" s="773" t="s">
        <v>17</v>
      </c>
      <c r="U32" s="774">
        <f t="shared" si="11"/>
        <v>100</v>
      </c>
      <c r="V32" s="773" t="s">
        <v>17</v>
      </c>
      <c r="W32" s="774">
        <f t="shared" si="12"/>
        <v>100</v>
      </c>
      <c r="X32" s="1811"/>
      <c r="Y32" s="3227"/>
      <c r="Z32" s="1812" t="str">
        <f t="shared" si="13"/>
        <v>毗邻道路的类型与等级</v>
      </c>
      <c r="AA32" s="1809">
        <f t="shared" si="3"/>
        <v>1</v>
      </c>
      <c r="AB32" s="1809">
        <f t="shared" si="4"/>
        <v>1</v>
      </c>
      <c r="AC32" s="1809">
        <f t="shared" si="5"/>
        <v>1</v>
      </c>
    </row>
    <row r="33" spans="1:29" ht="15">
      <c r="A33" s="428"/>
      <c r="B33" s="456"/>
      <c r="C33" s="447"/>
      <c r="D33" s="448"/>
      <c r="E33" s="2607"/>
      <c r="F33" s="448"/>
      <c r="G33" s="2607"/>
      <c r="H33" s="448"/>
      <c r="I33" s="447"/>
      <c r="J33" s="448"/>
      <c r="K33" s="613"/>
      <c r="L33" s="1138"/>
      <c r="M33" s="1129"/>
      <c r="N33" s="1129"/>
      <c r="O33" s="1137"/>
      <c r="P33" s="3227"/>
      <c r="Q33" s="1808"/>
      <c r="R33" s="773"/>
      <c r="S33" s="774"/>
      <c r="T33" s="773"/>
      <c r="U33" s="774"/>
      <c r="V33" s="773"/>
      <c r="W33" s="774"/>
      <c r="X33" s="1811"/>
      <c r="Y33" s="3227"/>
      <c r="Z33" s="1812"/>
      <c r="AA33" s="1809">
        <v>1</v>
      </c>
      <c r="AB33" s="1809">
        <v>1</v>
      </c>
      <c r="AC33" s="1809">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227"/>
      <c r="Q34" s="1808" t="str">
        <f t="shared" si="8"/>
        <v>土地级别</v>
      </c>
      <c r="R34" s="773" t="s">
        <v>17</v>
      </c>
      <c r="S34" s="774">
        <f t="shared" si="10"/>
        <v>100</v>
      </c>
      <c r="T34" s="773" t="s">
        <v>17</v>
      </c>
      <c r="U34" s="774">
        <f t="shared" si="11"/>
        <v>100</v>
      </c>
      <c r="V34" s="773" t="s">
        <v>17</v>
      </c>
      <c r="W34" s="774">
        <f t="shared" si="12"/>
        <v>100</v>
      </c>
      <c r="X34" s="1811"/>
      <c r="Y34" s="3227"/>
      <c r="Z34" s="1812" t="str">
        <f t="shared" si="13"/>
        <v>土地级别</v>
      </c>
      <c r="AA34" s="1809">
        <f t="shared" si="3"/>
        <v>1</v>
      </c>
      <c r="AB34" s="1809">
        <f t="shared" si="4"/>
        <v>1</v>
      </c>
      <c r="AC34" s="1809">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227"/>
      <c r="Q35" s="1808">
        <f t="shared" si="8"/>
        <v>111</v>
      </c>
      <c r="R35" s="773" t="s">
        <v>17</v>
      </c>
      <c r="S35" s="774">
        <f t="shared" si="10"/>
        <v>100</v>
      </c>
      <c r="T35" s="773" t="s">
        <v>17</v>
      </c>
      <c r="U35" s="774">
        <f t="shared" si="11"/>
        <v>100</v>
      </c>
      <c r="V35" s="773" t="s">
        <v>17</v>
      </c>
      <c r="W35" s="774">
        <f t="shared" si="12"/>
        <v>100</v>
      </c>
      <c r="X35" s="1811"/>
      <c r="Y35" s="3227"/>
      <c r="Z35" s="1812">
        <f t="shared" si="13"/>
        <v>111</v>
      </c>
      <c r="AA35" s="1809">
        <f t="shared" si="3"/>
        <v>1</v>
      </c>
      <c r="AB35" s="1809">
        <f t="shared" si="4"/>
        <v>1</v>
      </c>
      <c r="AC35" s="1809">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28" t="s">
        <v>2565</v>
      </c>
      <c r="Q36" s="1808">
        <f t="shared" si="8"/>
        <v>111</v>
      </c>
      <c r="R36" s="773" t="s">
        <v>17</v>
      </c>
      <c r="S36" s="774">
        <f t="shared" si="10"/>
        <v>100</v>
      </c>
      <c r="T36" s="773" t="s">
        <v>17</v>
      </c>
      <c r="U36" s="774">
        <f t="shared" si="11"/>
        <v>100</v>
      </c>
      <c r="V36" s="773" t="s">
        <v>17</v>
      </c>
      <c r="W36" s="774">
        <f t="shared" si="12"/>
        <v>100</v>
      </c>
      <c r="X36" s="1811"/>
      <c r="Y36" s="3229" t="s">
        <v>2565</v>
      </c>
      <c r="Z36" s="1812">
        <f t="shared" si="13"/>
        <v>111</v>
      </c>
      <c r="AA36" s="1809">
        <f t="shared" si="3"/>
        <v>1</v>
      </c>
      <c r="AB36" s="1809">
        <f t="shared" si="4"/>
        <v>1</v>
      </c>
      <c r="AC36" s="1809">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229"/>
      <c r="Q37" s="1808">
        <f t="shared" si="8"/>
        <v>111</v>
      </c>
      <c r="R37" s="776" t="s">
        <v>17</v>
      </c>
      <c r="S37" s="777">
        <f t="shared" si="10"/>
        <v>100</v>
      </c>
      <c r="T37" s="776" t="s">
        <v>17</v>
      </c>
      <c r="U37" s="777">
        <f t="shared" si="11"/>
        <v>100</v>
      </c>
      <c r="V37" s="776" t="s">
        <v>17</v>
      </c>
      <c r="W37" s="777">
        <f t="shared" si="12"/>
        <v>100</v>
      </c>
      <c r="X37" s="778"/>
      <c r="Y37" s="3229"/>
      <c r="Z37" s="779">
        <f t="shared" si="13"/>
        <v>111</v>
      </c>
      <c r="AA37" s="1809">
        <f t="shared" si="3"/>
        <v>1</v>
      </c>
      <c r="AB37" s="1809">
        <f t="shared" si="4"/>
        <v>1</v>
      </c>
      <c r="AC37" s="1809">
        <f t="shared" si="5"/>
        <v>1</v>
      </c>
    </row>
    <row r="38" spans="1:29" ht="15">
      <c r="A38" s="472" t="s">
        <v>2563</v>
      </c>
      <c r="B38" s="456" t="s">
        <v>2751</v>
      </c>
      <c r="C38" s="679">
        <f>'数据-基础表'!A3</f>
        <v>0</v>
      </c>
      <c r="D38" s="467">
        <v>100</v>
      </c>
      <c r="E38" s="679">
        <f>土地案例!D15</f>
        <v>13349</v>
      </c>
      <c r="F38" s="467">
        <f>LOOKUP(E38,117:117,118:118)-LOOKUP(C38,117:117,118:118)+100</f>
        <v>102</v>
      </c>
      <c r="G38" s="679">
        <f>土地案例!D26</f>
        <v>42653</v>
      </c>
      <c r="H38" s="467">
        <f>LOOKUP(G38,117:117,118:118)-LOOKUP(C38,117:117,118:118)+100</f>
        <v>102</v>
      </c>
      <c r="I38" s="530">
        <f>土地案例!D27</f>
        <v>28436</v>
      </c>
      <c r="J38" s="467">
        <f>LOOKUP(I38,117:117,118:118)-LOOKUP(C38,117:117,118:118)+100</f>
        <v>102</v>
      </c>
      <c r="K38" s="613"/>
      <c r="L38" s="1138"/>
      <c r="M38" s="1129"/>
      <c r="N38" s="1129"/>
      <c r="O38" s="1137"/>
      <c r="P38" s="3229"/>
      <c r="Q38" s="1808" t="str">
        <f>B38</f>
        <v>宗地面积</v>
      </c>
      <c r="R38" s="773" t="s">
        <v>17</v>
      </c>
      <c r="S38" s="774">
        <f t="shared" si="10"/>
        <v>102</v>
      </c>
      <c r="T38" s="773" t="s">
        <v>17</v>
      </c>
      <c r="U38" s="774">
        <f t="shared" si="11"/>
        <v>102</v>
      </c>
      <c r="V38" s="773" t="s">
        <v>17</v>
      </c>
      <c r="W38" s="774">
        <f t="shared" si="12"/>
        <v>102</v>
      </c>
      <c r="X38" s="1811"/>
      <c r="Y38" s="3229"/>
      <c r="Z38" s="1812" t="str">
        <f t="shared" si="13"/>
        <v>宗地面积</v>
      </c>
      <c r="AA38" s="1809">
        <f t="shared" si="3"/>
        <v>0.98039215686274506</v>
      </c>
      <c r="AB38" s="1809">
        <f t="shared" si="4"/>
        <v>0.98039215686274506</v>
      </c>
      <c r="AC38" s="1809">
        <f t="shared" si="5"/>
        <v>0.98039215686274506</v>
      </c>
    </row>
    <row r="39" spans="1:29" ht="15">
      <c r="A39" s="472"/>
      <c r="B39" s="422" t="s">
        <v>2752</v>
      </c>
      <c r="C39" s="2609"/>
      <c r="D39" s="435">
        <v>100</v>
      </c>
      <c r="E39" s="2609"/>
      <c r="F39" s="435">
        <f>SUMIF(119:119,E39,120:120)-SUMIF(119:119,C39,120:120)+100</f>
        <v>100</v>
      </c>
      <c r="G39" s="2609"/>
      <c r="H39" s="435">
        <f>SUMIF(119:119,G39,120:120)-SUMIF(119:119,C39,120:120)+100</f>
        <v>100</v>
      </c>
      <c r="I39" s="2609"/>
      <c r="J39" s="435">
        <f>SUMIF(119:119,I39,120:120)-SUMIF(119:119,C39,120:120)+100</f>
        <v>100</v>
      </c>
      <c r="K39" s="612"/>
      <c r="L39" s="1138"/>
      <c r="M39" s="1129"/>
      <c r="N39" s="1129"/>
      <c r="O39" s="1137"/>
      <c r="P39" s="3229"/>
      <c r="Q39" s="1808" t="str">
        <f t="shared" ref="Q39:Q45" si="14">B39</f>
        <v>宗地形状</v>
      </c>
      <c r="R39" s="773" t="s">
        <v>17</v>
      </c>
      <c r="S39" s="774">
        <f t="shared" si="10"/>
        <v>100</v>
      </c>
      <c r="T39" s="773" t="s">
        <v>17</v>
      </c>
      <c r="U39" s="774">
        <f t="shared" si="11"/>
        <v>100</v>
      </c>
      <c r="V39" s="773" t="s">
        <v>17</v>
      </c>
      <c r="W39" s="774">
        <f t="shared" si="12"/>
        <v>100</v>
      </c>
      <c r="X39" s="1811"/>
      <c r="Y39" s="3229"/>
      <c r="Z39" s="1812" t="str">
        <f t="shared" si="13"/>
        <v>宗地形状</v>
      </c>
      <c r="AA39" s="1809">
        <f t="shared" si="3"/>
        <v>1</v>
      </c>
      <c r="AB39" s="1809">
        <f t="shared" si="4"/>
        <v>1</v>
      </c>
      <c r="AC39" s="1809">
        <f t="shared" si="5"/>
        <v>1</v>
      </c>
    </row>
    <row r="40" spans="1:29" ht="15">
      <c r="A40" s="472"/>
      <c r="B40" s="422" t="s">
        <v>2753</v>
      </c>
      <c r="C40" s="2609"/>
      <c r="D40" s="435">
        <v>100</v>
      </c>
      <c r="E40" s="2609"/>
      <c r="F40" s="435">
        <f>SUMIF(121:121,E40,122:122)-SUMIF(121:121,C40,122:122)+100</f>
        <v>100</v>
      </c>
      <c r="G40" s="2609"/>
      <c r="H40" s="435">
        <f>SUMIF(121:121,G40,122:122)-SUMIF(121:121,C40,122:122)+100</f>
        <v>100</v>
      </c>
      <c r="I40" s="2609"/>
      <c r="J40" s="435">
        <f>SUMIF(121:121,I40,122:122)-SUMIF(121:121,C40,122:122)+100</f>
        <v>100</v>
      </c>
      <c r="K40" s="612"/>
      <c r="L40" s="1138"/>
      <c r="M40" s="1129"/>
      <c r="N40" s="1129"/>
      <c r="O40" s="1137"/>
      <c r="P40" s="3229"/>
      <c r="Q40" s="1808" t="str">
        <f t="shared" si="14"/>
        <v>临街宽度及深度</v>
      </c>
      <c r="R40" s="773" t="s">
        <v>17</v>
      </c>
      <c r="S40" s="774">
        <f t="shared" si="10"/>
        <v>100</v>
      </c>
      <c r="T40" s="773" t="s">
        <v>17</v>
      </c>
      <c r="U40" s="774">
        <f t="shared" si="11"/>
        <v>100</v>
      </c>
      <c r="V40" s="773" t="s">
        <v>17</v>
      </c>
      <c r="W40" s="774">
        <f t="shared" si="12"/>
        <v>100</v>
      </c>
      <c r="X40" s="1811"/>
      <c r="Y40" s="3229"/>
      <c r="Z40" s="1812" t="str">
        <f t="shared" si="13"/>
        <v>临街宽度及深度</v>
      </c>
      <c r="AA40" s="1809">
        <f t="shared" si="3"/>
        <v>1</v>
      </c>
      <c r="AB40" s="1809">
        <f t="shared" si="4"/>
        <v>1</v>
      </c>
      <c r="AC40" s="1809">
        <f t="shared" si="5"/>
        <v>1</v>
      </c>
    </row>
    <row r="41" spans="1:29" s="117" customFormat="1" ht="15">
      <c r="A41" s="473"/>
      <c r="B41" s="422" t="s">
        <v>2754</v>
      </c>
      <c r="C41" s="2698"/>
      <c r="D41" s="136">
        <v>100</v>
      </c>
      <c r="E41" s="2698"/>
      <c r="F41" s="435">
        <f>SUMIF(123:123,E41,124:124)-SUMIF(123:123,C41,124:124)+100</f>
        <v>100</v>
      </c>
      <c r="G41" s="2698"/>
      <c r="H41" s="435">
        <f>SUMIF(123:123,G41,124:124)-SUMIF(123:123,C41,124:124)+100</f>
        <v>100</v>
      </c>
      <c r="I41" s="2698"/>
      <c r="J41" s="435">
        <f>SUMIF(123:123,I41,124:124)-SUMIF(123:123,C41,124:124)+100</f>
        <v>100</v>
      </c>
      <c r="K41" s="612"/>
      <c r="L41" s="1130"/>
      <c r="M41" s="1131"/>
      <c r="N41" s="1131"/>
      <c r="O41" s="1132"/>
      <c r="P41" s="3229"/>
      <c r="Q41" s="1808" t="str">
        <f t="shared" si="14"/>
        <v>宗地开发程度</v>
      </c>
      <c r="R41" s="769" t="s">
        <v>17</v>
      </c>
      <c r="S41" s="770">
        <f t="shared" si="10"/>
        <v>100</v>
      </c>
      <c r="T41" s="769" t="s">
        <v>17</v>
      </c>
      <c r="U41" s="770">
        <f t="shared" si="11"/>
        <v>100</v>
      </c>
      <c r="V41" s="769" t="s">
        <v>17</v>
      </c>
      <c r="W41" s="770">
        <f t="shared" si="12"/>
        <v>100</v>
      </c>
      <c r="X41" s="771"/>
      <c r="Y41" s="3229"/>
      <c r="Z41" s="55" t="str">
        <f t="shared" si="13"/>
        <v>宗地开发程度</v>
      </c>
      <c r="AA41" s="772">
        <f t="shared" si="3"/>
        <v>1</v>
      </c>
      <c r="AB41" s="772">
        <f t="shared" si="4"/>
        <v>1</v>
      </c>
      <c r="AC41" s="772">
        <f t="shared" si="5"/>
        <v>1</v>
      </c>
    </row>
    <row r="42" spans="1:29" ht="15">
      <c r="A42" s="472"/>
      <c r="B42" s="422" t="s">
        <v>2755</v>
      </c>
      <c r="C42" s="2609"/>
      <c r="D42" s="435">
        <v>100</v>
      </c>
      <c r="E42" s="2609"/>
      <c r="F42" s="435">
        <f>SUMIF(125:125,E42,126:126)-SUMIF(125:125,C42,126:126)+100</f>
        <v>100</v>
      </c>
      <c r="G42" s="2609"/>
      <c r="H42" s="435">
        <f>SUMIF(125:125,G42,126:126)-SUMIF(125:125,C42,126:126)+100</f>
        <v>100</v>
      </c>
      <c r="I42" s="2609"/>
      <c r="J42" s="435">
        <f>SUMIF(125:125,I42,126:126)-SUMIF(125:125,C42,126:126)+100</f>
        <v>100</v>
      </c>
      <c r="K42" s="612"/>
      <c r="L42" s="1138"/>
      <c r="M42" s="1129"/>
      <c r="N42" s="1129"/>
      <c r="O42" s="1137"/>
      <c r="P42" s="3229" t="s">
        <v>2565</v>
      </c>
      <c r="Q42" s="1808" t="str">
        <f t="shared" si="14"/>
        <v>工程地质条件</v>
      </c>
      <c r="R42" s="773" t="s">
        <v>17</v>
      </c>
      <c r="S42" s="774">
        <f t="shared" si="10"/>
        <v>100</v>
      </c>
      <c r="T42" s="773" t="s">
        <v>17</v>
      </c>
      <c r="U42" s="774">
        <f t="shared" si="11"/>
        <v>100</v>
      </c>
      <c r="V42" s="773" t="s">
        <v>17</v>
      </c>
      <c r="W42" s="774">
        <f t="shared" si="12"/>
        <v>100</v>
      </c>
      <c r="X42" s="1811"/>
      <c r="Y42" s="3229" t="s">
        <v>2565</v>
      </c>
      <c r="Z42" s="1812" t="str">
        <f t="shared" si="13"/>
        <v>工程地质条件</v>
      </c>
      <c r="AA42" s="1809">
        <f t="shared" si="3"/>
        <v>1</v>
      </c>
      <c r="AB42" s="1809">
        <f t="shared" si="4"/>
        <v>1</v>
      </c>
      <c r="AC42" s="1809">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229"/>
      <c r="Q43" s="1808">
        <f t="shared" si="14"/>
        <v>111</v>
      </c>
      <c r="R43" s="773" t="s">
        <v>17</v>
      </c>
      <c r="S43" s="774">
        <f t="shared" si="10"/>
        <v>100</v>
      </c>
      <c r="T43" s="773" t="s">
        <v>17</v>
      </c>
      <c r="U43" s="774">
        <f t="shared" si="11"/>
        <v>100</v>
      </c>
      <c r="V43" s="773" t="s">
        <v>17</v>
      </c>
      <c r="W43" s="774">
        <f t="shared" si="12"/>
        <v>100</v>
      </c>
      <c r="X43" s="1811"/>
      <c r="Y43" s="3229"/>
      <c r="Z43" s="1812">
        <f t="shared" si="13"/>
        <v>111</v>
      </c>
      <c r="AA43" s="1809">
        <f t="shared" si="3"/>
        <v>1</v>
      </c>
      <c r="AB43" s="1809">
        <f t="shared" si="4"/>
        <v>1</v>
      </c>
      <c r="AC43" s="1809">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229"/>
      <c r="Q44" s="1808">
        <f t="shared" si="14"/>
        <v>111</v>
      </c>
      <c r="R44" s="773" t="s">
        <v>17</v>
      </c>
      <c r="S44" s="774">
        <f t="shared" si="10"/>
        <v>100</v>
      </c>
      <c r="T44" s="773" t="s">
        <v>17</v>
      </c>
      <c r="U44" s="774">
        <f t="shared" si="11"/>
        <v>100</v>
      </c>
      <c r="V44" s="773" t="s">
        <v>17</v>
      </c>
      <c r="W44" s="774">
        <f t="shared" si="12"/>
        <v>100</v>
      </c>
      <c r="X44" s="1811"/>
      <c r="Y44" s="3229"/>
      <c r="Z44" s="1812">
        <f t="shared" si="13"/>
        <v>111</v>
      </c>
      <c r="AA44" s="1809">
        <f t="shared" si="3"/>
        <v>1</v>
      </c>
      <c r="AB44" s="1809">
        <f t="shared" si="4"/>
        <v>1</v>
      </c>
      <c r="AC44" s="1809">
        <f t="shared" si="5"/>
        <v>1</v>
      </c>
    </row>
    <row r="45" spans="1:29" s="471" customFormat="1" ht="15.75" thickBot="1">
      <c r="A45" s="468"/>
      <c r="B45" s="1385">
        <v>111</v>
      </c>
      <c r="C45" s="2699"/>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229"/>
      <c r="Q45" s="1808">
        <f t="shared" si="14"/>
        <v>111</v>
      </c>
      <c r="R45" s="776" t="s">
        <v>17</v>
      </c>
      <c r="S45" s="777">
        <f t="shared" si="10"/>
        <v>100</v>
      </c>
      <c r="T45" s="776" t="s">
        <v>17</v>
      </c>
      <c r="U45" s="777">
        <f t="shared" si="11"/>
        <v>100</v>
      </c>
      <c r="V45" s="776" t="s">
        <v>17</v>
      </c>
      <c r="W45" s="777">
        <f t="shared" si="12"/>
        <v>100</v>
      </c>
      <c r="X45" s="778"/>
      <c r="Y45" s="3229"/>
      <c r="Z45" s="779">
        <f t="shared" si="13"/>
        <v>111</v>
      </c>
      <c r="AA45" s="1809">
        <f t="shared" si="3"/>
        <v>1</v>
      </c>
      <c r="AB45" s="1809">
        <f t="shared" si="4"/>
        <v>1</v>
      </c>
      <c r="AC45" s="1809">
        <f t="shared" si="5"/>
        <v>1</v>
      </c>
    </row>
    <row r="46" spans="1:29" ht="15">
      <c r="A46" s="479" t="s">
        <v>2720</v>
      </c>
      <c r="B46" s="2700" t="s">
        <v>3080</v>
      </c>
      <c r="C46" s="682" t="s">
        <v>1</v>
      </c>
      <c r="D46" s="481"/>
      <c r="E46" s="482">
        <f>ROUND(土地案例!K15,0)</f>
        <v>572</v>
      </c>
      <c r="F46" s="483"/>
      <c r="G46" s="484">
        <f>ROUND(土地案例!K26,0)</f>
        <v>646</v>
      </c>
      <c r="H46" s="485"/>
      <c r="I46" s="482">
        <f>ROUND(土地案例!K27,0)</f>
        <v>647</v>
      </c>
      <c r="J46" s="485"/>
      <c r="K46" s="782"/>
      <c r="L46" s="1141"/>
      <c r="M46" s="1142"/>
      <c r="N46" s="1129"/>
      <c r="O46" s="1142"/>
      <c r="P46" s="3224" t="str">
        <f>A46</f>
        <v>成交单价</v>
      </c>
      <c r="Q46" s="3224"/>
      <c r="R46" s="3230">
        <f>E46</f>
        <v>572</v>
      </c>
      <c r="S46" s="3230"/>
      <c r="T46" s="3230">
        <f>G46</f>
        <v>646</v>
      </c>
      <c r="U46" s="3230"/>
      <c r="V46" s="3230">
        <f>I46</f>
        <v>647</v>
      </c>
      <c r="W46" s="3230"/>
      <c r="X46" s="758"/>
      <c r="Y46" s="780"/>
      <c r="Z46" s="758"/>
      <c r="AA46" s="758"/>
      <c r="AB46" s="758"/>
      <c r="AC46" s="758"/>
    </row>
    <row r="47" spans="1:29" ht="15.75" thickBot="1">
      <c r="A47" s="486" t="s">
        <v>2669</v>
      </c>
      <c r="B47" s="683"/>
      <c r="C47" s="490" t="e">
        <f>R48</f>
        <v>#DIV/0!</v>
      </c>
      <c r="D47" s="489"/>
      <c r="E47" s="490" t="e">
        <f>R47</f>
        <v>#DIV/0!</v>
      </c>
      <c r="F47" s="491"/>
      <c r="G47" s="488" t="e">
        <f>T47</f>
        <v>#DIV/0!</v>
      </c>
      <c r="H47" s="489"/>
      <c r="I47" s="490" t="e">
        <f>V47</f>
        <v>#DIV/0!</v>
      </c>
      <c r="J47" s="489"/>
      <c r="K47" s="783"/>
      <c r="L47" s="1141"/>
      <c r="M47" s="1142"/>
      <c r="N47" s="1142"/>
      <c r="O47" s="1142"/>
      <c r="P47" s="3224" t="str">
        <f>A47</f>
        <v>比较价值（元/平方米）</v>
      </c>
      <c r="Q47" s="3224"/>
      <c r="R47" s="3217" t="e">
        <f>ROUND(PRODUCT(R46,AA7:AA45),0)</f>
        <v>#DIV/0!</v>
      </c>
      <c r="S47" s="3217"/>
      <c r="T47" s="3217" t="e">
        <f>ROUND(PRODUCT(T46,AB7:AB45),0)</f>
        <v>#DIV/0!</v>
      </c>
      <c r="U47" s="3217"/>
      <c r="V47" s="3217" t="e">
        <f>ROUND(PRODUCT(V46,AC7:AC45),0)</f>
        <v>#DIV/0!</v>
      </c>
      <c r="W47" s="3217"/>
      <c r="X47" s="758"/>
      <c r="Y47" s="758"/>
      <c r="Z47" s="758"/>
      <c r="AA47" s="758"/>
      <c r="AB47" s="758"/>
      <c r="AC47" s="758"/>
    </row>
    <row r="48" spans="1:29" ht="15.75" thickBot="1">
      <c r="A48" s="492" t="s">
        <v>2756</v>
      </c>
      <c r="B48" s="493"/>
      <c r="C48" s="494" t="e">
        <f>R48</f>
        <v>#DIV/0!</v>
      </c>
      <c r="D48" s="494"/>
      <c r="E48" s="494"/>
      <c r="F48" s="494"/>
      <c r="G48" s="494"/>
      <c r="H48" s="494"/>
      <c r="I48" s="494"/>
      <c r="J48" s="494"/>
      <c r="K48" s="784"/>
      <c r="L48" s="1141"/>
      <c r="M48" s="1142"/>
      <c r="N48" s="1142"/>
      <c r="O48" s="1142"/>
      <c r="P48" s="3218" t="str">
        <f>A48</f>
        <v>估价对象XX用房的比较价值（楼面单价，元/平方米）</v>
      </c>
      <c r="Q48" s="3219"/>
      <c r="R48" s="3220" t="e">
        <f>ROUND(AVERAGE(R47:V47),0)</f>
        <v>#DIV/0!</v>
      </c>
      <c r="S48" s="3220"/>
      <c r="T48" s="3220"/>
      <c r="U48" s="3220"/>
      <c r="V48" s="3220"/>
      <c r="W48" s="3220"/>
      <c r="X48" s="758"/>
      <c r="Y48" s="758"/>
      <c r="Z48" s="758"/>
      <c r="AA48" s="758"/>
      <c r="AB48" s="758"/>
      <c r="AC48" s="758"/>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2"/>
      <c r="N51" s="1142"/>
      <c r="O51" s="1142"/>
    </row>
    <row r="52" spans="1:15" ht="13.5" customHeight="1">
      <c r="A52" s="1142"/>
      <c r="B52" s="1142"/>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2"/>
      <c r="N52" s="1142"/>
      <c r="O52" s="1142"/>
    </row>
    <row r="53" spans="1:15" s="502" customFormat="1" ht="13.5" customHeight="1">
      <c r="A53" s="1143"/>
      <c r="B53" s="1143"/>
      <c r="C53" s="497" t="s">
        <v>2673</v>
      </c>
      <c r="D53" s="501"/>
      <c r="E53" s="499">
        <f>IF(E46&lt;G46,G46/E46-1,E46/G46-1)</f>
        <v>0.12937062937062938</v>
      </c>
      <c r="F53" s="500" t="str">
        <f>IF(OR(E53&gt;=0.3,E53&lt;=-0.3),"超过30%","")</f>
        <v/>
      </c>
      <c r="G53" s="499">
        <f>IF(G46&lt;I46,I46/G46-1,G46/I46-1)</f>
        <v>1.5479876160990891E-3</v>
      </c>
      <c r="H53" s="500" t="str">
        <f>IF(OR(G53&gt;=0.3,G53&lt;=-0.3),"超过30%","")</f>
        <v/>
      </c>
      <c r="I53" s="499">
        <f>IF(I46&lt;E46,E46/I46-1,I46/E46-1)</f>
        <v>0.13111888111888104</v>
      </c>
      <c r="J53" s="500" t="str">
        <f>IF(OR(I53&gt;=0.3,I53&lt;=-0.3),"超过30%","")</f>
        <v/>
      </c>
      <c r="K53" s="1146"/>
      <c r="L53" s="1147"/>
      <c r="M53" s="1143"/>
      <c r="N53" s="1143"/>
      <c r="O53" s="1143"/>
    </row>
    <row r="54" spans="1:15" s="502" customFormat="1" ht="15" thickBot="1">
      <c r="A54" s="1143"/>
      <c r="B54" s="1144"/>
      <c r="C54" s="761"/>
      <c r="D54" s="759"/>
      <c r="E54" s="759"/>
      <c r="F54" s="759"/>
      <c r="G54" s="759"/>
      <c r="H54" s="759"/>
      <c r="I54" s="759"/>
      <c r="J54" s="759"/>
      <c r="K54" s="1146"/>
      <c r="L54" s="1147"/>
      <c r="M54" s="1143"/>
      <c r="N54" s="1143"/>
      <c r="O54" s="1143"/>
    </row>
    <row r="55" spans="1:15" ht="27" customHeight="1">
      <c r="A55" s="684" t="s">
        <v>2757</v>
      </c>
      <c r="B55" s="685" t="s">
        <v>2758</v>
      </c>
      <c r="C55" s="2701" t="s">
        <v>2759</v>
      </c>
      <c r="D55" s="2702" t="s">
        <v>2760</v>
      </c>
      <c r="E55" s="686" t="s">
        <v>2761</v>
      </c>
      <c r="F55" s="1105" t="s">
        <v>2762</v>
      </c>
      <c r="G55" s="3221" t="s">
        <v>2763</v>
      </c>
      <c r="H55" s="3222"/>
      <c r="I55" s="144" t="s">
        <v>2764</v>
      </c>
      <c r="J55" s="2703" t="str">
        <f>项目基本情况!F35</f>
        <v>江苏省泰州市</v>
      </c>
      <c r="K55" s="2704" t="s">
        <v>2765</v>
      </c>
      <c r="L55" s="1104"/>
      <c r="M55" s="1142"/>
      <c r="N55" s="1142"/>
      <c r="O55" s="1142"/>
    </row>
    <row r="56" spans="1:15" s="692" customFormat="1">
      <c r="A56" s="688" t="s">
        <v>2766</v>
      </c>
      <c r="B56" s="689" t="e">
        <f>C48</f>
        <v>#DIV/0!</v>
      </c>
      <c r="C56" s="690">
        <v>1</v>
      </c>
      <c r="D56" s="1161">
        <v>1</v>
      </c>
      <c r="E56" s="690">
        <f>'数据-汇总表'!E8+'数据-汇总表'!E9</f>
        <v>3992.9400000000005</v>
      </c>
      <c r="F56" s="1101" t="e">
        <f t="shared" ref="F56:F65" si="15">ROUND(B56*E56/10000,0)</f>
        <v>#DIV/0!</v>
      </c>
      <c r="G56" s="3223"/>
      <c r="H56" s="3224"/>
      <c r="I56" s="1106">
        <v>1</v>
      </c>
      <c r="J56" s="1109">
        <v>1</v>
      </c>
      <c r="K56" s="1143"/>
      <c r="L56" s="940"/>
      <c r="M56" s="940"/>
      <c r="N56" s="940"/>
      <c r="O56" s="940"/>
    </row>
    <row r="57" spans="1:15" s="692" customFormat="1">
      <c r="A57" s="693" t="s">
        <v>2767</v>
      </c>
      <c r="B57" s="262" t="e">
        <f>ROUND($C$48*C57*D57,0)</f>
        <v>#DIV/0!</v>
      </c>
      <c r="C57" s="200">
        <f t="shared" ref="C57:C65" si="16">IF($C$55="北京市系数",I57,J57)</f>
        <v>0</v>
      </c>
      <c r="D57" s="1162">
        <v>0.25</v>
      </c>
      <c r="E57" s="694"/>
      <c r="F57" s="1101" t="e">
        <f t="shared" si="15"/>
        <v>#DIV/0!</v>
      </c>
      <c r="G57" s="3225" t="s">
        <v>2768</v>
      </c>
      <c r="H57" s="1102">
        <f>项目基本情况!B37</f>
        <v>0</v>
      </c>
      <c r="I57" s="1106">
        <f>SUMIF(修正!A45:A56,H57,修正!B45:B56)</f>
        <v>0</v>
      </c>
      <c r="J57" s="1110"/>
      <c r="K57" s="1142"/>
      <c r="L57" s="940"/>
      <c r="M57" s="940"/>
      <c r="N57" s="940"/>
      <c r="O57" s="940"/>
    </row>
    <row r="58" spans="1:15" s="692" customFormat="1">
      <c r="A58" s="693" t="s">
        <v>2769</v>
      </c>
      <c r="B58" s="262" t="e">
        <f t="shared" ref="B58:B65" si="17">ROUND($C$48*C58*D58,0)</f>
        <v>#DIV/0!</v>
      </c>
      <c r="C58" s="200">
        <f t="shared" si="16"/>
        <v>0</v>
      </c>
      <c r="D58" s="1162">
        <v>0.25</v>
      </c>
      <c r="E58" s="694"/>
      <c r="F58" s="1101" t="e">
        <f t="shared" si="15"/>
        <v>#DIV/0!</v>
      </c>
      <c r="G58" s="3225"/>
      <c r="H58" s="1102">
        <f>项目基本情况!B37</f>
        <v>0</v>
      </c>
      <c r="I58" s="1106">
        <f>SUMIF(修正!A45:A56,H58,修正!C45:C56)</f>
        <v>0</v>
      </c>
      <c r="J58" s="1110"/>
      <c r="K58" s="1143"/>
      <c r="L58" s="940"/>
      <c r="M58" s="940"/>
      <c r="N58" s="940"/>
      <c r="O58" s="940"/>
    </row>
    <row r="59" spans="1:15" s="692" customFormat="1">
      <c r="A59" s="693" t="s">
        <v>2770</v>
      </c>
      <c r="B59" s="262" t="e">
        <f t="shared" si="17"/>
        <v>#DIV/0!</v>
      </c>
      <c r="C59" s="200">
        <f t="shared" si="16"/>
        <v>0</v>
      </c>
      <c r="D59" s="1162">
        <v>0.25</v>
      </c>
      <c r="E59" s="694"/>
      <c r="F59" s="1101" t="e">
        <f t="shared" si="15"/>
        <v>#DIV/0!</v>
      </c>
      <c r="G59" s="3225"/>
      <c r="H59" s="1102">
        <f>项目基本情况!B37</f>
        <v>0</v>
      </c>
      <c r="I59" s="1106">
        <f>SUMIF(修正!A45:A56,H59,修正!D45:D56)</f>
        <v>0</v>
      </c>
      <c r="J59" s="1110"/>
      <c r="K59" s="1142"/>
      <c r="L59" s="940"/>
      <c r="M59" s="940"/>
      <c r="N59" s="940"/>
      <c r="O59" s="940"/>
    </row>
    <row r="60" spans="1:15" s="692" customFormat="1">
      <c r="A60" s="693" t="s">
        <v>2771</v>
      </c>
      <c r="B60" s="262" t="e">
        <f t="shared" si="17"/>
        <v>#DIV/0!</v>
      </c>
      <c r="C60" s="200">
        <f t="shared" si="16"/>
        <v>0</v>
      </c>
      <c r="D60" s="1162">
        <v>0.25</v>
      </c>
      <c r="E60" s="694"/>
      <c r="F60" s="1101" t="e">
        <f t="shared" si="15"/>
        <v>#DIV/0!</v>
      </c>
      <c r="G60" s="3225"/>
      <c r="H60" s="1102">
        <f>项目基本情况!B37</f>
        <v>0</v>
      </c>
      <c r="I60" s="1106">
        <f>SUMIF(修正!A45:A56,H60,修正!E45:E56)</f>
        <v>0</v>
      </c>
      <c r="J60" s="1110"/>
      <c r="K60" s="1143"/>
      <c r="L60" s="940"/>
      <c r="M60" s="940"/>
      <c r="N60" s="940"/>
      <c r="O60" s="940"/>
    </row>
    <row r="61" spans="1:15" s="692" customFormat="1">
      <c r="A61" s="693" t="s">
        <v>2772</v>
      </c>
      <c r="B61" s="262" t="e">
        <f t="shared" si="17"/>
        <v>#DIV/0!</v>
      </c>
      <c r="C61" s="200">
        <f t="shared" si="16"/>
        <v>0</v>
      </c>
      <c r="D61" s="1162">
        <v>0.25</v>
      </c>
      <c r="E61" s="261">
        <f>'数据-汇总表'!E11</f>
        <v>0</v>
      </c>
      <c r="F61" s="1101" t="e">
        <f t="shared" si="15"/>
        <v>#DIV/0!</v>
      </c>
      <c r="G61" s="2705" t="s">
        <v>2773</v>
      </c>
      <c r="H61" s="1102">
        <f>项目基本情况!C37</f>
        <v>0</v>
      </c>
      <c r="I61" s="1106">
        <f>SUMIF(修正!A45:A56,H61,修正!F45:F56)</f>
        <v>0</v>
      </c>
      <c r="J61" s="1110"/>
      <c r="K61" s="1142"/>
      <c r="L61" s="940"/>
      <c r="M61" s="940"/>
      <c r="N61" s="940"/>
      <c r="O61" s="940"/>
    </row>
    <row r="62" spans="1:15" s="692" customFormat="1">
      <c r="A62" s="693" t="s">
        <v>2774</v>
      </c>
      <c r="B62" s="262" t="e">
        <f t="shared" si="17"/>
        <v>#DIV/0!</v>
      </c>
      <c r="C62" s="200">
        <f t="shared" si="16"/>
        <v>0</v>
      </c>
      <c r="D62" s="1162">
        <v>0.25</v>
      </c>
      <c r="E62" s="261">
        <f>'数据-汇总表'!E12</f>
        <v>0</v>
      </c>
      <c r="F62" s="1101" t="e">
        <f t="shared" si="15"/>
        <v>#DIV/0!</v>
      </c>
      <c r="G62" s="1107" t="s">
        <v>2775</v>
      </c>
      <c r="H62" s="1102">
        <f>IF(G62="商业",项目基本情况!B37,IF(G62="办公",项目基本情况!C37,IF(G62="住宅",项目基本情况!D37,项目基本情况!E37)))</f>
        <v>0</v>
      </c>
      <c r="I62" s="1106">
        <f>SUMIF(修正!A45:A56,H62,修正!G45:G56)</f>
        <v>0</v>
      </c>
      <c r="J62" s="1110"/>
      <c r="K62" s="1143"/>
      <c r="L62" s="940"/>
      <c r="M62" s="940"/>
      <c r="N62" s="940"/>
      <c r="O62" s="940"/>
    </row>
    <row r="63" spans="1:15" s="692" customFormat="1">
      <c r="A63" s="693" t="s">
        <v>2776</v>
      </c>
      <c r="B63" s="262" t="e">
        <f t="shared" si="17"/>
        <v>#DIV/0!</v>
      </c>
      <c r="C63" s="200">
        <f t="shared" si="16"/>
        <v>0</v>
      </c>
      <c r="D63" s="1162">
        <v>0.25</v>
      </c>
      <c r="E63" s="261">
        <f>'数据-汇总表'!E13</f>
        <v>0</v>
      </c>
      <c r="F63" s="1101" t="e">
        <f t="shared" si="15"/>
        <v>#DIV/0!</v>
      </c>
      <c r="G63" s="1107" t="s">
        <v>2777</v>
      </c>
      <c r="H63" s="1102">
        <f>IF(G63="商业",项目基本情况!B37,IF(G63="办公",项目基本情况!C37,IF(G63="住宅",项目基本情况!D37,项目基本情况!E37)))</f>
        <v>0</v>
      </c>
      <c r="I63" s="1106">
        <f>SUMIF(修正!A45:A56,H63,修正!H45:H56)</f>
        <v>0</v>
      </c>
      <c r="J63" s="1110"/>
      <c r="K63" s="1142"/>
      <c r="L63" s="940"/>
      <c r="M63" s="940"/>
      <c r="N63" s="940"/>
      <c r="O63" s="940"/>
    </row>
    <row r="64" spans="1:15" s="692" customFormat="1">
      <c r="A64" s="693" t="s">
        <v>2778</v>
      </c>
      <c r="B64" s="262" t="e">
        <f t="shared" si="17"/>
        <v>#DIV/0!</v>
      </c>
      <c r="C64" s="200">
        <f t="shared" si="16"/>
        <v>0</v>
      </c>
      <c r="D64" s="1162">
        <v>0.25</v>
      </c>
      <c r="E64" s="261">
        <f>'数据-汇总表'!E14</f>
        <v>0</v>
      </c>
      <c r="F64" s="1101" t="e">
        <f t="shared" si="15"/>
        <v>#DIV/0!</v>
      </c>
      <c r="G64" s="2705" t="s">
        <v>2768</v>
      </c>
      <c r="H64" s="1102">
        <f>项目基本情况!B37</f>
        <v>0</v>
      </c>
      <c r="I64" s="1106">
        <f>SUMIF(修正!A45:A56,H64,修正!H45:H56)</f>
        <v>0</v>
      </c>
      <c r="J64" s="1110"/>
      <c r="K64" s="1143"/>
      <c r="L64" s="940"/>
      <c r="M64" s="940"/>
      <c r="N64" s="940"/>
      <c r="O64" s="940"/>
    </row>
    <row r="65" spans="1:17" s="692" customFormat="1" ht="15" thickBot="1">
      <c r="A65" s="693" t="s">
        <v>2779</v>
      </c>
      <c r="B65" s="262" t="e">
        <f t="shared" si="17"/>
        <v>#DIV/0!</v>
      </c>
      <c r="C65" s="200">
        <f t="shared" si="16"/>
        <v>0</v>
      </c>
      <c r="D65" s="1162">
        <v>0.25</v>
      </c>
      <c r="E65" s="261">
        <f>'数据-汇总表'!E15</f>
        <v>0</v>
      </c>
      <c r="F65" s="1101" t="e">
        <f t="shared" si="15"/>
        <v>#DIV/0!</v>
      </c>
      <c r="G65" s="2706" t="s">
        <v>2773</v>
      </c>
      <c r="H65" s="1112">
        <f>项目基本情况!C37</f>
        <v>0</v>
      </c>
      <c r="I65" s="1108">
        <f>SUMIF(修正!A45:A56,H65,修正!H45:H56)</f>
        <v>0</v>
      </c>
      <c r="J65" s="1111"/>
      <c r="K65" s="1142"/>
      <c r="L65" s="940"/>
      <c r="M65" s="940"/>
      <c r="N65" s="940"/>
      <c r="O65" s="940"/>
    </row>
    <row r="66" spans="1:17" s="692" customFormat="1" ht="13.5" thickBot="1">
      <c r="A66" s="695" t="s">
        <v>2780</v>
      </c>
      <c r="B66" s="696" t="s">
        <v>28</v>
      </c>
      <c r="C66" s="696" t="s">
        <v>29</v>
      </c>
      <c r="D66" s="696" t="s">
        <v>1026</v>
      </c>
      <c r="E66" s="696">
        <f>IF(B46="楼面地价",SUM(E56:E65),'数据-汇总表'!D3)</f>
        <v>3992.9400000000005</v>
      </c>
      <c r="F66" s="697" t="e">
        <f>IF(B46="楼面地价",SUM(F56:F65),ROUND(C48*E66/10000,0))</f>
        <v>#DIV/0!</v>
      </c>
      <c r="G66" s="786"/>
      <c r="H66" s="786"/>
      <c r="I66" s="786"/>
      <c r="J66" s="786"/>
      <c r="K66" s="1156"/>
      <c r="L66" s="940"/>
      <c r="M66" s="940"/>
      <c r="N66" s="940"/>
      <c r="O66" s="940"/>
    </row>
    <row r="67" spans="1:17">
      <c r="A67" s="758"/>
      <c r="B67" s="760"/>
      <c r="C67" s="761"/>
      <c r="D67" s="758"/>
      <c r="E67" s="758"/>
      <c r="F67" s="758"/>
      <c r="G67" s="758"/>
      <c r="H67" s="758"/>
      <c r="I67" s="758"/>
      <c r="J67" s="1142"/>
      <c r="K67" s="1103"/>
      <c r="L67" s="1104"/>
      <c r="M67" s="1142"/>
      <c r="N67" s="1142"/>
      <c r="O67" s="1142"/>
    </row>
    <row r="68" spans="1:17">
      <c r="A68" s="758"/>
      <c r="B68" s="760"/>
      <c r="C68" s="760" t="str">
        <f>YEAR(C7)&amp;"-"&amp;MONTH(C7)&amp;"-1"</f>
        <v>2019-9-1</v>
      </c>
      <c r="D68" s="760">
        <f>EDATE(C68,-3)</f>
        <v>43617</v>
      </c>
      <c r="E68" s="760">
        <f>EDATE(D68,-3)</f>
        <v>43525</v>
      </c>
      <c r="F68" s="760">
        <f t="shared" ref="F68:O68" si="18">EDATE(E68,-3)</f>
        <v>43435</v>
      </c>
      <c r="G68" s="760">
        <f t="shared" si="18"/>
        <v>43344</v>
      </c>
      <c r="H68" s="760">
        <f t="shared" si="18"/>
        <v>43252</v>
      </c>
      <c r="I68" s="760">
        <f t="shared" si="18"/>
        <v>43160</v>
      </c>
      <c r="J68" s="760">
        <f t="shared" si="18"/>
        <v>43070</v>
      </c>
      <c r="K68" s="760">
        <f t="shared" si="18"/>
        <v>42979</v>
      </c>
      <c r="L68" s="760">
        <f t="shared" si="18"/>
        <v>42887</v>
      </c>
      <c r="M68" s="760">
        <f t="shared" si="18"/>
        <v>42795</v>
      </c>
      <c r="N68" s="760">
        <f t="shared" si="18"/>
        <v>42705</v>
      </c>
      <c r="O68" s="760">
        <f t="shared" si="18"/>
        <v>42614</v>
      </c>
    </row>
    <row r="69" spans="1:17" ht="21.75" thickBot="1">
      <c r="A69" s="762" t="s">
        <v>2674</v>
      </c>
      <c r="B69" s="758"/>
      <c r="C69" s="763"/>
      <c r="D69" s="763"/>
      <c r="E69" s="763"/>
      <c r="F69" s="764"/>
      <c r="G69" s="764"/>
      <c r="H69" s="763"/>
      <c r="I69" s="763"/>
      <c r="J69" s="1157"/>
      <c r="K69" s="1158"/>
      <c r="L69" s="1159"/>
      <c r="M69" s="1157"/>
      <c r="N69" s="1157"/>
      <c r="O69" s="1157"/>
      <c r="P69" s="503"/>
      <c r="Q69" s="504"/>
    </row>
    <row r="70" spans="1:17" s="508" customFormat="1" ht="15">
      <c r="A70" s="2707" t="s">
        <v>2781</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7"/>
    </row>
    <row r="71" spans="1:17" s="117" customFormat="1" ht="30" customHeight="1">
      <c r="A71" s="2708" t="s">
        <v>2782</v>
      </c>
      <c r="B71" s="332" t="str">
        <f>"北京市平均增长率"&amp;TEXT(SUMIF(基准地价修正!N21:N25,A71,基准地价修正!P21:P25),"0.00%")</f>
        <v>北京市平均增长率2.23%</v>
      </c>
      <c r="C71" s="603">
        <v>100</v>
      </c>
      <c r="D71" s="595">
        <f>C71-0.5</f>
        <v>99.5</v>
      </c>
      <c r="E71" s="595">
        <f t="shared" ref="E71:M71" si="20">D71-0.5</f>
        <v>99</v>
      </c>
      <c r="F71" s="595">
        <f t="shared" si="20"/>
        <v>98.5</v>
      </c>
      <c r="G71" s="595">
        <f t="shared" si="20"/>
        <v>98</v>
      </c>
      <c r="H71" s="595">
        <f t="shared" si="20"/>
        <v>97.5</v>
      </c>
      <c r="I71" s="595">
        <f t="shared" si="20"/>
        <v>97</v>
      </c>
      <c r="J71" s="595">
        <f t="shared" si="20"/>
        <v>96.5</v>
      </c>
      <c r="K71" s="595">
        <f t="shared" si="20"/>
        <v>96</v>
      </c>
      <c r="L71" s="595">
        <f t="shared" si="20"/>
        <v>95.5</v>
      </c>
      <c r="M71" s="595">
        <f t="shared" si="20"/>
        <v>95</v>
      </c>
      <c r="N71" s="595"/>
      <c r="O71" s="1566"/>
      <c r="P71" s="504"/>
    </row>
    <row r="72" spans="1:17" s="117" customFormat="1" ht="15.75" thickBot="1">
      <c r="A72" s="515" t="s">
        <v>2585</v>
      </c>
      <c r="B72" s="516"/>
      <c r="C72" s="517"/>
      <c r="D72" s="518"/>
      <c r="E72" s="518"/>
      <c r="F72" s="518"/>
      <c r="G72" s="518"/>
      <c r="H72" s="518"/>
      <c r="I72" s="518"/>
      <c r="J72" s="518"/>
      <c r="K72" s="518"/>
      <c r="L72" s="518"/>
      <c r="M72" s="519"/>
      <c r="N72" s="518"/>
      <c r="O72" s="1160"/>
      <c r="P72" s="504"/>
      <c r="Q72" s="504"/>
    </row>
    <row r="73" spans="1:17" s="117" customFormat="1" ht="15">
      <c r="A73" s="521" t="s">
        <v>2550</v>
      </c>
      <c r="B73" s="510"/>
      <c r="C73" s="522" t="s">
        <v>2652</v>
      </c>
      <c r="D73" s="523"/>
      <c r="E73" s="523"/>
      <c r="F73" s="523"/>
      <c r="G73" s="523"/>
      <c r="H73" s="523"/>
      <c r="I73" s="523"/>
      <c r="J73" s="523"/>
      <c r="K73" s="523"/>
      <c r="L73" s="524"/>
      <c r="M73" s="525"/>
      <c r="N73" s="1149"/>
      <c r="O73" s="1149"/>
      <c r="P73" s="526"/>
      <c r="Q73" s="504"/>
    </row>
    <row r="74" spans="1:17" s="117" customFormat="1" ht="15.75" thickBot="1">
      <c r="A74" s="521"/>
      <c r="B74" s="510"/>
      <c r="C74" s="639">
        <v>100</v>
      </c>
      <c r="D74" s="512"/>
      <c r="E74" s="512"/>
      <c r="F74" s="512"/>
      <c r="G74" s="512"/>
      <c r="H74" s="512"/>
      <c r="I74" s="512"/>
      <c r="J74" s="512"/>
      <c r="K74" s="512"/>
      <c r="L74" s="512"/>
      <c r="M74" s="514"/>
      <c r="N74" s="1149"/>
      <c r="O74" s="1149"/>
      <c r="P74" s="504"/>
      <c r="Q74" s="504"/>
    </row>
    <row r="75" spans="1:17">
      <c r="A75" s="527" t="s">
        <v>2588</v>
      </c>
      <c r="B75" s="528" t="s">
        <v>2554</v>
      </c>
      <c r="C75" s="530"/>
      <c r="D75" s="530"/>
      <c r="E75" s="530"/>
      <c r="F75" s="530"/>
      <c r="G75" s="530"/>
      <c r="H75" s="530"/>
      <c r="I75" s="530"/>
      <c r="J75" s="530"/>
      <c r="K75" s="531"/>
      <c r="L75" s="532"/>
      <c r="M75" s="533"/>
      <c r="N75" s="1150"/>
      <c r="O75" s="1150"/>
      <c r="P75" s="45"/>
      <c r="Q75" s="504"/>
    </row>
    <row r="76" spans="1:17" ht="15.75" thickBot="1">
      <c r="A76" s="534"/>
      <c r="B76" s="535"/>
      <c r="C76" s="536"/>
      <c r="D76" s="536"/>
      <c r="E76" s="536"/>
      <c r="F76" s="536"/>
      <c r="G76" s="536"/>
      <c r="H76" s="536"/>
      <c r="I76" s="536"/>
      <c r="J76" s="536"/>
      <c r="K76" s="536"/>
      <c r="L76" s="536"/>
      <c r="M76" s="537"/>
      <c r="N76" s="1151"/>
      <c r="O76" s="1151"/>
      <c r="P76" s="45"/>
      <c r="Q76" s="504"/>
    </row>
    <row r="77" spans="1:17" ht="27.75" thickTop="1">
      <c r="A77" s="534"/>
      <c r="B77" s="538" t="s">
        <v>2557</v>
      </c>
      <c r="C77" s="539"/>
      <c r="D77" s="539"/>
      <c r="E77" s="539"/>
      <c r="F77" s="539"/>
      <c r="G77" s="539"/>
      <c r="H77" s="539"/>
      <c r="I77" s="539"/>
      <c r="J77" s="539"/>
      <c r="K77" s="540"/>
      <c r="L77" s="541"/>
      <c r="M77" s="542"/>
      <c r="N77" s="1150"/>
      <c r="O77" s="1150"/>
      <c r="P77" s="45"/>
      <c r="Q77" s="504"/>
    </row>
    <row r="78" spans="1:17" ht="15.75" thickBot="1">
      <c r="A78" s="534"/>
      <c r="B78" s="543"/>
      <c r="C78" s="544"/>
      <c r="D78" s="544"/>
      <c r="E78" s="544"/>
      <c r="F78" s="544"/>
      <c r="G78" s="544"/>
      <c r="H78" s="544"/>
      <c r="I78" s="544"/>
      <c r="J78" s="544"/>
      <c r="K78" s="544"/>
      <c r="L78" s="544"/>
      <c r="M78" s="545"/>
      <c r="N78" s="1151"/>
      <c r="O78" s="1151"/>
      <c r="P78" s="45"/>
      <c r="Q78" s="504"/>
    </row>
    <row r="79" spans="1:17" ht="15.75" thickTop="1">
      <c r="A79" s="534"/>
      <c r="B79" s="546" t="s">
        <v>2558</v>
      </c>
      <c r="C79" s="547" t="str">
        <f>C80&amp;"（含）"&amp;"-"&amp;D80</f>
        <v>0（含）-1</v>
      </c>
      <c r="D79" s="547" t="str">
        <f t="shared" ref="D79:L79" si="21">D80&amp;"（含）"&amp;"-"&amp;E80</f>
        <v>1（含）-2</v>
      </c>
      <c r="E79" s="547" t="str">
        <f t="shared" si="21"/>
        <v>2（含）-3</v>
      </c>
      <c r="F79" s="547" t="str">
        <f t="shared" si="21"/>
        <v>3（含）-</v>
      </c>
      <c r="G79" s="547" t="str">
        <f t="shared" si="21"/>
        <v>（含）-</v>
      </c>
      <c r="H79" s="547" t="str">
        <f t="shared" si="21"/>
        <v>（含）-</v>
      </c>
      <c r="I79" s="547" t="str">
        <f t="shared" si="21"/>
        <v>（含）-</v>
      </c>
      <c r="J79" s="547" t="str">
        <f t="shared" si="21"/>
        <v>（含）-</v>
      </c>
      <c r="K79" s="547" t="str">
        <f t="shared" si="21"/>
        <v>（含）-</v>
      </c>
      <c r="L79" s="547" t="str">
        <f t="shared" si="21"/>
        <v>（含）-</v>
      </c>
      <c r="M79" s="448" t="str">
        <f>M80&amp;"（含）"&amp;"-"&amp;P80</f>
        <v>（含）-</v>
      </c>
      <c r="N79" s="1151"/>
      <c r="O79" s="1151"/>
      <c r="P79" s="45"/>
      <c r="Q79" s="504"/>
    </row>
    <row r="80" spans="1:17" ht="15">
      <c r="A80" s="534"/>
      <c r="B80" s="548"/>
      <c r="C80" s="549">
        <v>0</v>
      </c>
      <c r="D80" s="549">
        <v>1</v>
      </c>
      <c r="E80" s="549">
        <v>2</v>
      </c>
      <c r="F80" s="549">
        <v>3</v>
      </c>
      <c r="G80" s="549"/>
      <c r="H80" s="549"/>
      <c r="I80" s="549"/>
      <c r="J80" s="549"/>
      <c r="K80" s="550"/>
      <c r="L80" s="551"/>
      <c r="M80" s="552"/>
      <c r="N80" s="1150"/>
      <c r="O80" s="1150"/>
      <c r="P80" s="45"/>
      <c r="Q80" s="504"/>
    </row>
    <row r="81" spans="1:17" ht="15.75" thickBot="1">
      <c r="A81" s="534"/>
      <c r="B81" s="535"/>
      <c r="C81" s="544">
        <v>100</v>
      </c>
      <c r="D81" s="544">
        <f t="shared" ref="D81:M81" si="22">IF($B$46="单位面积地价",C81+$K11,C81-$K11)</f>
        <v>98</v>
      </c>
      <c r="E81" s="544">
        <f t="shared" si="22"/>
        <v>96</v>
      </c>
      <c r="F81" s="544">
        <f t="shared" si="22"/>
        <v>94</v>
      </c>
      <c r="G81" s="544">
        <f t="shared" si="22"/>
        <v>92</v>
      </c>
      <c r="H81" s="544">
        <f t="shared" si="22"/>
        <v>90</v>
      </c>
      <c r="I81" s="544">
        <f t="shared" si="22"/>
        <v>88</v>
      </c>
      <c r="J81" s="544">
        <f t="shared" si="22"/>
        <v>86</v>
      </c>
      <c r="K81" s="544">
        <f t="shared" si="22"/>
        <v>84</v>
      </c>
      <c r="L81" s="544">
        <f t="shared" si="22"/>
        <v>82</v>
      </c>
      <c r="M81" s="544">
        <f t="shared" si="22"/>
        <v>80</v>
      </c>
      <c r="N81" s="1151"/>
      <c r="O81" s="1151"/>
      <c r="P81" s="45"/>
      <c r="Q81" s="504"/>
    </row>
    <row r="82" spans="1:17" s="471" customFormat="1" ht="15.75" thickTop="1">
      <c r="A82" s="553"/>
      <c r="B82" s="538" t="str">
        <f>B12</f>
        <v>配建</v>
      </c>
      <c r="C82" s="554"/>
      <c r="D82" s="554"/>
      <c r="E82" s="554"/>
      <c r="F82" s="554"/>
      <c r="G82" s="554"/>
      <c r="H82" s="555"/>
      <c r="I82" s="555"/>
      <c r="J82" s="555"/>
      <c r="K82" s="555"/>
      <c r="L82" s="556"/>
      <c r="M82" s="557"/>
      <c r="N82" s="1152"/>
      <c r="O82" s="1152"/>
      <c r="P82" s="558"/>
      <c r="Q82" s="559"/>
    </row>
    <row r="83" spans="1:17" s="471" customFormat="1" ht="15.75" thickBot="1">
      <c r="A83" s="553"/>
      <c r="B83" s="543"/>
      <c r="C83" s="560"/>
      <c r="D83" s="536"/>
      <c r="E83" s="536"/>
      <c r="F83" s="536"/>
      <c r="G83" s="536"/>
      <c r="H83" s="536"/>
      <c r="I83" s="536"/>
      <c r="J83" s="536"/>
      <c r="K83" s="536"/>
      <c r="L83" s="536"/>
      <c r="M83" s="537"/>
      <c r="N83" s="1151"/>
      <c r="O83" s="1151"/>
      <c r="P83" s="558"/>
      <c r="Q83" s="559"/>
    </row>
    <row r="84" spans="1:17" s="471" customFormat="1" ht="15.75" thickTop="1">
      <c r="A84" s="553"/>
      <c r="B84" s="538">
        <f>B13</f>
        <v>111</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f>B14</f>
        <v>111</v>
      </c>
      <c r="C86" s="523"/>
      <c r="D86" s="523"/>
      <c r="E86" s="523"/>
      <c r="F86" s="523"/>
      <c r="G86" s="523"/>
      <c r="H86" s="564"/>
      <c r="I86" s="564"/>
      <c r="J86" s="564"/>
      <c r="K86" s="564"/>
      <c r="L86" s="565"/>
      <c r="M86" s="566"/>
      <c r="N86" s="1152"/>
      <c r="O86" s="1152"/>
      <c r="P86" s="567"/>
      <c r="Q86" s="559"/>
    </row>
    <row r="87" spans="1:17" s="471" customFormat="1" ht="15.75" thickBot="1">
      <c r="A87" s="568"/>
      <c r="B87" s="569"/>
      <c r="C87" s="570"/>
      <c r="D87" s="570"/>
      <c r="E87" s="570"/>
      <c r="F87" s="570"/>
      <c r="G87" s="570"/>
      <c r="H87" s="571"/>
      <c r="I87" s="571"/>
      <c r="J87" s="571"/>
      <c r="K87" s="571"/>
      <c r="L87" s="571"/>
      <c r="M87" s="572"/>
      <c r="N87" s="1152"/>
      <c r="O87" s="1152"/>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0"/>
      <c r="O88" s="1150"/>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1"/>
      <c r="O89" s="1151"/>
      <c r="P89" s="45"/>
      <c r="Q89" s="504"/>
    </row>
    <row r="90" spans="1:17" ht="15.75" thickTop="1">
      <c r="A90" s="534"/>
      <c r="B90" s="538" t="s">
        <v>2783</v>
      </c>
      <c r="C90" s="578" t="s">
        <v>2597</v>
      </c>
      <c r="D90" s="578" t="s">
        <v>2598</v>
      </c>
      <c r="E90" s="578" t="s">
        <v>2599</v>
      </c>
      <c r="F90" s="578" t="s">
        <v>2600</v>
      </c>
      <c r="G90" s="578" t="s">
        <v>2601</v>
      </c>
      <c r="H90" s="539"/>
      <c r="I90" s="539"/>
      <c r="J90" s="539"/>
      <c r="K90" s="540"/>
      <c r="L90" s="541"/>
      <c r="M90" s="542"/>
      <c r="N90" s="1150"/>
      <c r="O90" s="1150"/>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1"/>
      <c r="O91" s="1151"/>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0"/>
      <c r="O92" s="1150"/>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1"/>
      <c r="O93" s="1151"/>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0"/>
      <c r="O94" s="1150"/>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1"/>
      <c r="O95" s="1151"/>
      <c r="P95" s="45"/>
      <c r="Q95" s="504"/>
    </row>
    <row r="96" spans="1:17" s="117" customFormat="1" ht="15.75" thickTop="1">
      <c r="A96" s="579"/>
      <c r="B96" s="538" t="s">
        <v>2784</v>
      </c>
      <c r="C96" s="578" t="s">
        <v>2597</v>
      </c>
      <c r="D96" s="578" t="s">
        <v>2598</v>
      </c>
      <c r="E96" s="578" t="s">
        <v>2599</v>
      </c>
      <c r="F96" s="578" t="s">
        <v>2600</v>
      </c>
      <c r="G96" s="578" t="s">
        <v>2601</v>
      </c>
      <c r="H96" s="578"/>
      <c r="I96" s="578"/>
      <c r="J96" s="578"/>
      <c r="K96" s="578"/>
      <c r="L96" s="698"/>
      <c r="M96" s="622"/>
      <c r="N96" s="1149"/>
      <c r="O96" s="1149"/>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1"/>
      <c r="O97" s="1151"/>
      <c r="P97" s="45"/>
      <c r="Q97" s="504"/>
    </row>
    <row r="98" spans="1:17" s="117" customFormat="1" ht="27.75" thickTop="1">
      <c r="A98" s="579"/>
      <c r="B98" s="538" t="s">
        <v>2785</v>
      </c>
      <c r="C98" s="573" t="s">
        <v>2597</v>
      </c>
      <c r="D98" s="573" t="s">
        <v>2598</v>
      </c>
      <c r="E98" s="573" t="s">
        <v>2599</v>
      </c>
      <c r="F98" s="573" t="s">
        <v>2600</v>
      </c>
      <c r="G98" s="573" t="s">
        <v>2601</v>
      </c>
      <c r="H98" s="578"/>
      <c r="I98" s="578"/>
      <c r="J98" s="578"/>
      <c r="K98" s="578"/>
      <c r="L98" s="578"/>
      <c r="M98" s="622"/>
      <c r="N98" s="1149"/>
      <c r="O98" s="1149"/>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1"/>
      <c r="O99" s="1151"/>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2"/>
      <c r="O100" s="1152"/>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2"/>
      <c r="O101" s="1152"/>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3"/>
      <c r="N102" s="1152"/>
      <c r="O102" s="1152"/>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2"/>
      <c r="O103" s="1152"/>
      <c r="P103" s="558"/>
      <c r="Q103" s="559"/>
    </row>
    <row r="104" spans="1:17" ht="15.75" thickTop="1">
      <c r="A104" s="534"/>
      <c r="B104" s="538" t="str">
        <f>B31</f>
        <v>临街状况</v>
      </c>
      <c r="C104" s="539" t="s">
        <v>2786</v>
      </c>
      <c r="D104" s="539" t="s">
        <v>2787</v>
      </c>
      <c r="E104" s="539" t="s">
        <v>2788</v>
      </c>
      <c r="F104" s="539" t="s">
        <v>2789</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3">D105-$K31</f>
        <v>100</v>
      </c>
      <c r="F105" s="544">
        <f t="shared" si="23"/>
        <v>100</v>
      </c>
      <c r="G105" s="544">
        <f t="shared" si="23"/>
        <v>100</v>
      </c>
      <c r="H105" s="544">
        <f t="shared" si="23"/>
        <v>100</v>
      </c>
      <c r="I105" s="544">
        <f t="shared" si="23"/>
        <v>100</v>
      </c>
      <c r="J105" s="544">
        <f t="shared" si="23"/>
        <v>100</v>
      </c>
      <c r="K105" s="544">
        <f t="shared" si="23"/>
        <v>100</v>
      </c>
      <c r="L105" s="544">
        <f t="shared" si="23"/>
        <v>100</v>
      </c>
      <c r="M105" s="544">
        <f t="shared" si="23"/>
        <v>100</v>
      </c>
      <c r="N105" s="1151"/>
      <c r="O105" s="1151"/>
      <c r="P105" s="45"/>
      <c r="Q105" s="504"/>
    </row>
    <row r="106" spans="1:17" ht="27.75" thickTop="1">
      <c r="A106" s="534"/>
      <c r="B106" s="538" t="s">
        <v>2691</v>
      </c>
      <c r="C106" s="554"/>
      <c r="D106" s="554"/>
      <c r="E106" s="554"/>
      <c r="F106" s="554"/>
      <c r="G106" s="554"/>
      <c r="H106" s="583"/>
      <c r="I106" s="583"/>
      <c r="J106" s="583"/>
      <c r="K106" s="584"/>
      <c r="L106" s="585"/>
      <c r="M106" s="586"/>
      <c r="N106" s="1150"/>
      <c r="O106" s="1150"/>
      <c r="P106" s="45"/>
      <c r="Q106" s="504"/>
    </row>
    <row r="107" spans="1:17" ht="15.75" thickBot="1">
      <c r="A107" s="534"/>
      <c r="B107" s="543"/>
      <c r="C107" s="544">
        <v>100</v>
      </c>
      <c r="D107" s="544">
        <f>C107-$K32</f>
        <v>100</v>
      </c>
      <c r="E107" s="544">
        <f t="shared" ref="E107:M107" si="24">D107-$K32</f>
        <v>100</v>
      </c>
      <c r="F107" s="544">
        <f t="shared" si="24"/>
        <v>100</v>
      </c>
      <c r="G107" s="544">
        <f t="shared" si="24"/>
        <v>100</v>
      </c>
      <c r="H107" s="544">
        <f t="shared" si="24"/>
        <v>100</v>
      </c>
      <c r="I107" s="544">
        <f t="shared" si="24"/>
        <v>100</v>
      </c>
      <c r="J107" s="544">
        <f t="shared" si="24"/>
        <v>100</v>
      </c>
      <c r="K107" s="544">
        <f t="shared" si="24"/>
        <v>100</v>
      </c>
      <c r="L107" s="544">
        <f t="shared" si="24"/>
        <v>100</v>
      </c>
      <c r="M107" s="544">
        <f t="shared" si="24"/>
        <v>100</v>
      </c>
      <c r="N107" s="1151"/>
      <c r="O107" s="1151"/>
      <c r="P107" s="45"/>
      <c r="Q107" s="504"/>
    </row>
    <row r="108" spans="1:17" ht="15.75" thickTop="1">
      <c r="A108" s="534"/>
      <c r="B108" s="538" t="s">
        <v>2750</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5">D109-$K34</f>
        <v>100</v>
      </c>
      <c r="F109" s="544">
        <f t="shared" si="25"/>
        <v>100</v>
      </c>
      <c r="G109" s="544">
        <f t="shared" si="25"/>
        <v>100</v>
      </c>
      <c r="H109" s="544">
        <f t="shared" si="25"/>
        <v>100</v>
      </c>
      <c r="I109" s="544">
        <f t="shared" si="25"/>
        <v>100</v>
      </c>
      <c r="J109" s="544">
        <f t="shared" si="25"/>
        <v>100</v>
      </c>
      <c r="K109" s="544">
        <f t="shared" si="25"/>
        <v>100</v>
      </c>
      <c r="L109" s="544">
        <f t="shared" si="25"/>
        <v>100</v>
      </c>
      <c r="M109" s="544">
        <f t="shared" si="25"/>
        <v>100</v>
      </c>
      <c r="N109" s="1151"/>
      <c r="O109" s="1151"/>
      <c r="P109" s="45"/>
      <c r="Q109" s="504"/>
    </row>
    <row r="110" spans="1:17" ht="15.75" thickTop="1">
      <c r="A110" s="534"/>
      <c r="B110" s="546">
        <f>B35</f>
        <v>111</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111</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111</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ht="28.5">
      <c r="A116" s="527" t="s">
        <v>2563</v>
      </c>
      <c r="B116" s="528" t="s">
        <v>2790</v>
      </c>
      <c r="C116" s="529" t="str">
        <f>C117&amp;"(含)"&amp;"-"&amp;D117</f>
        <v>0(含)-10000</v>
      </c>
      <c r="D116" s="529" t="str">
        <f t="shared" ref="D116:M116" si="26">D117&amp;"(含)"&amp;"-"&amp;E117</f>
        <v>10000(含)-50000</v>
      </c>
      <c r="E116" s="529" t="str">
        <f t="shared" si="26"/>
        <v>50000(含)-100000</v>
      </c>
      <c r="F116" s="529" t="str">
        <f t="shared" si="26"/>
        <v>100000(含)-</v>
      </c>
      <c r="G116" s="529" t="str">
        <f t="shared" si="26"/>
        <v>(含)-</v>
      </c>
      <c r="H116" s="529" t="str">
        <f t="shared" si="26"/>
        <v>(含)-</v>
      </c>
      <c r="I116" s="529" t="str">
        <f t="shared" si="26"/>
        <v>(含)-</v>
      </c>
      <c r="J116" s="529" t="str">
        <f t="shared" si="26"/>
        <v>(含)-</v>
      </c>
      <c r="K116" s="529" t="str">
        <f t="shared" si="26"/>
        <v>(含)-</v>
      </c>
      <c r="L116" s="529" t="str">
        <f t="shared" si="26"/>
        <v>(含)-</v>
      </c>
      <c r="M116" s="529" t="str">
        <f t="shared" si="26"/>
        <v>(含)-</v>
      </c>
      <c r="N116" s="1150"/>
      <c r="O116" s="1150"/>
      <c r="P116" s="45"/>
      <c r="Q116" s="504"/>
    </row>
    <row r="117" spans="1:17" ht="15">
      <c r="A117" s="534"/>
      <c r="B117" s="546"/>
      <c r="C117" s="595">
        <v>0</v>
      </c>
      <c r="D117" s="595">
        <v>10000</v>
      </c>
      <c r="E117" s="595">
        <v>50000</v>
      </c>
      <c r="F117" s="595">
        <v>100000</v>
      </c>
      <c r="G117" s="595"/>
      <c r="H117" s="595"/>
      <c r="I117" s="595"/>
      <c r="J117" s="596"/>
      <c r="K117" s="596"/>
      <c r="L117" s="597"/>
      <c r="M117" s="598"/>
      <c r="N117" s="1150"/>
      <c r="O117" s="1150"/>
      <c r="P117" s="45"/>
      <c r="Q117" s="504"/>
    </row>
    <row r="118" spans="1:17" ht="15.75" thickBot="1">
      <c r="A118" s="534"/>
      <c r="B118" s="543"/>
      <c r="C118" s="570">
        <v>98</v>
      </c>
      <c r="D118" s="591">
        <v>100</v>
      </c>
      <c r="E118" s="591">
        <v>98</v>
      </c>
      <c r="F118" s="591">
        <v>96</v>
      </c>
      <c r="G118" s="591"/>
      <c r="H118" s="591"/>
      <c r="I118" s="591"/>
      <c r="J118" s="591"/>
      <c r="K118" s="591"/>
      <c r="L118" s="591"/>
      <c r="M118" s="592"/>
      <c r="N118" s="1151"/>
      <c r="O118" s="1151"/>
      <c r="P118" s="45"/>
      <c r="Q118" s="504"/>
    </row>
    <row r="119" spans="1:17" ht="15" thickTop="1">
      <c r="A119" s="599"/>
      <c r="B119" s="538" t="s">
        <v>2791</v>
      </c>
      <c r="C119" s="583"/>
      <c r="D119" s="583"/>
      <c r="E119" s="583"/>
      <c r="F119" s="583"/>
      <c r="G119" s="583"/>
      <c r="H119" s="583"/>
      <c r="I119" s="583"/>
      <c r="J119" s="583"/>
      <c r="K119" s="584"/>
      <c r="L119" s="585"/>
      <c r="M119" s="586"/>
      <c r="N119" s="1150"/>
      <c r="O119" s="1150"/>
      <c r="P119" s="45"/>
      <c r="Q119" s="504"/>
    </row>
    <row r="120" spans="1:17" ht="15.75" thickBot="1">
      <c r="A120" s="534"/>
      <c r="B120" s="543"/>
      <c r="C120" s="544">
        <v>100</v>
      </c>
      <c r="D120" s="544">
        <f t="shared" ref="D120:M120" si="27">C120-$K39</f>
        <v>100</v>
      </c>
      <c r="E120" s="544">
        <f t="shared" si="27"/>
        <v>100</v>
      </c>
      <c r="F120" s="544">
        <f t="shared" si="27"/>
        <v>100</v>
      </c>
      <c r="G120" s="544">
        <f t="shared" si="27"/>
        <v>100</v>
      </c>
      <c r="H120" s="544">
        <f t="shared" si="27"/>
        <v>100</v>
      </c>
      <c r="I120" s="544">
        <f t="shared" si="27"/>
        <v>100</v>
      </c>
      <c r="J120" s="544">
        <f t="shared" si="27"/>
        <v>100</v>
      </c>
      <c r="K120" s="544">
        <f t="shared" si="27"/>
        <v>100</v>
      </c>
      <c r="L120" s="544">
        <f t="shared" si="27"/>
        <v>100</v>
      </c>
      <c r="M120" s="545">
        <f t="shared" si="27"/>
        <v>100</v>
      </c>
      <c r="N120" s="1151"/>
      <c r="O120" s="1151"/>
      <c r="P120" s="45"/>
      <c r="Q120" s="504"/>
    </row>
    <row r="121" spans="1:17" ht="15" thickTop="1">
      <c r="A121" s="599"/>
      <c r="B121" s="538" t="s">
        <v>2792</v>
      </c>
      <c r="C121" s="554"/>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8">C122-$K40</f>
        <v>100</v>
      </c>
      <c r="E122" s="544">
        <f t="shared" si="28"/>
        <v>100</v>
      </c>
      <c r="F122" s="544">
        <f t="shared" si="28"/>
        <v>100</v>
      </c>
      <c r="G122" s="544">
        <f t="shared" si="28"/>
        <v>100</v>
      </c>
      <c r="H122" s="544">
        <f t="shared" si="28"/>
        <v>100</v>
      </c>
      <c r="I122" s="544">
        <f t="shared" si="28"/>
        <v>100</v>
      </c>
      <c r="J122" s="544">
        <f t="shared" si="28"/>
        <v>100</v>
      </c>
      <c r="K122" s="544">
        <f t="shared" si="28"/>
        <v>100</v>
      </c>
      <c r="L122" s="544">
        <f t="shared" si="28"/>
        <v>100</v>
      </c>
      <c r="M122" s="545">
        <f t="shared" si="28"/>
        <v>100</v>
      </c>
      <c r="N122" s="1151"/>
      <c r="O122" s="1151"/>
      <c r="P122" s="45"/>
      <c r="Q122" s="504"/>
    </row>
    <row r="123" spans="1:17" s="471" customFormat="1" ht="15" thickTop="1">
      <c r="A123" s="593"/>
      <c r="B123" s="538" t="s">
        <v>2793</v>
      </c>
      <c r="C123" s="554"/>
      <c r="D123" s="554"/>
      <c r="E123" s="554"/>
      <c r="F123" s="554"/>
      <c r="G123" s="554"/>
      <c r="H123" s="583"/>
      <c r="I123" s="583"/>
      <c r="J123" s="583"/>
      <c r="K123" s="584"/>
      <c r="L123" s="585"/>
      <c r="M123" s="586"/>
      <c r="N123" s="1152"/>
      <c r="O123" s="1152"/>
      <c r="P123" s="558"/>
      <c r="Q123" s="559"/>
    </row>
    <row r="124" spans="1:17" s="471" customFormat="1" ht="15.75" thickBot="1">
      <c r="A124" s="553"/>
      <c r="B124" s="543"/>
      <c r="C124" s="544">
        <v>100</v>
      </c>
      <c r="D124" s="544">
        <f>C124-$K41</f>
        <v>100</v>
      </c>
      <c r="E124" s="544">
        <f t="shared" ref="E124:M124" si="29">D124-$K41</f>
        <v>100</v>
      </c>
      <c r="F124" s="544">
        <f t="shared" si="29"/>
        <v>100</v>
      </c>
      <c r="G124" s="544">
        <f t="shared" si="29"/>
        <v>100</v>
      </c>
      <c r="H124" s="544">
        <f t="shared" si="29"/>
        <v>100</v>
      </c>
      <c r="I124" s="544">
        <f t="shared" si="29"/>
        <v>100</v>
      </c>
      <c r="J124" s="544">
        <f t="shared" si="29"/>
        <v>100</v>
      </c>
      <c r="K124" s="544">
        <f t="shared" si="29"/>
        <v>100</v>
      </c>
      <c r="L124" s="544">
        <f t="shared" si="29"/>
        <v>100</v>
      </c>
      <c r="M124" s="545">
        <f t="shared" si="29"/>
        <v>100</v>
      </c>
      <c r="N124" s="1152"/>
      <c r="O124" s="1152"/>
      <c r="P124" s="558"/>
      <c r="Q124" s="559"/>
    </row>
    <row r="125" spans="1:17" ht="15" thickTop="1">
      <c r="A125" s="599"/>
      <c r="B125" s="538" t="s">
        <v>2794</v>
      </c>
      <c r="C125" s="554"/>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30">C126-$K42</f>
        <v>100</v>
      </c>
      <c r="E126" s="544">
        <f t="shared" si="30"/>
        <v>100</v>
      </c>
      <c r="F126" s="544">
        <f t="shared" si="30"/>
        <v>100</v>
      </c>
      <c r="G126" s="544">
        <f t="shared" si="30"/>
        <v>100</v>
      </c>
      <c r="H126" s="544">
        <f t="shared" si="30"/>
        <v>100</v>
      </c>
      <c r="I126" s="544">
        <f t="shared" si="30"/>
        <v>100</v>
      </c>
      <c r="J126" s="544">
        <f t="shared" si="30"/>
        <v>100</v>
      </c>
      <c r="K126" s="544">
        <f t="shared" si="30"/>
        <v>100</v>
      </c>
      <c r="L126" s="544">
        <f t="shared" si="30"/>
        <v>100</v>
      </c>
      <c r="M126" s="545">
        <f t="shared" si="30"/>
        <v>100</v>
      </c>
      <c r="N126" s="1151"/>
      <c r="O126" s="1151"/>
      <c r="P126" s="45"/>
      <c r="Q126" s="504"/>
    </row>
    <row r="127" spans="1:17" ht="15" thickTop="1">
      <c r="A127" s="599"/>
      <c r="B127" s="538">
        <f>B43</f>
        <v>111</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111</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111</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37" priority="14" stopIfTrue="1" operator="containsText" text="超过">
      <formula>NOT(ISERROR(SEARCH("超过",F51)))</formula>
    </cfRule>
  </conditionalFormatting>
  <conditionalFormatting sqref="J53">
    <cfRule type="containsText" dxfId="136" priority="13" stopIfTrue="1" operator="containsText" text="超过">
      <formula>NOT(ISERROR(SEARCH("超过",J53)))</formula>
    </cfRule>
  </conditionalFormatting>
  <conditionalFormatting sqref="H53">
    <cfRule type="containsText" dxfId="135" priority="12" stopIfTrue="1" operator="containsText" text="超过">
      <formula>NOT(ISERROR(SEARCH("超过",H53)))</formula>
    </cfRule>
  </conditionalFormatting>
  <conditionalFormatting sqref="F53">
    <cfRule type="containsText" dxfId="134" priority="11" stopIfTrue="1" operator="containsText" text="超过">
      <formula>NOT(ISERROR(SEARCH("超过",F53)))</formula>
    </cfRule>
  </conditionalFormatting>
  <conditionalFormatting sqref="F52 H52 J52">
    <cfRule type="containsText" dxfId="133" priority="10" stopIfTrue="1" operator="containsText" text="超过">
      <formula>NOT(ISERROR(SEARCH("超过",F52)))</formula>
    </cfRule>
  </conditionalFormatting>
  <conditionalFormatting sqref="E51">
    <cfRule type="expression" dxfId="132" priority="9" stopIfTrue="1">
      <formula>$F$51="超过30%"</formula>
    </cfRule>
  </conditionalFormatting>
  <conditionalFormatting sqref="G53">
    <cfRule type="expression" dxfId="131" priority="8" stopIfTrue="1">
      <formula>$H$53="超过30%"</formula>
    </cfRule>
  </conditionalFormatting>
  <conditionalFormatting sqref="E52">
    <cfRule type="expression" dxfId="130" priority="7" stopIfTrue="1">
      <formula>$F$52="超过20%"</formula>
    </cfRule>
  </conditionalFormatting>
  <conditionalFormatting sqref="E53">
    <cfRule type="expression" dxfId="129" priority="6" stopIfTrue="1">
      <formula>$F$53="超过30%"</formula>
    </cfRule>
  </conditionalFormatting>
  <conditionalFormatting sqref="G51">
    <cfRule type="expression" dxfId="128" priority="5" stopIfTrue="1">
      <formula>$H$53+$H$51="超过30%"</formula>
    </cfRule>
  </conditionalFormatting>
  <conditionalFormatting sqref="G52">
    <cfRule type="expression" dxfId="127" priority="4" stopIfTrue="1">
      <formula>$H$52="超过20%"</formula>
    </cfRule>
  </conditionalFormatting>
  <conditionalFormatting sqref="I51">
    <cfRule type="expression" dxfId="126" priority="3" stopIfTrue="1">
      <formula>$J$51="超过30%"</formula>
    </cfRule>
  </conditionalFormatting>
  <conditionalFormatting sqref="I52">
    <cfRule type="expression" dxfId="125" priority="2" stopIfTrue="1">
      <formula>$J$52="超过20%"</formula>
    </cfRule>
  </conditionalFormatting>
  <conditionalFormatting sqref="I53">
    <cfRule type="expression" dxfId="1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34"/>
      <c r="C1" s="2549" t="s">
        <v>2428</v>
      </c>
      <c r="D1" s="242"/>
      <c r="E1" s="242"/>
      <c r="F1" s="242"/>
      <c r="G1" s="1377">
        <f>MATCH(B1,'数据-取费表'!A6:A16,0)+5</f>
        <v>8</v>
      </c>
      <c r="H1" s="1280" t="str">
        <f>IF(ISERROR(FIND("住宅",B1)),"非住宅","住宅")</f>
        <v>非住宅</v>
      </c>
    </row>
    <row r="2" spans="1:8" s="244" customFormat="1" ht="18" customHeight="1">
      <c r="A2" s="245" t="s">
        <v>2327</v>
      </c>
      <c r="B2" s="246">
        <f ca="1">ROUND(IF(D2="——",C52/10000,C52/10000-E2),0)</f>
        <v>1255</v>
      </c>
      <c r="C2" s="243" t="s">
        <v>2328</v>
      </c>
      <c r="D2" s="2543" t="s">
        <v>70</v>
      </c>
      <c r="E2" s="1438" t="e">
        <f ca="1">SUMIF(INDIRECT("'"&amp;G2&amp;"'"&amp;"!A:A"),"承租人权益价值",INDIRECT("'"&amp;G2&amp;"'"&amp;"!c:c"))</f>
        <v>#REF!</v>
      </c>
      <c r="F2" s="2544" t="s">
        <v>2328</v>
      </c>
      <c r="G2" s="2545"/>
    </row>
    <row r="3" spans="1:8" s="244" customFormat="1" ht="18" customHeight="1" thickBot="1">
      <c r="A3" s="247" t="s">
        <v>2329</v>
      </c>
      <c r="B3" s="248">
        <f ca="1">ROUND(B2*10000/(IF(B1="",'数据-汇总表'!E3,INDIRECT("'数据-取费表'!k"&amp;$G$1))),0)</f>
        <v>3143</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598941</v>
      </c>
      <c r="D5" s="255" t="s">
        <v>2334</v>
      </c>
      <c r="E5" s="256" t="s">
        <v>2335</v>
      </c>
      <c r="F5" s="256" t="s">
        <v>2336</v>
      </c>
      <c r="G5" s="257"/>
    </row>
    <row r="6" spans="1:8" s="258" customFormat="1" ht="13.5" customHeight="1">
      <c r="A6" s="948" t="s">
        <v>2337</v>
      </c>
      <c r="B6" s="259" t="s">
        <v>2338</v>
      </c>
      <c r="C6" s="260"/>
      <c r="D6" s="261"/>
      <c r="E6" s="262"/>
      <c r="F6" s="262"/>
      <c r="G6" s="263"/>
    </row>
    <row r="7" spans="1:8" s="258" customFormat="1" ht="13.5" customHeight="1">
      <c r="A7" s="948" t="s">
        <v>2339</v>
      </c>
      <c r="B7" s="259" t="s">
        <v>2340</v>
      </c>
      <c r="C7" s="264">
        <f>ROUND(C6*F7,0)</f>
        <v>0</v>
      </c>
      <c r="D7" s="264"/>
      <c r="E7" s="262"/>
      <c r="F7" s="265">
        <f>IF(项目基本情况!B8="出让",0,'数据-取费表'!B48+'数据-取费表'!B49)</f>
        <v>3.0499999999999999E-2</v>
      </c>
      <c r="G7" s="263"/>
    </row>
    <row r="8" spans="1:8" s="267" customFormat="1">
      <c r="A8" s="948" t="s">
        <v>2341</v>
      </c>
      <c r="B8" s="259" t="s">
        <v>2342</v>
      </c>
      <c r="C8" s="264">
        <f ca="1">IF(G8="已包含在土地购买价格中",0,C9+C10)</f>
        <v>598941</v>
      </c>
      <c r="D8" s="266"/>
      <c r="E8" s="264"/>
      <c r="F8" s="265"/>
      <c r="G8" s="2546"/>
    </row>
    <row r="9" spans="1:8" s="258" customFormat="1" ht="13.5" customHeight="1">
      <c r="A9" s="949" t="s">
        <v>800</v>
      </c>
      <c r="B9" s="268" t="s">
        <v>2343</v>
      </c>
      <c r="C9" s="269">
        <f ca="1">ROUND(D9*E9,0)</f>
        <v>0</v>
      </c>
      <c r="D9" s="1031">
        <f ca="1">IF(B1="",'数据-汇总表'!E5,IF(INDIRECT("'数据-取费表'!c"&amp;$G$1)="住宅",INDIRECT("'数据-取费表'!k"&amp;$G$1),0))</f>
        <v>0</v>
      </c>
      <c r="E9" s="269">
        <f>'数据-取费表'!B27</f>
        <v>150</v>
      </c>
      <c r="F9" s="265"/>
      <c r="G9" s="270"/>
    </row>
    <row r="10" spans="1:8" s="258" customFormat="1" ht="13.5" customHeight="1">
      <c r="A10" s="949" t="s">
        <v>801</v>
      </c>
      <c r="B10" s="268" t="s">
        <v>2345</v>
      </c>
      <c r="C10" s="269">
        <f ca="1">ROUND(D10*E10,0)</f>
        <v>598941</v>
      </c>
      <c r="D10" s="1031">
        <f ca="1">IF(B1="",'数据-汇总表'!E6,IF(INDIRECT("'数据-取费表'!c"&amp;$G$1)="住宅",INDIRECT("'数据-取费表'!s"&amp;$G$1),INDIRECT("'数据-取费表'!k"&amp;$G$1)+INDIRECT("'数据-取费表'!s"&amp;$G$1)))</f>
        <v>3992.9400000000005</v>
      </c>
      <c r="E10" s="269">
        <f>'数据-取费表'!B28</f>
        <v>150</v>
      </c>
      <c r="F10" s="265"/>
      <c r="G10" s="270"/>
    </row>
    <row r="11" spans="1:8" s="258" customFormat="1" ht="13.5" hidden="1" customHeight="1">
      <c r="A11" s="271" t="s">
        <v>7</v>
      </c>
      <c r="B11" s="259" t="s">
        <v>2346</v>
      </c>
      <c r="C11" s="255"/>
      <c r="D11" s="1033"/>
      <c r="E11" s="262"/>
      <c r="F11" s="262"/>
      <c r="G11" s="263"/>
    </row>
    <row r="12" spans="1:8" s="258" customFormat="1" ht="13.5" hidden="1" customHeight="1">
      <c r="A12" s="271" t="s">
        <v>8</v>
      </c>
      <c r="B12" s="259" t="s">
        <v>2429</v>
      </c>
      <c r="C12" s="255">
        <v>0</v>
      </c>
      <c r="D12" s="1033"/>
      <c r="E12" s="272"/>
      <c r="F12" s="265">
        <v>3.0499999999999999E-2</v>
      </c>
      <c r="G12" s="263"/>
    </row>
    <row r="13" spans="1:8" s="258" customFormat="1" ht="13.5" hidden="1" customHeight="1">
      <c r="A13" s="271" t="s">
        <v>9</v>
      </c>
      <c r="B13" s="259" t="s">
        <v>2430</v>
      </c>
      <c r="C13" s="255"/>
      <c r="D13" s="1033"/>
      <c r="E13" s="262"/>
      <c r="F13" s="262"/>
      <c r="G13" s="263"/>
    </row>
    <row r="14" spans="1:8" s="258" customFormat="1" ht="13.5" hidden="1" customHeight="1">
      <c r="A14" s="271" t="s">
        <v>10</v>
      </c>
      <c r="B14" s="259" t="s">
        <v>2342</v>
      </c>
      <c r="C14" s="255"/>
      <c r="D14" s="1033"/>
      <c r="E14" s="262"/>
      <c r="F14" s="262"/>
      <c r="G14" s="263" t="s">
        <v>2431</v>
      </c>
    </row>
    <row r="15" spans="1:8" s="258" customFormat="1" ht="13.5" hidden="1" customHeight="1">
      <c r="A15" s="271" t="s">
        <v>11</v>
      </c>
      <c r="B15" s="259" t="s">
        <v>2432</v>
      </c>
      <c r="C15" s="264"/>
      <c r="D15" s="1033"/>
      <c r="E15" s="262"/>
      <c r="F15" s="262"/>
      <c r="G15" s="263" t="s">
        <v>2433</v>
      </c>
    </row>
    <row r="16" spans="1:8" s="258" customFormat="1" ht="13.5" hidden="1" customHeight="1">
      <c r="A16" s="271" t="s">
        <v>12</v>
      </c>
      <c r="B16" s="259" t="s">
        <v>2342</v>
      </c>
      <c r="C16" s="264"/>
      <c r="D16" s="1033"/>
      <c r="E16" s="262"/>
      <c r="F16" s="262"/>
      <c r="G16" s="263"/>
    </row>
    <row r="17" spans="1:7" s="258" customFormat="1" ht="13.5" hidden="1" customHeight="1">
      <c r="A17" s="271" t="s">
        <v>13</v>
      </c>
      <c r="B17" s="259" t="s">
        <v>2434</v>
      </c>
      <c r="C17" s="273"/>
      <c r="D17" s="1034"/>
      <c r="E17" s="273"/>
      <c r="F17" s="273"/>
      <c r="G17" s="263" t="s">
        <v>2433</v>
      </c>
    </row>
    <row r="18" spans="1:7" s="258" customFormat="1" ht="13.5" hidden="1" customHeight="1">
      <c r="A18" s="271" t="s">
        <v>14</v>
      </c>
      <c r="B18" s="259" t="s">
        <v>2435</v>
      </c>
      <c r="C18" s="264">
        <v>0</v>
      </c>
      <c r="D18" s="1033"/>
      <c r="E18" s="262"/>
      <c r="F18" s="265">
        <v>3.0499999999999999E-2</v>
      </c>
      <c r="G18" s="263" t="s">
        <v>2436</v>
      </c>
    </row>
    <row r="19" spans="1:7" s="267" customFormat="1" ht="13.5" customHeight="1">
      <c r="A19" s="299" t="s">
        <v>2437</v>
      </c>
      <c r="B19" s="254" t="s">
        <v>2438</v>
      </c>
      <c r="C19" s="255">
        <f ca="1">IF(G19="已包含在土地取得成本中","0",ROUND(D19*E19,0))</f>
        <v>798588</v>
      </c>
      <c r="D19" s="1035">
        <f ca="1">D9+D10</f>
        <v>3992.9400000000005</v>
      </c>
      <c r="E19" s="255">
        <f>'数据-取费表'!B31</f>
        <v>200</v>
      </c>
      <c r="F19" s="275"/>
      <c r="G19" s="2546"/>
    </row>
    <row r="20" spans="1:7" s="258" customFormat="1" ht="13.5" customHeight="1">
      <c r="A20" s="299" t="s">
        <v>2439</v>
      </c>
      <c r="B20" s="254" t="s">
        <v>2440</v>
      </c>
      <c r="C20" s="276">
        <f ca="1">ROUND((C5+C19)*F20,0)</f>
        <v>13975</v>
      </c>
      <c r="D20" s="276"/>
      <c r="E20" s="276"/>
      <c r="F20" s="277">
        <f>'数据-取费表'!B37</f>
        <v>0.01</v>
      </c>
      <c r="G20" s="278" t="s">
        <v>2441</v>
      </c>
    </row>
    <row r="21" spans="1:7" s="258" customFormat="1" ht="13.5" customHeight="1">
      <c r="A21" s="299" t="s">
        <v>2442</v>
      </c>
      <c r="B21" s="254" t="s">
        <v>2443</v>
      </c>
      <c r="C21" s="279">
        <f>F21</f>
        <v>0.01</v>
      </c>
      <c r="D21" s="280" t="s">
        <v>2444</v>
      </c>
      <c r="E21" s="276"/>
      <c r="F21" s="277">
        <f>'数据-取费表'!B38</f>
        <v>0.01</v>
      </c>
      <c r="G21" s="278" t="s">
        <v>2445</v>
      </c>
    </row>
    <row r="22" spans="1:7" s="258" customFormat="1" ht="13.5" customHeight="1">
      <c r="A22" s="299" t="s">
        <v>2446</v>
      </c>
      <c r="B22" s="254" t="s">
        <v>2447</v>
      </c>
      <c r="C22" s="1378">
        <f ca="1">ROUND(SUM(C23:C25),0)</f>
        <v>61097</v>
      </c>
      <c r="D22" s="279">
        <f ca="1">C26</f>
        <v>2.0000000000000001E-4</v>
      </c>
      <c r="E22" s="280" t="s">
        <v>2444</v>
      </c>
      <c r="F22" s="281">
        <f ca="1">'数据-取费表'!B40</f>
        <v>4.3499999999999997E-2</v>
      </c>
      <c r="G22" s="278" t="str">
        <f>IF('数据-取费表'!B22&lt;=1,"单利计息","复利计息")</f>
        <v>单利计息</v>
      </c>
    </row>
    <row r="23" spans="1:7" s="258" customFormat="1" ht="13.5" customHeight="1">
      <c r="A23" s="950" t="s">
        <v>2337</v>
      </c>
      <c r="B23" s="259" t="s">
        <v>2448</v>
      </c>
      <c r="C23" s="1379">
        <f ca="1">ROUND(IF('数据-取费表'!B22&lt;=1,C5*F22*'数据-取费表'!B22,C5*(POWER((1+F22),'数据-取费表'!B22)-1)),0)</f>
        <v>26054</v>
      </c>
      <c r="D23" s="282"/>
      <c r="E23" s="282"/>
      <c r="F23" s="283"/>
      <c r="G23" s="284" t="s">
        <v>2449</v>
      </c>
    </row>
    <row r="24" spans="1:7" s="258" customFormat="1" ht="13.5" customHeight="1">
      <c r="A24" s="950" t="s">
        <v>2339</v>
      </c>
      <c r="B24" s="259" t="s">
        <v>2450</v>
      </c>
      <c r="C24" s="1379">
        <f ca="1">ROUND(IF('数据-取费表'!B22&lt;=1,C19*F22*('数据-取费表'!B19/2+'数据-取费表'!B20),C19*(POWER((1+F22),('数据-取费表'!B19/2+'数据-取费表'!B20))-1)),0)</f>
        <v>34739</v>
      </c>
      <c r="D24" s="282"/>
      <c r="E24" s="282"/>
      <c r="F24" s="283"/>
      <c r="G24" s="284" t="s">
        <v>2451</v>
      </c>
    </row>
    <row r="25" spans="1:7" s="258" customFormat="1" ht="24">
      <c r="A25" s="950" t="s">
        <v>2341</v>
      </c>
      <c r="B25" s="259" t="s">
        <v>2452</v>
      </c>
      <c r="C25" s="1379">
        <f ca="1">ROUND(IF('数据-取费表'!B22&lt;=1,C20*F22*'数据-取费表'!B22/2,C20*(POWER((1+F22),'数据-取费表'!B22/2)-1)),0)</f>
        <v>304</v>
      </c>
      <c r="D25" s="282"/>
      <c r="E25" s="285"/>
      <c r="F25" s="283"/>
      <c r="G25" s="286" t="s">
        <v>2453</v>
      </c>
    </row>
    <row r="26" spans="1:7" s="258" customFormat="1">
      <c r="A26" s="950" t="s">
        <v>795</v>
      </c>
      <c r="B26" s="259" t="s">
        <v>2376</v>
      </c>
      <c r="C26" s="282">
        <f ca="1">ROUND(IF('数据-取费表'!B22&lt;=1,F21*F22*'数据-取费表'!B22/2,F21*(POWER((1+F22),'数据-取费表'!B22/2)-1)),4)</f>
        <v>2.0000000000000001E-4</v>
      </c>
      <c r="D26" s="282"/>
      <c r="E26" s="285"/>
      <c r="F26" s="283"/>
      <c r="G26" s="287"/>
    </row>
    <row r="27" spans="1:7" s="258" customFormat="1" ht="24.75">
      <c r="A27" s="299" t="s">
        <v>2377</v>
      </c>
      <c r="B27" s="288" t="s">
        <v>2378</v>
      </c>
      <c r="C27" s="289">
        <f ca="1">C28</f>
        <v>211726</v>
      </c>
      <c r="D27" s="279">
        <f ca="1">C29</f>
        <v>1.5E-3</v>
      </c>
      <c r="E27" s="280" t="s">
        <v>2379</v>
      </c>
      <c r="F27" s="290">
        <f ca="1">IF(B1="",'数据-取费表'!Q16,INDIRECT("'数据-取费表'!q"&amp;$G$1))</f>
        <v>0.15</v>
      </c>
      <c r="G27" s="291" t="s">
        <v>2380</v>
      </c>
    </row>
    <row r="28" spans="1:7" s="258" customFormat="1" ht="13.5" customHeight="1">
      <c r="A28" s="950" t="s">
        <v>791</v>
      </c>
      <c r="B28" s="292" t="s">
        <v>2381</v>
      </c>
      <c r="C28" s="293">
        <f ca="1">ROUND((C5+C19+C20)*F27,0)</f>
        <v>211726</v>
      </c>
      <c r="D28" s="279"/>
      <c r="E28" s="280"/>
      <c r="F28" s="290"/>
      <c r="G28" s="291"/>
    </row>
    <row r="29" spans="1:7" s="258" customFormat="1" ht="13.5" customHeight="1">
      <c r="A29" s="950" t="s">
        <v>792</v>
      </c>
      <c r="B29" s="292" t="s">
        <v>2382</v>
      </c>
      <c r="C29" s="282">
        <f ca="1">ROUND(C21*F27,4)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1799687</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9143832</v>
      </c>
      <c r="D33" s="276"/>
      <c r="E33" s="256"/>
      <c r="F33" s="285"/>
      <c r="G33" s="278"/>
    </row>
    <row r="34" spans="1:7" s="302" customFormat="1" ht="13.5" customHeight="1">
      <c r="A34" s="950" t="s">
        <v>791</v>
      </c>
      <c r="B34" s="259" t="s">
        <v>2390</v>
      </c>
      <c r="C34" s="264">
        <f ca="1">ROUND(IF(B1="",SUMPRODUCT('数据-取费表'!K6:K14,'数据-取费表'!L6:L14),INDIRECT("'数据-取费表'!l"&amp;$G$1)*INDIRECT("'数据-取费表'!k"&amp;$G$1)+'数据-取费表'!L14*INDIRECT("'数据-取费表'!S"&amp;$G$1)),0)</f>
        <v>7985880</v>
      </c>
      <c r="D34" s="261"/>
      <c r="E34" s="264"/>
      <c r="F34" s="301"/>
      <c r="G34" s="263"/>
    </row>
    <row r="35" spans="1:7" ht="13.5" customHeight="1">
      <c r="A35" s="950" t="s">
        <v>796</v>
      </c>
      <c r="B35" s="259" t="s">
        <v>2392</v>
      </c>
      <c r="C35" s="264">
        <f ca="1">ROUND(C34*F35,0)</f>
        <v>239576</v>
      </c>
      <c r="D35" s="264"/>
      <c r="E35" s="264"/>
      <c r="F35" s="303">
        <f>'数据-取费表'!B33</f>
        <v>0.03</v>
      </c>
      <c r="G35" s="263" t="s">
        <v>2393</v>
      </c>
    </row>
    <row r="36" spans="1:7" ht="24">
      <c r="A36" s="950"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50" t="s">
        <v>798</v>
      </c>
      <c r="B37" s="259" t="s">
        <v>2396</v>
      </c>
      <c r="C37" s="293">
        <f ca="1">ROUND(E37*D37,0)</f>
        <v>798588</v>
      </c>
      <c r="D37" s="261">
        <f ca="1">D19</f>
        <v>3992.9400000000005</v>
      </c>
      <c r="E37" s="293">
        <f>'数据-取费表'!B35</f>
        <v>200</v>
      </c>
      <c r="F37" s="303"/>
      <c r="G37" s="305"/>
    </row>
    <row r="38" spans="1:7" ht="13.5" customHeight="1">
      <c r="A38" s="950" t="s">
        <v>799</v>
      </c>
      <c r="B38" s="259" t="s">
        <v>2398</v>
      </c>
      <c r="C38" s="264">
        <f ca="1">ROUND(C34*F38,0)</f>
        <v>119788</v>
      </c>
      <c r="D38" s="264"/>
      <c r="E38" s="264"/>
      <c r="F38" s="303">
        <f>'数据-取费表'!B36</f>
        <v>1.4999999999999999E-2</v>
      </c>
      <c r="G38" s="263" t="s">
        <v>2393</v>
      </c>
    </row>
    <row r="39" spans="1:7" s="258" customFormat="1" ht="13.5" customHeight="1">
      <c r="A39" s="299" t="s">
        <v>2399</v>
      </c>
      <c r="B39" s="254" t="s">
        <v>2400</v>
      </c>
      <c r="C39" s="276">
        <f ca="1">ROUND(C33*F20,0)</f>
        <v>91438</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200867</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ROUND(IF('数据-取费表'!B22&lt;=1,C33*F22*'数据-取费表'!B20/2,C33*(POWER((1+F22),'数据-取费表'!B20/2)-1)),0)</f>
        <v>198878</v>
      </c>
      <c r="D42" s="282"/>
      <c r="E42" s="282"/>
      <c r="F42" s="283"/>
      <c r="G42" s="3214" t="s">
        <v>2456</v>
      </c>
    </row>
    <row r="43" spans="1:7" ht="13.5" customHeight="1">
      <c r="A43" s="950" t="s">
        <v>792</v>
      </c>
      <c r="B43" s="259" t="s">
        <v>2410</v>
      </c>
      <c r="C43" s="282">
        <f ca="1">ROUND(IF('数据-取费表'!B22&lt;=1,C39*F22*'数据-取费表'!B20/2,C39*(POWER((1+F22),'数据-取费表'!B20/2)-1)),0)</f>
        <v>1989</v>
      </c>
      <c r="D43" s="282"/>
      <c r="E43" s="282"/>
      <c r="F43" s="283"/>
      <c r="G43" s="3215"/>
    </row>
    <row r="44" spans="1:7" ht="13.5" customHeight="1">
      <c r="A44" s="950" t="s">
        <v>793</v>
      </c>
      <c r="B44" s="259" t="s">
        <v>2411</v>
      </c>
      <c r="C44" s="282">
        <f ca="1">ROUND(IF('数据-取费表'!B22&lt;=1,C40*F22*'数据-取费表'!B20/2,C40*(POWER((1+F22),'数据-取费表'!B20/2)-1)),4)</f>
        <v>2.0000000000000001E-4</v>
      </c>
      <c r="D44" s="282"/>
      <c r="E44" s="282"/>
      <c r="F44" s="283"/>
      <c r="G44" s="3216"/>
    </row>
    <row r="45" spans="1:7" s="258" customFormat="1" ht="13.5" customHeight="1">
      <c r="A45" s="299" t="s">
        <v>2412</v>
      </c>
      <c r="B45" s="288" t="s">
        <v>2378</v>
      </c>
      <c r="C45" s="289">
        <f ca="1">C46</f>
        <v>1385291</v>
      </c>
      <c r="D45" s="279">
        <f ca="1">C47</f>
        <v>1.5E-3</v>
      </c>
      <c r="E45" s="280" t="s">
        <v>2404</v>
      </c>
      <c r="F45" s="290"/>
      <c r="G45" s="291" t="s">
        <v>2413</v>
      </c>
    </row>
    <row r="46" spans="1:7" s="258" customFormat="1" ht="13.5" customHeight="1">
      <c r="A46" s="950" t="s">
        <v>791</v>
      </c>
      <c r="B46" s="292" t="s">
        <v>2414</v>
      </c>
      <c r="C46" s="293">
        <f ca="1">ROUND((C33+C39)*F27,0)</f>
        <v>1385291</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306">
        <f>ROUND(F30/(1+'数据-取费表'!C42),4)</f>
        <v>5.2400000000000002E-2</v>
      </c>
      <c r="D48" s="280" t="s">
        <v>2404</v>
      </c>
      <c r="E48" s="276"/>
      <c r="F48" s="281"/>
      <c r="G48" s="278" t="s">
        <v>2417</v>
      </c>
    </row>
    <row r="49" spans="1:7" ht="16.5" customHeight="1">
      <c r="A49" s="299" t="s">
        <v>2383</v>
      </c>
      <c r="B49" s="254" t="s">
        <v>2457</v>
      </c>
      <c r="C49" s="276">
        <f ca="1">ROUND((C33+C39+C41+C45)/(1-C40-D41-D45-C48),0)</f>
        <v>11562590</v>
      </c>
      <c r="D49" s="276"/>
      <c r="E49" s="276"/>
      <c r="F49" s="308"/>
      <c r="G49" s="278" t="s">
        <v>2419</v>
      </c>
    </row>
    <row r="50" spans="1:7" s="302" customFormat="1">
      <c r="A50" s="299" t="s">
        <v>2420</v>
      </c>
      <c r="B50" s="254" t="s">
        <v>2421</v>
      </c>
      <c r="C50" s="276"/>
      <c r="D50" s="276"/>
      <c r="E50" s="276"/>
      <c r="F50" s="308">
        <f>IF('数据-取费表'!B24=0,'数据-取费表'!N16,1)</f>
        <v>0.93</v>
      </c>
      <c r="G50" s="291"/>
    </row>
    <row r="51" spans="1:7" ht="16.5" customHeight="1">
      <c r="A51" s="299" t="s">
        <v>2423</v>
      </c>
      <c r="B51" s="254" t="s">
        <v>2458</v>
      </c>
      <c r="C51" s="276">
        <f ca="1">ROUND(C49*F50,0)</f>
        <v>10753209</v>
      </c>
      <c r="D51" s="276"/>
      <c r="E51" s="276"/>
      <c r="F51" s="308"/>
      <c r="G51" s="278" t="s">
        <v>2425</v>
      </c>
    </row>
    <row r="52" spans="1:7" s="252" customFormat="1" ht="16.5" thickBot="1">
      <c r="A52" s="309" t="s">
        <v>2426</v>
      </c>
      <c r="B52" s="310"/>
      <c r="C52" s="311">
        <f ca="1">C31+C51</f>
        <v>12552896</v>
      </c>
      <c r="D52" s="310"/>
      <c r="E52" s="310"/>
      <c r="F52" s="310"/>
      <c r="G52" s="312"/>
    </row>
    <row r="55" spans="1:7" ht="15">
      <c r="B55" s="314" t="s">
        <v>2427</v>
      </c>
      <c r="C55" s="315"/>
    </row>
    <row r="56" spans="1:7">
      <c r="B56" s="317" t="s">
        <v>1508</v>
      </c>
      <c r="C56" s="319">
        <f ca="1">1-C57</f>
        <v>0.14300000000000002</v>
      </c>
    </row>
    <row r="57" spans="1:7">
      <c r="B57" s="317" t="s">
        <v>1509</v>
      </c>
      <c r="C57" s="318">
        <f ca="1">ROUND(C51/C52,3)</f>
        <v>0.85699999999999998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2459</v>
      </c>
      <c r="B1" s="1579"/>
      <c r="C1" s="1580"/>
      <c r="D1" s="1578"/>
      <c r="E1" s="320"/>
      <c r="F1" s="320"/>
      <c r="G1" s="1579"/>
      <c r="H1" s="320"/>
      <c r="I1" s="320"/>
      <c r="J1" s="320"/>
      <c r="K1" s="320">
        <f>MATCH(C1,'数据-取费表'!A6:A16,0)+5</f>
        <v>8</v>
      </c>
    </row>
    <row r="2" spans="1:33" ht="18" customHeight="1">
      <c r="A2" s="245" t="s">
        <v>2327</v>
      </c>
      <c r="B2" s="248">
        <f ca="1">C32</f>
        <v>0</v>
      </c>
      <c r="C2" s="320" t="s">
        <v>2460</v>
      </c>
      <c r="D2" s="320"/>
      <c r="E2" s="320"/>
      <c r="F2" s="320"/>
      <c r="G2" s="320"/>
      <c r="H2" s="320"/>
      <c r="I2" s="320"/>
      <c r="J2" s="320"/>
      <c r="K2" s="320"/>
    </row>
    <row r="3" spans="1:33" ht="18" customHeight="1" thickBot="1">
      <c r="A3" s="247" t="s">
        <v>2329</v>
      </c>
      <c r="B3" s="248">
        <f ca="1">ROUND(B2*10000/IF(C1="",'数据-汇总表'!E3,INDIRECT("'数据-取费表'!K"&amp;$K$1)),0)</f>
        <v>0</v>
      </c>
      <c r="C3" s="320" t="s">
        <v>2461</v>
      </c>
      <c r="D3" s="320"/>
      <c r="E3" s="320"/>
      <c r="F3" s="320"/>
      <c r="G3" s="320"/>
      <c r="H3" s="320"/>
      <c r="I3" s="320"/>
      <c r="J3" s="320"/>
      <c r="K3" s="320"/>
    </row>
    <row r="4" spans="1:33" s="955" customFormat="1" ht="16.5" customHeight="1">
      <c r="A4" s="952" t="s">
        <v>2462</v>
      </c>
      <c r="B4" s="953"/>
      <c r="C4" s="995">
        <f>SUM(C8:K8)</f>
        <v>0</v>
      </c>
      <c r="D4" s="953"/>
      <c r="E4" s="953"/>
      <c r="F4" s="953"/>
      <c r="G4" s="953"/>
      <c r="H4" s="953"/>
      <c r="I4" s="953"/>
      <c r="J4" s="953"/>
      <c r="K4" s="954"/>
    </row>
    <row r="5" spans="1:33" s="959" customFormat="1" ht="24.75">
      <c r="A5" s="956" t="s">
        <v>2463</v>
      </c>
      <c r="B5" s="957" t="s">
        <v>2464</v>
      </c>
      <c r="C5" s="2550" t="s">
        <v>2465</v>
      </c>
      <c r="D5" s="2550" t="s">
        <v>2466</v>
      </c>
      <c r="E5" s="2550" t="s">
        <v>2467</v>
      </c>
      <c r="F5" s="2550"/>
      <c r="G5" s="2550"/>
      <c r="H5" s="2550"/>
      <c r="I5" s="2550"/>
      <c r="J5" s="2550"/>
      <c r="K5" s="2550"/>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2468</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1" t="s">
        <v>2471</v>
      </c>
      <c r="B8" s="177" t="s">
        <v>2472</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2473</v>
      </c>
      <c r="B9" s="953"/>
      <c r="C9" s="953"/>
      <c r="D9" s="953"/>
      <c r="E9" s="953"/>
      <c r="F9" s="953"/>
      <c r="G9" s="953"/>
      <c r="H9" s="953"/>
      <c r="I9" s="953"/>
      <c r="J9" s="953"/>
      <c r="K9" s="954"/>
    </row>
    <row r="10" spans="1:33" s="969" customFormat="1" ht="13.5" customHeight="1">
      <c r="A10" s="956" t="s">
        <v>2474</v>
      </c>
      <c r="B10" s="8" t="s">
        <v>2475</v>
      </c>
      <c r="C10" s="965" t="s">
        <v>2476</v>
      </c>
      <c r="D10" s="966" t="s">
        <v>2477</v>
      </c>
      <c r="E10" s="966" t="s">
        <v>2478</v>
      </c>
      <c r="F10" s="966" t="s">
        <v>2479</v>
      </c>
      <c r="G10" s="8"/>
      <c r="H10" s="967"/>
      <c r="I10" s="967"/>
      <c r="J10" s="967"/>
      <c r="K10" s="968"/>
    </row>
    <row r="11" spans="1:33" s="974" customFormat="1" ht="13.5" customHeight="1">
      <c r="A11" s="970" t="s">
        <v>1330</v>
      </c>
      <c r="B11" s="971" t="s">
        <v>2480</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2481</v>
      </c>
      <c r="C12" s="24">
        <f ca="1">ROUND(C11*F12,0)</f>
        <v>0</v>
      </c>
      <c r="D12" s="972"/>
      <c r="E12" s="375"/>
      <c r="F12" s="975">
        <f>'数据-取费表'!B33</f>
        <v>0.03</v>
      </c>
      <c r="G12" s="8" t="s">
        <v>2482</v>
      </c>
      <c r="H12" s="967"/>
      <c r="I12" s="967"/>
      <c r="J12" s="967"/>
      <c r="K12" s="968"/>
    </row>
    <row r="13" spans="1:33" s="974" customFormat="1" ht="13.5" customHeight="1">
      <c r="A13" s="970" t="s">
        <v>1332</v>
      </c>
      <c r="B13" s="971" t="s">
        <v>2483</v>
      </c>
      <c r="C13" s="24">
        <f ca="1">ROUND(IF(C1="",SUMIF('数据-取费表'!C:C,"住宅",'数据-取费表'!P:P)*F13,IF(INDIRECT("'数据-取费表'!c"&amp;$K$1)="住宅",INDIRECT("'数据-取费表'!P"&amp;$K$1)*F13,0)),0)</f>
        <v>0</v>
      </c>
      <c r="D13" s="1032"/>
      <c r="E13" s="375"/>
      <c r="F13" s="975">
        <f>'数据-取费表'!B34</f>
        <v>0</v>
      </c>
      <c r="G13" s="8" t="s">
        <v>2484</v>
      </c>
      <c r="H13" s="967"/>
      <c r="I13" s="967"/>
      <c r="J13" s="967"/>
      <c r="K13" s="968"/>
    </row>
    <row r="14" spans="1:33" s="976" customFormat="1" ht="13.5" customHeight="1">
      <c r="A14" s="970" t="s">
        <v>1333</v>
      </c>
      <c r="B14" s="971" t="s">
        <v>2485</v>
      </c>
      <c r="C14" s="24">
        <f ca="1">ROUND(D14*E14*F11/10000,0)</f>
        <v>0</v>
      </c>
      <c r="D14" s="1032">
        <f ca="1">IF(C1="",'数据-汇总表'!E3,INDIRECT("'数据-取费表'!K"&amp;$K$1)+INDIRECT("'数据-取费表'!S"&amp;$K$1))</f>
        <v>3992.9400000000005</v>
      </c>
      <c r="E14" s="24">
        <f>'数据-取费表'!B35</f>
        <v>200</v>
      </c>
      <c r="F14" s="975"/>
      <c r="G14" s="8" t="s">
        <v>2486</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2487</v>
      </c>
      <c r="C15" s="982">
        <f ca="1">ROUND(C11*F15,0)</f>
        <v>0</v>
      </c>
      <c r="D15" s="977"/>
      <c r="E15" s="982"/>
      <c r="F15" s="983">
        <f>'数据-取费表'!B36</f>
        <v>1.4999999999999999E-2</v>
      </c>
      <c r="G15" s="140" t="s">
        <v>2488</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2489</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2490</v>
      </c>
      <c r="C17" s="24">
        <f ca="1">ROUND(D17*E17/10000,0)</f>
        <v>0</v>
      </c>
      <c r="D17" s="1032">
        <f ca="1">D14</f>
        <v>3992.9400000000005</v>
      </c>
      <c r="E17" s="24">
        <f>'数据-取费表'!B32</f>
        <v>0</v>
      </c>
      <c r="F17" s="977"/>
      <c r="G17" s="140" t="s">
        <v>2491</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2492</v>
      </c>
      <c r="C18" s="24">
        <f ca="1">C19+C20-IF(C1="",'数据-取费表'!B29,IF(G18="已全部缴纳",C19+C20,H18))</f>
        <v>0</v>
      </c>
      <c r="D18" s="1032"/>
      <c r="E18" s="24"/>
      <c r="F18" s="975"/>
      <c r="G18" s="2552"/>
      <c r="H18" s="1575"/>
      <c r="I18" s="2553" t="s">
        <v>2493</v>
      </c>
      <c r="J18" s="978"/>
      <c r="K18" s="979"/>
    </row>
    <row r="19" spans="1:33" s="974" customFormat="1" ht="13.5" customHeight="1">
      <c r="A19" s="970" t="s">
        <v>805</v>
      </c>
      <c r="B19" s="971" t="s">
        <v>2494</v>
      </c>
      <c r="C19" s="24">
        <f ca="1">ROUND(D19*E19/10000,0)</f>
        <v>0</v>
      </c>
      <c r="D19" s="1032">
        <f ca="1">IF(C1="",'数据-汇总表'!E5,IF(INDIRECT("'数据-取费表'!c"&amp;$K$1)="住宅",INDIRECT("'数据-取费表'!k"&amp;$K$1),0))</f>
        <v>0</v>
      </c>
      <c r="E19" s="24">
        <f>'数据-取费表'!B27</f>
        <v>150</v>
      </c>
      <c r="F19" s="975"/>
      <c r="G19" s="15"/>
      <c r="H19" s="1577"/>
      <c r="I19" s="980"/>
      <c r="J19" s="980"/>
      <c r="K19" s="981"/>
    </row>
    <row r="20" spans="1:33" s="974" customFormat="1" ht="13.5" customHeight="1">
      <c r="A20" s="970" t="s">
        <v>806</v>
      </c>
      <c r="B20" s="971" t="s">
        <v>2495</v>
      </c>
      <c r="C20" s="24">
        <f ca="1">ROUND(D20*E20/10000,0)</f>
        <v>60</v>
      </c>
      <c r="D20" s="1032">
        <f ca="1">IF(C1="",'数据-汇总表'!E6,IF(INDIRECT("'数据-取费表'!c"&amp;$K$1)="住宅",INDIRECT("'数据-取费表'!s"&amp;$K$1),INDIRECT("'数据-取费表'!k"&amp;$K$1)+INDIRECT("'数据-取费表'!s"&amp;$K$1)))</f>
        <v>3992.9400000000005</v>
      </c>
      <c r="E20" s="24">
        <f>'数据-取费表'!B28</f>
        <v>150</v>
      </c>
      <c r="F20" s="975"/>
      <c r="G20" s="15"/>
      <c r="H20" s="980"/>
      <c r="I20" s="980"/>
      <c r="J20" s="980"/>
      <c r="K20" s="981"/>
    </row>
    <row r="21" spans="1:33" s="974" customFormat="1" ht="13.5" customHeight="1">
      <c r="A21" s="960" t="s">
        <v>802</v>
      </c>
      <c r="B21" s="984" t="s">
        <v>2496</v>
      </c>
      <c r="C21" s="985">
        <f ca="1">C16+C17+C18</f>
        <v>0</v>
      </c>
      <c r="D21" s="986"/>
      <c r="E21" s="325"/>
      <c r="F21" s="325"/>
      <c r="G21" s="140" t="s">
        <v>2497</v>
      </c>
      <c r="H21" s="978"/>
      <c r="I21" s="978"/>
      <c r="J21" s="978"/>
      <c r="K21" s="979"/>
    </row>
    <row r="22" spans="1:33" s="974" customFormat="1" ht="13.5" customHeight="1">
      <c r="A22" s="960" t="s">
        <v>2469</v>
      </c>
      <c r="B22" s="984" t="s">
        <v>2498</v>
      </c>
      <c r="C22" s="985">
        <f ca="1">ROUND(C21*F22,0)</f>
        <v>0</v>
      </c>
      <c r="D22" s="325"/>
      <c r="E22" s="325"/>
      <c r="F22" s="987">
        <f>'数据-取费表'!B37</f>
        <v>0.01</v>
      </c>
      <c r="G22" s="8" t="s">
        <v>2499</v>
      </c>
      <c r="H22" s="967"/>
      <c r="I22" s="967"/>
      <c r="J22" s="967"/>
      <c r="K22" s="968"/>
    </row>
    <row r="23" spans="1:33" s="974" customFormat="1" ht="13.5" customHeight="1">
      <c r="A23" s="960" t="s">
        <v>2471</v>
      </c>
      <c r="B23" s="984" t="s">
        <v>2500</v>
      </c>
      <c r="C23" s="985">
        <f ca="1">ROUND(C4*F23*F11,0)</f>
        <v>0</v>
      </c>
      <c r="D23" s="325"/>
      <c r="E23" s="325"/>
      <c r="F23" s="987">
        <f>'数据-取费表'!B38</f>
        <v>0.01</v>
      </c>
      <c r="G23" s="8" t="s">
        <v>2501</v>
      </c>
      <c r="H23" s="967"/>
      <c r="I23" s="967"/>
      <c r="J23" s="967"/>
      <c r="K23" s="968"/>
    </row>
    <row r="24" spans="1:33" s="974" customFormat="1" ht="13.5" customHeight="1">
      <c r="A24" s="960" t="s">
        <v>2502</v>
      </c>
      <c r="B24" s="984" t="s">
        <v>2503</v>
      </c>
      <c r="C24" s="324">
        <f>ROUND(F24/(1+'数据-取费表'!C42),4)</f>
        <v>2.9000000000000001E-2</v>
      </c>
      <c r="D24" s="325" t="s">
        <v>15</v>
      </c>
      <c r="E24" s="325"/>
      <c r="F24" s="987">
        <f>IF(项目基本情况!B8="出让",0,'数据-取费表'!B48+'数据-取费表'!B49)</f>
        <v>3.0499999999999999E-2</v>
      </c>
      <c r="G24" s="8" t="s">
        <v>2504</v>
      </c>
      <c r="H24" s="989"/>
      <c r="I24" s="989"/>
      <c r="J24" s="989"/>
      <c r="K24" s="990"/>
    </row>
    <row r="25" spans="1:33" s="974" customFormat="1" ht="13.5" customHeight="1">
      <c r="A25" s="960" t="s">
        <v>2505</v>
      </c>
      <c r="B25" s="986" t="s">
        <v>2506</v>
      </c>
      <c r="C25" s="1354">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89"/>
      <c r="I25" s="989"/>
      <c r="J25" s="989"/>
      <c r="K25" s="990"/>
    </row>
    <row r="26" spans="1:33" s="992" customFormat="1" ht="13.5" customHeight="1">
      <c r="A26" s="970" t="s">
        <v>803</v>
      </c>
      <c r="B26" s="991" t="s">
        <v>2507</v>
      </c>
      <c r="C26" s="1355">
        <f ca="1">ROUND(IF('数据-取费表'!B22&lt;=1,(1+C24)*F25*'数据-取费表'!B24,(1+C24)*(POWER((1+F25),'数据-取费表'!B24)-1)),4)</f>
        <v>0</v>
      </c>
      <c r="D26" s="328"/>
      <c r="E26" s="329"/>
      <c r="F26" s="330"/>
      <c r="G26" s="2554" t="str">
        <f>IF('数据-取费表'!B22&lt;=1,"（(1)+取得税费率/(1+5%)）×年利率×建设期","（(1)+取得税费率）/(1+5%)×((1+年利率)^建设期-1)")</f>
        <v>（(1)+取得税费率/(1+5%)）×年利率×建设期</v>
      </c>
      <c r="H26" s="978"/>
      <c r="I26" s="978"/>
      <c r="J26" s="978"/>
      <c r="K26" s="979"/>
    </row>
    <row r="27" spans="1:33" s="992" customFormat="1" ht="13.5" customHeight="1">
      <c r="A27" s="970" t="s">
        <v>804</v>
      </c>
      <c r="B27" s="991" t="s">
        <v>2508</v>
      </c>
      <c r="C27" s="1356">
        <f ca="1">ROUND(IF('数据-取费表'!B22&lt;=1,(C21+C22+C23)*F25*'数据-取费表'!B24/2,(C21+C22+C23)*(POWER((1+F25),'数据-取费表'!B24/2)-1)),0)</f>
        <v>0</v>
      </c>
      <c r="D27" s="328"/>
      <c r="E27" s="329"/>
      <c r="F27" s="330"/>
      <c r="G27" s="2554" t="str">
        <f>IF('数据-取费表'!B22&lt;=1,"（1）-（3）项×年利率×建设期÷2","（1）-（3）项×((1+年利率)^(建设期÷2)-1)")</f>
        <v>（1）-（3）项×年利率×建设期÷2</v>
      </c>
      <c r="H27" s="978"/>
      <c r="I27" s="978"/>
      <c r="J27" s="978"/>
      <c r="K27" s="979"/>
    </row>
    <row r="28" spans="1:33" s="333" customFormat="1" ht="13.5" customHeight="1">
      <c r="A28" s="960" t="s">
        <v>2509</v>
      </c>
      <c r="B28" s="2555" t="s">
        <v>2510</v>
      </c>
      <c r="C28" s="331">
        <f ca="1">C30</f>
        <v>0</v>
      </c>
      <c r="D28" s="324">
        <f ca="1">C29</f>
        <v>0</v>
      </c>
      <c r="E28" s="326" t="s">
        <v>15</v>
      </c>
      <c r="F28" s="332">
        <f ca="1">IF(C1="",'数据-取费表'!Q16,INDIRECT("'数据-取费表'!q"&amp;$K$1))</f>
        <v>0.15</v>
      </c>
      <c r="G28" s="988"/>
      <c r="H28" s="989"/>
      <c r="I28" s="989"/>
      <c r="J28" s="989"/>
      <c r="K28" s="990"/>
    </row>
    <row r="29" spans="1:33" s="335" customFormat="1" ht="13.5" customHeight="1">
      <c r="A29" s="970" t="s">
        <v>803</v>
      </c>
      <c r="B29" s="993" t="s">
        <v>2511</v>
      </c>
      <c r="C29" s="328">
        <f ca="1">ROUND((1+C24)*F28*'数据-取费表'!B24/'数据-取费表'!B20,4)</f>
        <v>0</v>
      </c>
      <c r="D29" s="328"/>
      <c r="E29" s="329"/>
      <c r="F29" s="334"/>
      <c r="G29" s="140" t="s">
        <v>2512</v>
      </c>
      <c r="H29" s="978"/>
      <c r="I29" s="978"/>
      <c r="J29" s="978"/>
      <c r="K29" s="979"/>
    </row>
    <row r="30" spans="1:33" s="335" customFormat="1" ht="13.5" customHeight="1">
      <c r="A30" s="970" t="s">
        <v>804</v>
      </c>
      <c r="B30" s="993" t="s">
        <v>2513</v>
      </c>
      <c r="C30" s="336">
        <f ca="1">ROUND((C21+C22+C23)*F28,0)</f>
        <v>0</v>
      </c>
      <c r="D30" s="328"/>
      <c r="E30" s="329"/>
      <c r="F30" s="334"/>
      <c r="G30" s="140"/>
      <c r="H30" s="978"/>
      <c r="I30" s="978"/>
      <c r="J30" s="978"/>
      <c r="K30" s="979"/>
    </row>
    <row r="31" spans="1:33" s="974" customFormat="1" ht="13.5" customHeight="1" thickBot="1">
      <c r="A31" s="2556" t="s">
        <v>2514</v>
      </c>
      <c r="B31" s="1004" t="s">
        <v>2515</v>
      </c>
      <c r="C31" s="1005">
        <f>ROUND(C4*F31/(1+'数据-取费表'!C42),0)</f>
        <v>0</v>
      </c>
      <c r="D31" s="1006"/>
      <c r="E31" s="1007"/>
      <c r="F31" s="1008">
        <f>'数据-取费表'!B41</f>
        <v>5.5000000000000007E-2</v>
      </c>
      <c r="G31" s="1009" t="s">
        <v>2516</v>
      </c>
      <c r="H31" s="1010"/>
      <c r="I31" s="1010"/>
      <c r="J31" s="1010"/>
      <c r="K31" s="1011"/>
    </row>
    <row r="32" spans="1:33" s="969" customFormat="1" ht="13.5" customHeight="1" thickBot="1">
      <c r="A32" s="999" t="s">
        <v>2517</v>
      </c>
      <c r="B32" s="1000"/>
      <c r="C32" s="1001">
        <f ca="1">ROUND((C4-C21-C22-C23-C25-C28-C31)/(1+C24+D25+D28),0)</f>
        <v>0</v>
      </c>
      <c r="D32" s="1000"/>
      <c r="E32" s="1000"/>
      <c r="F32" s="1000"/>
      <c r="G32" s="1002" t="s">
        <v>2518</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B10" zoomScale="80" zoomScaleNormal="80" zoomScaleSheetLayoutView="90" workbookViewId="0">
      <selection activeCell="C38" sqref="C38"/>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v>101</v>
      </c>
      <c r="D1" s="1818" t="s">
        <v>70</v>
      </c>
      <c r="E1" s="1819" t="s">
        <v>1382</v>
      </c>
      <c r="F1" s="1281">
        <f ca="1">J53</f>
        <v>35.68</v>
      </c>
      <c r="G1" s="1834">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86</v>
      </c>
      <c r="C2" s="1843" t="s">
        <v>1511</v>
      </c>
      <c r="D2" s="1843"/>
      <c r="E2" s="1844"/>
      <c r="F2" s="1845"/>
      <c r="G2" s="1846"/>
      <c r="H2" s="1838"/>
      <c r="I2" s="1838"/>
      <c r="J2" s="1838"/>
      <c r="K2" s="1839"/>
      <c r="L2" s="1838"/>
      <c r="M2" s="1838"/>
    </row>
    <row r="3" spans="1:37" ht="18" customHeight="1" thickBot="1">
      <c r="A3" s="1847" t="s">
        <v>1512</v>
      </c>
      <c r="B3" s="1848">
        <f ca="1">IF(ISERROR(B2*10000/F43),0,ROUND(B2*10000/F43,0))</f>
        <v>8517</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5</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5</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100.98</v>
      </c>
      <c r="G7" s="1849"/>
      <c r="H7" s="349"/>
      <c r="I7" s="3263"/>
      <c r="J7" s="351"/>
      <c r="K7" s="352"/>
      <c r="L7" s="347" t="s">
        <v>1401</v>
      </c>
      <c r="M7" s="348">
        <f ca="1">F7</f>
        <v>100.98</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3038</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28</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20</v>
      </c>
      <c r="D14" s="1798" t="s">
        <v>1413</v>
      </c>
      <c r="E14" s="1792"/>
      <c r="F14" s="364"/>
      <c r="G14" s="1849"/>
      <c r="H14" s="1199" t="s">
        <v>1032</v>
      </c>
      <c r="I14" s="347" t="s">
        <v>1414</v>
      </c>
      <c r="J14" s="24">
        <f ca="1">C29</f>
        <v>30</v>
      </c>
      <c r="K14" s="15"/>
      <c r="L14" s="978"/>
      <c r="M14" s="979"/>
    </row>
    <row r="15" spans="1:37" s="1856" customFormat="1" ht="18" customHeight="1" thickBot="1">
      <c r="A15" s="1199" t="s">
        <v>1033</v>
      </c>
      <c r="B15" s="347" t="s">
        <v>1415</v>
      </c>
      <c r="C15" s="24">
        <f ca="1">ROUND(C14*F15,0)</f>
        <v>1</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1</v>
      </c>
      <c r="K16" s="1335" t="s">
        <v>1420</v>
      </c>
      <c r="L16" s="1336"/>
      <c r="M16" s="1292"/>
    </row>
    <row r="17" spans="1:37" s="1856" customFormat="1" ht="18" customHeight="1">
      <c r="A17" s="1199" t="s">
        <v>1385</v>
      </c>
      <c r="B17" s="347" t="s">
        <v>1421</v>
      </c>
      <c r="C17" s="24">
        <f ca="1">ROUND(F17*(F43+INDIRECT("'数据-取费表'!S"&amp;$G$1))/10000,0)</f>
        <v>2</v>
      </c>
      <c r="D17" s="347" t="s">
        <v>1422</v>
      </c>
      <c r="E17" s="347" t="s">
        <v>1423</v>
      </c>
      <c r="F17" s="26">
        <f>'数据-取费表'!B35</f>
        <v>200</v>
      </c>
      <c r="G17" s="1852"/>
      <c r="H17" s="1199" t="s">
        <v>1032</v>
      </c>
      <c r="I17" s="347" t="s">
        <v>1424</v>
      </c>
      <c r="J17" s="24">
        <f ca="1">ROUND(IF(项目基本情况!B11="自然人",J6*M17/(1+'数据-取费表'!C42),J18+J19+J20),1)</f>
        <v>0.3</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ROUND(C14*F18,1)</f>
        <v>0.3</v>
      </c>
      <c r="D18" s="347" t="s">
        <v>1416</v>
      </c>
      <c r="E18" s="347" t="s">
        <v>1417</v>
      </c>
      <c r="F18" s="367">
        <f>'数据-取费表'!B36</f>
        <v>1.4999999999999999E-2</v>
      </c>
      <c r="G18" s="1852"/>
      <c r="H18" s="1199" t="s">
        <v>1031</v>
      </c>
      <c r="I18" s="347" t="s">
        <v>1428</v>
      </c>
      <c r="J18" s="24">
        <f ca="1">ROUND(J6*M18/(1+'数据-取费表'!C42),2)</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23.3</v>
      </c>
      <c r="D19" s="140" t="s">
        <v>1431</v>
      </c>
      <c r="E19" s="1816"/>
      <c r="F19" s="26"/>
      <c r="G19" s="1849"/>
      <c r="H19" s="1199" t="s">
        <v>1033</v>
      </c>
      <c r="I19" s="347" t="s">
        <v>1432</v>
      </c>
      <c r="J19" s="24">
        <f ca="1">IF(K19="按租金收入计税",ROUND(J6*M19/(1+'数据-取费表'!C42),2),ROUND(C29*M19*0.7,2))</f>
        <v>0.25</v>
      </c>
      <c r="K19" s="1826" t="s">
        <v>1433</v>
      </c>
      <c r="L19" s="347" t="s">
        <v>1417</v>
      </c>
      <c r="M19" s="367">
        <f>IF(K19="按租金收入计税",'数据-取费表'!B51,'数据-取费表'!B50)</f>
        <v>1.2E-2</v>
      </c>
    </row>
    <row r="20" spans="1:37" s="1856" customFormat="1" ht="18" customHeight="1">
      <c r="A20" s="1199" t="s">
        <v>1036</v>
      </c>
      <c r="B20" s="347" t="s">
        <v>1434</v>
      </c>
      <c r="C20" s="24">
        <f ca="1">ROUND(C19*F20,1)</f>
        <v>0.2</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ROUND(J14*M22,1)</f>
        <v>0.5</v>
      </c>
      <c r="K22" s="1796"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1796" t="s">
        <v>1449</v>
      </c>
      <c r="L23" s="347" t="s">
        <v>1450</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ROUND(J5*M24,1)</f>
        <v>0</v>
      </c>
      <c r="K24" s="1340" t="s">
        <v>1454</v>
      </c>
      <c r="L24" s="1338" t="s">
        <v>1450</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1816"/>
      <c r="F25" s="26"/>
      <c r="G25" s="1849"/>
      <c r="H25" s="1327" t="s">
        <v>1028</v>
      </c>
      <c r="I25" s="1342" t="s">
        <v>1458</v>
      </c>
      <c r="J25" s="355">
        <f ca="1">J5-J16</f>
        <v>-1</v>
      </c>
      <c r="K25" s="1343" t="s">
        <v>1459</v>
      </c>
      <c r="L25" s="1344"/>
      <c r="M25" s="1345"/>
    </row>
    <row r="26" spans="1:37">
      <c r="A26" s="1199" t="s">
        <v>1031</v>
      </c>
      <c r="B26" s="347" t="s">
        <v>1460</v>
      </c>
      <c r="C26" s="24">
        <f ca="1">ROUND((C19+C20)*F26,0)</f>
        <v>4</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30</v>
      </c>
      <c r="D29" s="1340"/>
      <c r="E29" s="1338"/>
      <c r="F29" s="1341"/>
      <c r="G29" s="1852"/>
      <c r="H29" s="380" t="s">
        <v>1030</v>
      </c>
      <c r="I29" s="381" t="s">
        <v>1474</v>
      </c>
      <c r="J29" s="382">
        <f ca="1">ROUND(J26/(1+F40)^F41,0)</f>
        <v>0</v>
      </c>
      <c r="K29" s="383" t="s">
        <v>1475</v>
      </c>
      <c r="L29" s="384"/>
      <c r="M29" s="385">
        <f ca="1">INDIRECT("'数据-取费表'!k"&amp;$G$1)</f>
        <v>100.98</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1</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ROUND(IF(项目基本情况!B11="自然人",C6*F31/(1+'数据-取费表'!C42),C32+C33+C34),1)</f>
        <v>0.8</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0.26</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0.56999999999999995</v>
      </c>
      <c r="D33" s="1826" t="s">
        <v>3073</v>
      </c>
      <c r="E33" s="347" t="s">
        <v>1417</v>
      </c>
      <c r="F33" s="367">
        <f>IF(D33="按票据","——",IF(D33="按租金收入计税",'数据-取费表'!B51,'数据-取费表'!B50))</f>
        <v>0.12</v>
      </c>
      <c r="G33" s="1849"/>
      <c r="H33" s="1857"/>
      <c r="I33" s="1858"/>
      <c r="J33" s="1859"/>
      <c r="K33" s="1860"/>
      <c r="L33" s="1857"/>
      <c r="M33" s="1857"/>
    </row>
    <row r="34" spans="1:18" ht="18" hidden="1"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hidden="1"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0.5</v>
      </c>
      <c r="D36" s="1796"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ROUND(C13*F37,2)</f>
        <v>0.04</v>
      </c>
      <c r="D37" s="1796" t="s">
        <v>1449</v>
      </c>
      <c r="E37" s="347" t="s">
        <v>1450</v>
      </c>
      <c r="F37" s="376">
        <f ca="1">INDIRECT("'数据-取费表'!Al"&amp;$G$1)</f>
        <v>1.5E-3</v>
      </c>
      <c r="G37" s="1849"/>
      <c r="H37" s="1857"/>
      <c r="I37" s="1858"/>
      <c r="J37" s="1859"/>
      <c r="K37" s="750"/>
      <c r="L37" s="1857"/>
      <c r="M37" s="1857"/>
    </row>
    <row r="38" spans="1:18" ht="18" customHeight="1" thickBot="1">
      <c r="A38" s="1337" t="s">
        <v>1388</v>
      </c>
      <c r="B38" s="1338" t="s">
        <v>1434</v>
      </c>
      <c r="C38" s="1339">
        <f ca="1">ROUND(C5*F38,1)</f>
        <v>0.1</v>
      </c>
      <c r="D38" s="1340" t="s">
        <v>1454</v>
      </c>
      <c r="E38" s="1338" t="s">
        <v>1450</v>
      </c>
      <c r="F38" s="1334">
        <f ca="1">INDIRECT("'数据-取费表'!Am"&amp;$G$1)</f>
        <v>0.01</v>
      </c>
      <c r="G38" s="1849"/>
      <c r="H38" s="1857"/>
      <c r="I38" s="1858"/>
      <c r="J38" s="1859"/>
      <c r="K38" s="1863"/>
      <c r="L38" s="1857"/>
      <c r="M38" s="1857"/>
    </row>
    <row r="39" spans="1:18" ht="24.6" customHeight="1" thickTop="1">
      <c r="A39" s="1327" t="s">
        <v>1028</v>
      </c>
      <c r="B39" s="1342" t="s">
        <v>1478</v>
      </c>
      <c r="C39" s="355">
        <f ca="1">C5-C30</f>
        <v>4</v>
      </c>
      <c r="D39" s="1343" t="s">
        <v>1479</v>
      </c>
      <c r="E39" s="1344"/>
      <c r="F39" s="1345"/>
      <c r="G39" s="1849"/>
      <c r="H39" s="1857"/>
      <c r="I39" s="1858"/>
      <c r="J39" s="1859"/>
      <c r="K39" s="1863"/>
      <c r="L39" s="1857"/>
      <c r="M39" s="1857"/>
    </row>
    <row r="40" spans="1:18" ht="18" customHeight="1">
      <c r="A40" s="344" t="s">
        <v>1029</v>
      </c>
      <c r="B40" s="345" t="s">
        <v>1480</v>
      </c>
      <c r="C40" s="346">
        <f ca="1">ROUND(C39*(1-((1+F42)/(1+F40))^F41)/(F40-F42),0)</f>
        <v>86</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8517</v>
      </c>
      <c r="D43" s="383" t="s">
        <v>1483</v>
      </c>
      <c r="E43" s="384" t="s">
        <v>1484</v>
      </c>
      <c r="F43" s="385">
        <f ca="1">INDIRECT("'数据-取费表'!k"&amp;$G$1)</f>
        <v>100.98</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-40</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86</v>
      </c>
      <c r="R47" s="1884" t="s">
        <v>1524</v>
      </c>
    </row>
    <row r="48" spans="1:18" s="1840" customFormat="1" ht="28.5" thickBot="1">
      <c r="A48" s="1358" t="s">
        <v>1132</v>
      </c>
      <c r="B48" s="345" t="s">
        <v>1396</v>
      </c>
      <c r="C48" s="1815">
        <f ca="1">C49+C53+C55</f>
        <v>5</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5</v>
      </c>
      <c r="D49" s="1274" t="s">
        <v>3030</v>
      </c>
      <c r="E49" s="1828" t="s">
        <v>1486</v>
      </c>
      <c r="F49" s="1279">
        <v>1.5</v>
      </c>
      <c r="G49" s="1889"/>
      <c r="H49" s="792"/>
      <c r="I49" s="1885" t="s">
        <v>1529</v>
      </c>
      <c r="J49" s="1890">
        <v>2015</v>
      </c>
      <c r="K49" s="1887" t="s">
        <v>1530</v>
      </c>
      <c r="L49" s="1891"/>
      <c r="O49" s="1892" t="s">
        <v>1039</v>
      </c>
      <c r="P49" s="1883" t="s">
        <v>1531</v>
      </c>
      <c r="Q49" s="1884">
        <f ca="1">C29</f>
        <v>30</v>
      </c>
      <c r="R49" s="1884" t="s">
        <v>1524</v>
      </c>
    </row>
    <row r="50" spans="1:18" s="1840" customFormat="1" ht="13.5" thickBot="1">
      <c r="A50" s="1193"/>
      <c r="B50" s="1196"/>
      <c r="C50" s="1366"/>
      <c r="D50" s="1170"/>
      <c r="E50" s="1275" t="s">
        <v>1401</v>
      </c>
      <c r="F50" s="1276">
        <f ca="1">F7</f>
        <v>100.98</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27</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86</v>
      </c>
      <c r="R53" s="1884" t="s">
        <v>1044</v>
      </c>
    </row>
    <row r="54" spans="1:18" s="1840" customFormat="1" ht="13.5" thickBot="1">
      <c r="A54" s="1404"/>
      <c r="B54" s="1823" t="s">
        <v>1383</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28</v>
      </c>
      <c r="D56" s="1911"/>
      <c r="E56" s="1912"/>
      <c r="F56" s="1904"/>
      <c r="I56" s="1913" t="s">
        <v>1549</v>
      </c>
      <c r="J56" s="1914" t="s">
        <v>3068</v>
      </c>
      <c r="K56" s="1885" t="s">
        <v>1550</v>
      </c>
      <c r="L56" s="1888" t="str">
        <f ca="1">IF(L48&lt;J51,"——",L48-J53)</f>
        <v>——</v>
      </c>
      <c r="O56" s="1882" t="s">
        <v>1037</v>
      </c>
      <c r="P56" s="1883" t="s">
        <v>1523</v>
      </c>
      <c r="Q56" s="1884">
        <f ca="1">C40+J29</f>
        <v>86</v>
      </c>
      <c r="R56" s="1884" t="s">
        <v>1524</v>
      </c>
    </row>
    <row r="57" spans="1:18" s="1840" customFormat="1" ht="24.75" thickBot="1">
      <c r="A57" s="1915"/>
      <c r="B57" s="1167" t="s">
        <v>1473</v>
      </c>
      <c r="C57" s="282">
        <f ca="1">C29</f>
        <v>30</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2</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0.9</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0.26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IF(项目基本情况!B11="自然人","——",IF(D61="按租金收入计税",ROUND(C48*F61,2),IF(D61="按房产原值计税",ROUND(C57*F61*0.7,2),INDIRECT("'数据-取费表'!Aj"&amp;$G$1))))</f>
        <v>0.6</v>
      </c>
      <c r="D61" s="1826" t="s">
        <v>3073</v>
      </c>
      <c r="E61" s="1167" t="s">
        <v>1489</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1491</v>
      </c>
      <c r="C62" s="25">
        <f ca="1">IF(项目基本情况!B11="自然人","——",ROUND(F62*F63/10000,2))</f>
        <v>0</v>
      </c>
      <c r="D62" s="1182" t="s">
        <v>1492</v>
      </c>
      <c r="E62" s="1167" t="s">
        <v>1493</v>
      </c>
      <c r="F62" s="371">
        <f t="shared" si="0"/>
        <v>4</v>
      </c>
      <c r="I62" s="1926" t="s">
        <v>1565</v>
      </c>
      <c r="J62" s="1927" t="s">
        <v>1566</v>
      </c>
      <c r="K62" s="1927" t="s">
        <v>1567</v>
      </c>
      <c r="L62" s="1927" t="s">
        <v>1568</v>
      </c>
      <c r="M62" s="1928" t="s">
        <v>1569</v>
      </c>
      <c r="O62" s="1882" t="s">
        <v>1043</v>
      </c>
      <c r="P62" s="1883" t="s">
        <v>1570</v>
      </c>
      <c r="Q62" s="1884">
        <f ca="1">Q56+Q57</f>
        <v>86</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ROUND(C57*F64,1)</f>
        <v>0.5</v>
      </c>
      <c r="D64" s="1181" t="s">
        <v>1497</v>
      </c>
      <c r="E64" s="1167" t="s">
        <v>1489</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0</v>
      </c>
      <c r="D65" s="1181" t="s">
        <v>1449</v>
      </c>
      <c r="E65" s="1167" t="s">
        <v>1450</v>
      </c>
      <c r="F65" s="376">
        <f t="shared" ca="1" si="0"/>
        <v>1.5E-3</v>
      </c>
      <c r="I65" s="1926" t="s">
        <v>1574</v>
      </c>
      <c r="J65" s="1927">
        <v>40</v>
      </c>
      <c r="K65" s="1927">
        <v>30</v>
      </c>
      <c r="L65" s="1927">
        <v>50</v>
      </c>
      <c r="M65" s="1929">
        <v>0.02</v>
      </c>
      <c r="O65" s="1882" t="s">
        <v>1037</v>
      </c>
      <c r="P65" s="1883" t="s">
        <v>1575</v>
      </c>
      <c r="Q65" s="1884">
        <f ca="1">C40+J29</f>
        <v>86</v>
      </c>
      <c r="R65" s="1884" t="s">
        <v>1524</v>
      </c>
    </row>
    <row r="66" spans="1:18" s="1840" customFormat="1" ht="16.5" thickBot="1">
      <c r="A66" s="1199" t="s">
        <v>1499</v>
      </c>
      <c r="B66" s="1167" t="s">
        <v>1434</v>
      </c>
      <c r="C66" s="24">
        <f ca="1">ROUND(C48*F66,1)</f>
        <v>0.1</v>
      </c>
      <c r="D66" s="1181" t="s">
        <v>1500</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3</v>
      </c>
      <c r="D67" s="1180" t="s">
        <v>1459</v>
      </c>
      <c r="E67" s="1185"/>
      <c r="F67" s="1186"/>
      <c r="O67" s="1892" t="s">
        <v>1039</v>
      </c>
      <c r="P67" s="1883" t="s">
        <v>1557</v>
      </c>
      <c r="Q67" s="1930">
        <f ca="1">L51</f>
        <v>27</v>
      </c>
      <c r="R67" s="1884" t="s">
        <v>1577</v>
      </c>
    </row>
    <row r="68" spans="1:18" s="1840" customFormat="1" ht="16.5" thickBot="1">
      <c r="A68" s="1164" t="s">
        <v>1029</v>
      </c>
      <c r="B68" s="1165" t="s">
        <v>1480</v>
      </c>
      <c r="C68" s="346">
        <f ca="1">ROUND(C67*(1-((1+F70)/(1+F68))^F69)/(F68-F70),0)</f>
        <v>46</v>
      </c>
      <c r="D68" s="1182" t="s">
        <v>1464</v>
      </c>
      <c r="E68" s="1167" t="s">
        <v>1465</v>
      </c>
      <c r="F68" s="357">
        <f ca="1">F40</f>
        <v>5.5E-2</v>
      </c>
      <c r="O68" s="1892" t="s">
        <v>1040</v>
      </c>
      <c r="P68" s="1931" t="s">
        <v>1578</v>
      </c>
      <c r="Q68" s="1884">
        <f ca="1">ROUND(Q69-Q70*Q71,0)</f>
        <v>2</v>
      </c>
      <c r="R68" s="1884" t="s">
        <v>1048</v>
      </c>
    </row>
    <row r="69" spans="1:18" s="1840" customFormat="1" ht="13.5" thickBot="1">
      <c r="A69" s="1168"/>
      <c r="B69" s="1169"/>
      <c r="C69" s="351"/>
      <c r="D69" s="1187" t="s">
        <v>1468</v>
      </c>
      <c r="E69" s="1167" t="s">
        <v>1469</v>
      </c>
      <c r="F69" s="379">
        <f ca="1">F41</f>
        <v>35.68</v>
      </c>
      <c r="O69" s="1892" t="s">
        <v>1045</v>
      </c>
      <c r="P69" s="1931" t="s">
        <v>1579</v>
      </c>
      <c r="Q69" s="1884">
        <f ca="1">C39</f>
        <v>4</v>
      </c>
      <c r="R69" s="1884" t="s">
        <v>1524</v>
      </c>
    </row>
    <row r="70" spans="1:18" s="1840" customFormat="1" ht="13.5" thickBot="1">
      <c r="A70" s="1171"/>
      <c r="B70" s="1172"/>
      <c r="C70" s="355"/>
      <c r="D70" s="1183"/>
      <c r="E70" s="1167" t="s">
        <v>1472</v>
      </c>
      <c r="F70" s="1273"/>
      <c r="O70" s="1892" t="s">
        <v>1046</v>
      </c>
      <c r="P70" s="1931" t="s">
        <v>1580</v>
      </c>
      <c r="Q70" s="1884">
        <f ca="1">C13</f>
        <v>28</v>
      </c>
      <c r="R70" s="1884" t="s">
        <v>1524</v>
      </c>
    </row>
    <row r="71" spans="1:18" s="1840" customFormat="1" ht="13.5" thickBot="1">
      <c r="A71" s="1188" t="s">
        <v>1030</v>
      </c>
      <c r="B71" s="1189" t="s">
        <v>1482</v>
      </c>
      <c r="C71" s="382">
        <f ca="1">ROUND(C68*10000/F71,0)</f>
        <v>4555</v>
      </c>
      <c r="D71" s="1190" t="s">
        <v>1483</v>
      </c>
      <c r="E71" s="1191" t="s">
        <v>1484</v>
      </c>
      <c r="F71" s="385">
        <f ca="1">F43</f>
        <v>100.98</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2</v>
      </c>
      <c r="D75" s="1840"/>
      <c r="E75" s="1840"/>
      <c r="F75" s="1840"/>
      <c r="K75" s="1866"/>
      <c r="L75" s="1840"/>
      <c r="O75" s="1882" t="s">
        <v>1043</v>
      </c>
      <c r="P75" s="1883" t="s">
        <v>1544</v>
      </c>
      <c r="Q75" s="1884">
        <f ca="1">Q65+Q66</f>
        <v>86</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0.5</v>
      </c>
    </row>
    <row r="80" spans="1:18">
      <c r="B80" s="386" t="s">
        <v>1506</v>
      </c>
      <c r="C80" s="318">
        <f ca="1">ROUND(C75/C39,3)</f>
        <v>0.5</v>
      </c>
    </row>
    <row r="81" spans="2:3">
      <c r="B81" s="314" t="s">
        <v>1507</v>
      </c>
      <c r="C81" s="282"/>
    </row>
    <row r="82" spans="2:3">
      <c r="B82" s="317" t="s">
        <v>1508</v>
      </c>
      <c r="C82" s="319">
        <f ca="1">1-C83</f>
        <v>0.67399999999999993</v>
      </c>
    </row>
    <row r="83" spans="2:3">
      <c r="B83" s="317" t="s">
        <v>1509</v>
      </c>
      <c r="C83" s="318">
        <f ca="1">ROUND(C13/C40,3)</f>
        <v>0.32600000000000001</v>
      </c>
    </row>
  </sheetData>
  <sheetProtection formatCells="0" formatColumns="0" formatRows="0"/>
  <mergeCells count="3">
    <mergeCell ref="K53:L53"/>
    <mergeCell ref="B6:B9"/>
    <mergeCell ref="I6:I9"/>
  </mergeCells>
  <phoneticPr fontId="3" type="noConversion"/>
  <conditionalFormatting sqref="K55 K60">
    <cfRule type="expression" dxfId="123" priority="56">
      <formula>$L$48&gt;$J$51</formula>
    </cfRule>
  </conditionalFormatting>
  <conditionalFormatting sqref="I55 I60">
    <cfRule type="expression" dxfId="122" priority="57">
      <formula>$J$51&gt;$L$48</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4">
    <cfRule type="expression" dxfId="11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c r="D1" s="1818"/>
      <c r="E1" s="1819" t="s">
        <v>1382</v>
      </c>
      <c r="F1" s="1281">
        <f ca="1">J53</f>
        <v>0</v>
      </c>
      <c r="G1" s="1834">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3" t="s">
        <v>1583</v>
      </c>
      <c r="I3" s="1838"/>
      <c r="J3" s="1838"/>
      <c r="K3" s="1839"/>
      <c r="L3" s="1838"/>
      <c r="M3" s="1838"/>
    </row>
    <row r="4" spans="1:37" ht="18" customHeight="1">
      <c r="A4" s="340" t="s">
        <v>1590</v>
      </c>
      <c r="B4" s="341" t="s">
        <v>1591</v>
      </c>
      <c r="C4" s="341" t="s">
        <v>1592</v>
      </c>
      <c r="D4" s="341" t="s">
        <v>1593</v>
      </c>
      <c r="E4" s="342" t="s">
        <v>1594</v>
      </c>
      <c r="F4" s="343"/>
      <c r="G4" s="1849"/>
      <c r="H4" s="340" t="s">
        <v>1590</v>
      </c>
      <c r="I4" s="341" t="s">
        <v>1591</v>
      </c>
      <c r="J4" s="341" t="s">
        <v>1592</v>
      </c>
      <c r="K4" s="341" t="s">
        <v>1593</v>
      </c>
      <c r="L4" s="342" t="s">
        <v>1594</v>
      </c>
      <c r="M4" s="343"/>
    </row>
    <row r="5" spans="1:37" ht="18" customHeight="1">
      <c r="A5" s="344">
        <v>1</v>
      </c>
      <c r="B5" s="345" t="s">
        <v>1595</v>
      </c>
      <c r="C5" s="1290">
        <f ca="1">C6+C10+C12</f>
        <v>0</v>
      </c>
      <c r="D5" s="1820" t="s">
        <v>1596</v>
      </c>
      <c r="E5" s="1291"/>
      <c r="F5" s="1292"/>
      <c r="G5" s="1849"/>
      <c r="H5" s="344">
        <v>1</v>
      </c>
      <c r="I5" s="345" t="s">
        <v>1595</v>
      </c>
      <c r="J5" s="1290">
        <f ca="1">J6+J10+J12</f>
        <v>0</v>
      </c>
      <c r="K5" s="1820" t="s">
        <v>1596</v>
      </c>
      <c r="L5" s="1291"/>
      <c r="M5" s="1292"/>
    </row>
    <row r="6" spans="1:37" ht="18" customHeight="1">
      <c r="A6" s="1289" t="s">
        <v>1032</v>
      </c>
      <c r="B6" s="3262" t="s">
        <v>1398</v>
      </c>
      <c r="C6" s="1294">
        <f ca="1">ROUND(F6*F8*F7*(1-F9),0)</f>
        <v>0</v>
      </c>
      <c r="D6" s="164" t="s">
        <v>3026</v>
      </c>
      <c r="E6" s="347" t="s">
        <v>1400</v>
      </c>
      <c r="F6" s="348">
        <f ca="1">INDIRECT("'数据-取费表'!u"&amp;$G$1)</f>
        <v>0</v>
      </c>
      <c r="G6" s="1849"/>
      <c r="H6" s="1289" t="s">
        <v>1032</v>
      </c>
      <c r="I6" s="3262" t="s">
        <v>1398</v>
      </c>
      <c r="J6" s="346">
        <f ca="1">ROUND(M6*M8*M7*(1-M9),0)</f>
        <v>0</v>
      </c>
      <c r="K6" s="1832" t="s">
        <v>3027</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0</v>
      </c>
      <c r="G7" s="1849"/>
      <c r="H7" s="349"/>
      <c r="I7" s="3263"/>
      <c r="J7" s="351"/>
      <c r="K7" s="352"/>
      <c r="L7" s="347" t="s">
        <v>1401</v>
      </c>
      <c r="M7" s="348">
        <f ca="1">F7</f>
        <v>0</v>
      </c>
    </row>
    <row r="8" spans="1:37" ht="18" customHeight="1">
      <c r="A8" s="349"/>
      <c r="B8" s="3263"/>
      <c r="C8" s="351"/>
      <c r="D8" s="352"/>
      <c r="E8" s="347" t="s">
        <v>1402</v>
      </c>
      <c r="F8" s="348">
        <f ca="1">INDIRECT("'数据-取费表'!ai"&amp;$G$1)</f>
        <v>0</v>
      </c>
      <c r="G8" s="1849"/>
      <c r="H8" s="349"/>
      <c r="I8" s="3263"/>
      <c r="J8" s="351"/>
      <c r="K8" s="352"/>
      <c r="L8" s="347" t="s">
        <v>1402</v>
      </c>
      <c r="M8" s="348">
        <f ca="1">INDIRECT("'数据-取费表'!ai"&amp;$G$1)</f>
        <v>0</v>
      </c>
    </row>
    <row r="9" spans="1:37" ht="18" customHeight="1">
      <c r="A9" s="349"/>
      <c r="B9" s="3264"/>
      <c r="C9" s="351"/>
      <c r="D9" s="352"/>
      <c r="E9" s="347" t="s">
        <v>1403</v>
      </c>
      <c r="F9" s="357">
        <f ca="1">INDIRECT("'数据-取费表'!w"&amp;$G$1)</f>
        <v>0</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c r="G10" s="1849"/>
      <c r="H10" s="1289" t="s">
        <v>1036</v>
      </c>
      <c r="I10" s="1821" t="s">
        <v>1404</v>
      </c>
      <c r="J10" s="346">
        <f ca="1">ROUND(IF(M10="押一",J6/12*M11,IF(M10="押二",J6/12*2*M11,IF(M10="押三",J6/12*3*M11,J11*M11))),0)</f>
        <v>0</v>
      </c>
      <c r="K10" s="1833" t="s">
        <v>3039</v>
      </c>
      <c r="L10" s="358" t="s">
        <v>1405</v>
      </c>
      <c r="M10" s="1364"/>
    </row>
    <row r="11" spans="1:37" ht="18" customHeight="1">
      <c r="A11" s="353"/>
      <c r="B11" s="1823" t="s">
        <v>1597</v>
      </c>
      <c r="C11" s="1176"/>
      <c r="D11" s="352"/>
      <c r="E11" s="358" t="s">
        <v>1407</v>
      </c>
      <c r="F11" s="359">
        <f ca="1">'数据-取费表'!B39</f>
        <v>1.4999999999999999E-2</v>
      </c>
      <c r="G11" s="1849"/>
      <c r="H11" s="1297"/>
      <c r="I11" s="1823" t="s">
        <v>1598</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7" t="s">
        <v>1412</v>
      </c>
      <c r="C14" s="363">
        <f ca="1">ROUND(INDIRECT("'数据-取费表'!l"&amp;$G$1)*F43+'数据-取费表'!L14*INDIRECT("'数据-取费表'!S"&amp;$G$1),0)</f>
        <v>0</v>
      </c>
      <c r="D14" s="1798" t="s">
        <v>1413</v>
      </c>
      <c r="E14" s="1792"/>
      <c r="F14" s="364"/>
      <c r="G14" s="1849"/>
      <c r="H14" s="1199" t="s">
        <v>1032</v>
      </c>
      <c r="I14" s="347" t="s">
        <v>1414</v>
      </c>
      <c r="J14" s="24">
        <f ca="1">C29</f>
        <v>0</v>
      </c>
      <c r="K14" s="15"/>
      <c r="L14" s="978"/>
      <c r="M14" s="979"/>
    </row>
    <row r="15" spans="1:37" s="1856" customFormat="1" ht="18" customHeight="1" thickBot="1">
      <c r="A15" s="1199" t="s">
        <v>1033</v>
      </c>
      <c r="B15" s="347" t="s">
        <v>1415</v>
      </c>
      <c r="C15" s="24">
        <f ca="1">ROUND(C14*F15,0)</f>
        <v>0</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49"/>
      <c r="H16" s="1327" t="s">
        <v>1027</v>
      </c>
      <c r="I16" s="1328" t="s">
        <v>1419</v>
      </c>
      <c r="J16" s="355">
        <f ca="1">ROUND(J17+J22+J23+J24,0)</f>
        <v>0</v>
      </c>
      <c r="K16" s="1335" t="s">
        <v>1420</v>
      </c>
      <c r="L16" s="1336"/>
      <c r="M16" s="1292"/>
    </row>
    <row r="17" spans="1:37" s="1856" customFormat="1" ht="18" customHeight="1">
      <c r="A17" s="1199" t="s">
        <v>1385</v>
      </c>
      <c r="B17" s="347" t="s">
        <v>1421</v>
      </c>
      <c r="C17" s="24">
        <f ca="1">ROUND(F17*(F43+INDIRECT("'数据-取费表'!S"&amp;$G$1)),0)</f>
        <v>0</v>
      </c>
      <c r="D17" s="347" t="s">
        <v>1422</v>
      </c>
      <c r="E17" s="347" t="s">
        <v>1423</v>
      </c>
      <c r="F17" s="26">
        <f>'数据-取费表'!B35</f>
        <v>200</v>
      </c>
      <c r="G17" s="1852"/>
      <c r="H17" s="1199" t="s">
        <v>1032</v>
      </c>
      <c r="I17" s="347" t="s">
        <v>1424</v>
      </c>
      <c r="J17" s="24">
        <f ca="1">ROUND(IF(项目基本情况!B11="自然人",J6*M17/(1+'数据-取费表'!C42),J18+J19+J20),0)</f>
        <v>0</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ROUND(J6*M18/(1+'数据-取费表'!C42),0)</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0</v>
      </c>
      <c r="D19" s="140" t="s">
        <v>1431</v>
      </c>
      <c r="E19" s="1816"/>
      <c r="F19" s="26"/>
      <c r="G19" s="1849"/>
      <c r="H19" s="1199" t="s">
        <v>1033</v>
      </c>
      <c r="I19" s="347" t="s">
        <v>1432</v>
      </c>
      <c r="J19" s="24">
        <f ca="1">IF(K19="按租金收入计税",ROUND(J6*M19/(1+'数据-取费表'!C42),0),ROUND(C29*M19*0.7,0))</f>
        <v>0</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ROUND(M20*M21,0)</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ROUND(J14*M22,0)</f>
        <v>0</v>
      </c>
      <c r="K22" s="1796" t="s">
        <v>1445</v>
      </c>
      <c r="L22" s="347" t="s">
        <v>1417</v>
      </c>
      <c r="M22" s="374">
        <f ca="1">INDIRECT("'数据-取费表'!Ak"&amp;$G$1)</f>
        <v>0</v>
      </c>
    </row>
    <row r="23" spans="1:37" s="1856" customFormat="1" ht="18" customHeight="1">
      <c r="A23" s="1199"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ROUND(J13*M23,0)</f>
        <v>0</v>
      </c>
      <c r="K23" s="1796" t="s">
        <v>1449</v>
      </c>
      <c r="L23" s="347" t="s">
        <v>1450</v>
      </c>
      <c r="M23" s="376">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7" t="s">
        <v>1456</v>
      </c>
      <c r="C25" s="24"/>
      <c r="D25" s="140" t="s">
        <v>1457</v>
      </c>
      <c r="E25" s="1816"/>
      <c r="F25" s="26"/>
      <c r="G25" s="1849"/>
      <c r="H25" s="1327" t="s">
        <v>1028</v>
      </c>
      <c r="I25" s="1342" t="s">
        <v>1458</v>
      </c>
      <c r="J25" s="355">
        <f ca="1">J5-J16</f>
        <v>0</v>
      </c>
      <c r="K25" s="1343" t="s">
        <v>1459</v>
      </c>
      <c r="L25" s="1344"/>
      <c r="M25" s="1345"/>
    </row>
    <row r="26" spans="1:37" ht="18" customHeight="1">
      <c r="A26" s="1199" t="s">
        <v>1031</v>
      </c>
      <c r="B26" s="347" t="s">
        <v>1460</v>
      </c>
      <c r="C26" s="24">
        <f ca="1">ROUND((C19+C20)*F26,0)</f>
        <v>0</v>
      </c>
      <c r="D26" s="369" t="s">
        <v>1461</v>
      </c>
      <c r="E26" s="358" t="s">
        <v>1462</v>
      </c>
      <c r="F26" s="357">
        <f ca="1">INDIRECT("'数据-取费表'!q"&amp;$G$1)</f>
        <v>0</v>
      </c>
      <c r="G26" s="1849"/>
      <c r="H26" s="344" t="s">
        <v>1029</v>
      </c>
      <c r="I26" s="345" t="s">
        <v>1463</v>
      </c>
      <c r="J26" s="346">
        <f ca="1">IF(J5&lt;&gt;0,ROUND(J25*(1-((1+M28)/(1+M26))^M27)/(M26-M28),0),0)</f>
        <v>0</v>
      </c>
      <c r="K26" s="370" t="s">
        <v>1464</v>
      </c>
      <c r="L26" s="347" t="s">
        <v>1465</v>
      </c>
      <c r="M26" s="357">
        <f ca="1">INDIRECT("'数据-取费表'!I"&amp;$G$1)</f>
        <v>0</v>
      </c>
    </row>
    <row r="27" spans="1:37" ht="18" customHeight="1">
      <c r="A27" s="1199" t="s">
        <v>1033</v>
      </c>
      <c r="B27" s="347" t="s">
        <v>1466</v>
      </c>
      <c r="C27" s="24">
        <f ca="1">ROUND(F21*F26,4)</f>
        <v>0</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80" t="s">
        <v>1030</v>
      </c>
      <c r="I29" s="381" t="s">
        <v>1474</v>
      </c>
      <c r="J29" s="382">
        <f ca="1">ROUND(J26/(1+F40)^F41,0)</f>
        <v>0</v>
      </c>
      <c r="K29" s="383" t="s">
        <v>1475</v>
      </c>
      <c r="L29" s="384"/>
      <c r="M29" s="385">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0</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ROUND(IF(项目基本情况!B11="自然人",C6*F31/(1+'数据-取费表'!C42),C32+C33+C34),0)</f>
        <v>0</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IF(项目基本情况!B11="自然人","——",ROUND(C6*F32/(1+'数据-取费表'!C42),0))</f>
        <v>0</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IF(项目基本情况!B11="自然人","——",IF(D33="按租金收入计税",ROUND(C6*F33/(1+'数据-取费表'!C42),0),IF(D33="按房产原值计税",ROUND(C29*F33*0.7,0),INDIRECT("'数据-取费表'!Aj"&amp;$G$1))))</f>
        <v>0</v>
      </c>
      <c r="D33" s="1826" t="s">
        <v>1433</v>
      </c>
      <c r="E33" s="347" t="s">
        <v>1417</v>
      </c>
      <c r="F33" s="367">
        <f>IF(D33="按票据","——",IF(D33="按租金收入计税",'数据-取费表'!B51,'数据-取费表'!B50))</f>
        <v>1.2E-2</v>
      </c>
      <c r="G33" s="1849"/>
      <c r="H33" s="1857"/>
      <c r="I33" s="1858"/>
      <c r="J33" s="1859"/>
      <c r="K33" s="1860"/>
      <c r="L33" s="1857"/>
      <c r="M33" s="1857"/>
    </row>
    <row r="34" spans="1:18" ht="18" customHeight="1">
      <c r="A34" s="1289" t="s">
        <v>1384</v>
      </c>
      <c r="B34" s="164" t="s">
        <v>1436</v>
      </c>
      <c r="C34" s="25">
        <f ca="1">IF(项目基本情况!B11="自然人","——",ROUND(F34*F35,))</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ROUND(C29*F36,0)</f>
        <v>0</v>
      </c>
      <c r="D36" s="1796" t="s">
        <v>1477</v>
      </c>
      <c r="E36" s="347" t="s">
        <v>1417</v>
      </c>
      <c r="F36" s="374">
        <f ca="1">INDIRECT("'数据-取费表'!Ak"&amp;$G$1)</f>
        <v>0</v>
      </c>
      <c r="G36" s="1849"/>
      <c r="H36" s="1857"/>
      <c r="I36" s="1858"/>
      <c r="J36" s="1859"/>
      <c r="K36" s="750"/>
      <c r="L36" s="1857"/>
      <c r="M36" s="1857"/>
    </row>
    <row r="37" spans="1:18" ht="18" customHeight="1">
      <c r="A37" s="1199" t="s">
        <v>1072</v>
      </c>
      <c r="B37" s="347" t="s">
        <v>1448</v>
      </c>
      <c r="C37" s="24">
        <f ca="1">ROUND(C13*F37,0)</f>
        <v>0</v>
      </c>
      <c r="D37" s="1796" t="s">
        <v>1449</v>
      </c>
      <c r="E37" s="347" t="s">
        <v>1450</v>
      </c>
      <c r="F37" s="376">
        <f ca="1">INDIRECT("'数据-取费表'!Al"&amp;$G$1)</f>
        <v>0</v>
      </c>
      <c r="G37" s="1849"/>
      <c r="H37" s="1857"/>
      <c r="I37" s="1858"/>
      <c r="J37" s="1859"/>
      <c r="K37" s="750"/>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5">
        <f ca="1">C5-C30</f>
        <v>0</v>
      </c>
      <c r="D39" s="1343" t="s">
        <v>1479</v>
      </c>
      <c r="E39" s="1344"/>
      <c r="F39" s="1345"/>
      <c r="G39" s="1849"/>
      <c r="H39" s="1857"/>
      <c r="I39" s="1858"/>
      <c r="J39" s="1859"/>
      <c r="K39" s="1863"/>
      <c r="L39" s="1857"/>
      <c r="M39" s="1857"/>
    </row>
    <row r="40" spans="1:18" ht="18" customHeight="1">
      <c r="A40" s="344" t="s">
        <v>1029</v>
      </c>
      <c r="B40" s="345" t="s">
        <v>1480</v>
      </c>
      <c r="C40" s="346" t="e">
        <f ca="1">ROUND(C39*(1-((1+F42)/(1+F40))^F41)/(F40-F42),0)</f>
        <v>#DIV/0!</v>
      </c>
      <c r="D40" s="370" t="s">
        <v>1464</v>
      </c>
      <c r="E40" s="347" t="s">
        <v>1465</v>
      </c>
      <c r="F40" s="357">
        <f ca="1">INDIRECT("'数据-取费表'!I"&amp;$G$1)</f>
        <v>0</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0</v>
      </c>
      <c r="G41" s="1849"/>
      <c r="H41" s="731"/>
      <c r="I41" s="1858"/>
      <c r="J41" s="1859"/>
      <c r="K41" s="750"/>
      <c r="L41" s="731"/>
      <c r="M41" s="731"/>
    </row>
    <row r="42" spans="1:18" ht="18" customHeight="1">
      <c r="A42" s="353"/>
      <c r="B42" s="354"/>
      <c r="C42" s="355"/>
      <c r="D42" s="373"/>
      <c r="E42" s="347" t="s">
        <v>1472</v>
      </c>
      <c r="F42" s="357">
        <f ca="1">INDIRECT("'数据-取费表'!v"&amp;$G$1)</f>
        <v>0</v>
      </c>
      <c r="G42" s="1849"/>
      <c r="H42" s="731"/>
      <c r="I42" s="1858"/>
      <c r="J42" s="1859"/>
      <c r="K42" s="750"/>
      <c r="L42" s="731"/>
      <c r="M42" s="731"/>
    </row>
    <row r="43" spans="1:18" ht="18" customHeight="1" thickBot="1">
      <c r="A43" s="380" t="s">
        <v>1030</v>
      </c>
      <c r="B43" s="381" t="s">
        <v>1482</v>
      </c>
      <c r="C43" s="382" t="e">
        <f ca="1">ROUND(C40/F43,0)</f>
        <v>#DIV/0!</v>
      </c>
      <c r="D43" s="383" t="s">
        <v>1483</v>
      </c>
      <c r="E43" s="384" t="s">
        <v>1484</v>
      </c>
      <c r="F43" s="385">
        <f ca="1">INDIRECT("'数据-取费表'!k"&amp;$G$1)</f>
        <v>0</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5"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5" thickBot="1">
      <c r="A47" s="1163" t="s">
        <v>1391</v>
      </c>
      <c r="B47" s="1195" t="s">
        <v>1392</v>
      </c>
      <c r="C47" s="1195" t="s">
        <v>1393</v>
      </c>
      <c r="D47" s="1195" t="s">
        <v>1394</v>
      </c>
      <c r="E47" s="1277" t="s">
        <v>1395</v>
      </c>
      <c r="F47" s="1278"/>
      <c r="G47" s="791"/>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28.5" thickBot="1">
      <c r="A48" s="1358" t="s">
        <v>1132</v>
      </c>
      <c r="B48" s="345" t="s">
        <v>1396</v>
      </c>
      <c r="C48" s="1815">
        <f ca="1">C49+C53+C55</f>
        <v>0</v>
      </c>
      <c r="D48" s="1360"/>
      <c r="E48" s="1361"/>
      <c r="F48" s="1179"/>
      <c r="G48" s="791"/>
      <c r="H48" s="792"/>
      <c r="I48" s="1885" t="s">
        <v>1525</v>
      </c>
      <c r="J48" s="1886"/>
      <c r="K48" s="1887" t="s">
        <v>1526</v>
      </c>
      <c r="L48" s="1888">
        <f ca="1">INDIRECT("'数据-取费表'!f"&amp;$G$1)</f>
        <v>0</v>
      </c>
      <c r="O48" s="1882" t="s">
        <v>1038</v>
      </c>
      <c r="P48" s="1883" t="s">
        <v>1527</v>
      </c>
      <c r="Q48" s="1884" t="e">
        <f ca="1">J60</f>
        <v>#DIV/0!</v>
      </c>
      <c r="R48" s="1884" t="s">
        <v>1528</v>
      </c>
    </row>
    <row r="49" spans="1:18" s="1840" customFormat="1" ht="13.5" thickBot="1">
      <c r="A49" s="1192" t="s">
        <v>1133</v>
      </c>
      <c r="B49" s="1827" t="s">
        <v>1485</v>
      </c>
      <c r="C49" s="1362">
        <f ca="1">ROUND(F49*F51*F50*(1-F52),0)</f>
        <v>0</v>
      </c>
      <c r="D49" s="1274" t="s">
        <v>1399</v>
      </c>
      <c r="E49" s="1828" t="s">
        <v>1486</v>
      </c>
      <c r="F49" s="1279"/>
      <c r="G49" s="1889"/>
      <c r="H49" s="792"/>
      <c r="I49" s="1885" t="s">
        <v>1529</v>
      </c>
      <c r="J49" s="1890"/>
      <c r="K49" s="1887" t="s">
        <v>1530</v>
      </c>
      <c r="L49" s="1891"/>
      <c r="O49" s="1892" t="s">
        <v>1039</v>
      </c>
      <c r="P49" s="1883" t="s">
        <v>1531</v>
      </c>
      <c r="Q49" s="1884">
        <f ca="1">C29</f>
        <v>0</v>
      </c>
      <c r="R49" s="1884" t="s">
        <v>1524</v>
      </c>
    </row>
    <row r="50" spans="1:18" s="1840" customFormat="1" ht="13.5" thickBot="1">
      <c r="A50" s="1193"/>
      <c r="B50" s="1196"/>
      <c r="C50" s="1197"/>
      <c r="D50" s="1170"/>
      <c r="E50" s="1275" t="s">
        <v>1401</v>
      </c>
      <c r="F50" s="1276">
        <f ca="1">F7</f>
        <v>0</v>
      </c>
      <c r="H50" s="792"/>
      <c r="I50" s="1885" t="s">
        <v>1532</v>
      </c>
      <c r="J50" s="1893">
        <f>SUMPRODUCT((I63:I65=J47)*(J62:L62=J48)*(J63:L65))</f>
        <v>0</v>
      </c>
      <c r="K50" s="1887" t="s">
        <v>1533</v>
      </c>
      <c r="L50" s="1891"/>
      <c r="M50" s="1894"/>
      <c r="O50" s="1892" t="s">
        <v>1040</v>
      </c>
      <c r="P50" s="1883" t="s">
        <v>1534</v>
      </c>
      <c r="Q50" s="1895" t="e">
        <f ca="1">J58</f>
        <v>#DIV/0!</v>
      </c>
      <c r="R50" s="1884"/>
    </row>
    <row r="51" spans="1:18" s="1840" customFormat="1" ht="13.5" thickBot="1">
      <c r="A51" s="1194"/>
      <c r="B51" s="1196"/>
      <c r="C51" s="1197"/>
      <c r="D51" s="1170"/>
      <c r="E51" s="1198" t="s">
        <v>1402</v>
      </c>
      <c r="F51" s="348">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0</v>
      </c>
      <c r="R52" s="1884" t="s">
        <v>1541</v>
      </c>
    </row>
    <row r="53" spans="1:18" s="1840" customFormat="1" ht="30.75" customHeight="1" thickBot="1">
      <c r="A53" s="1359" t="s">
        <v>1134</v>
      </c>
      <c r="B53" s="369" t="s">
        <v>1404</v>
      </c>
      <c r="C53" s="361">
        <f ca="1">ROUND(IF(F53="押一",C49/12*F11,IF(F53="押二",C49/12*2*F11,IF(F53="押三",C49/12*3*F11,C54*F11))),0)</f>
        <v>0</v>
      </c>
      <c r="D53" s="1822" t="s">
        <v>3040</v>
      </c>
      <c r="E53" s="358" t="s">
        <v>1405</v>
      </c>
      <c r="F53" s="1364"/>
      <c r="I53" s="1903" t="s">
        <v>1542</v>
      </c>
      <c r="J53" s="2961">
        <f ca="1">IF(M47="住宅",IF(D1="——",MAX(J51,L48),MAX(J51,L48-'数据-取费表'!B24)),IF(D1="——",MIN(J51,L48),MIN(J51,L48-'数据-取费表'!B24)))</f>
        <v>0</v>
      </c>
      <c r="K53" s="3260" t="s">
        <v>1543</v>
      </c>
      <c r="L53" s="3261"/>
      <c r="O53" s="1882" t="s">
        <v>1043</v>
      </c>
      <c r="P53" s="1883" t="s">
        <v>1544</v>
      </c>
      <c r="Q53" s="1884" t="e">
        <f ca="1">Q47+Q48</f>
        <v>#DIV/0!</v>
      </c>
      <c r="R53" s="1884" t="s">
        <v>1044</v>
      </c>
    </row>
    <row r="54" spans="1:18" s="1840" customFormat="1" ht="13.5"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6">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75" thickBot="1">
      <c r="A57" s="1915"/>
      <c r="B57" s="1167" t="s">
        <v>1473</v>
      </c>
      <c r="C57" s="282">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75" thickBot="1">
      <c r="A58" s="360" t="s">
        <v>1027</v>
      </c>
      <c r="B58" s="1175" t="s">
        <v>1419</v>
      </c>
      <c r="C58" s="361">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ROUND(IF(项目基本情况!B11="自然人",C48*F59,C60+C61+C62),0)</f>
        <v>0</v>
      </c>
      <c r="D59" s="1180" t="s">
        <v>1425</v>
      </c>
      <c r="E59" s="1181" t="s">
        <v>1426</v>
      </c>
      <c r="F59" s="368"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IF(项目基本情况!B11="自然人","——",IF(D61="按租金收入计税",ROUND(C48*F61,0),IF(D61="按房产原值计税",ROUND(C57*F61*0.7,0),INDIRECT("'数据-取费表'!Aj"&amp;$G$1))))</f>
        <v>0</v>
      </c>
      <c r="D61" s="1826" t="s">
        <v>1433</v>
      </c>
      <c r="E61" s="1167" t="s">
        <v>1489</v>
      </c>
      <c r="F61" s="367">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5" thickBot="1">
      <c r="A62" s="1199" t="s">
        <v>1490</v>
      </c>
      <c r="B62" s="1166" t="s">
        <v>1491</v>
      </c>
      <c r="C62" s="25">
        <f ca="1">IF(项目基本情况!B11="自然人","——",ROUND(F62*F63,0))</f>
        <v>0</v>
      </c>
      <c r="D62" s="1182" t="s">
        <v>1492</v>
      </c>
      <c r="E62" s="1167" t="s">
        <v>1493</v>
      </c>
      <c r="F62" s="371">
        <f t="shared" si="0"/>
        <v>4</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ROUND(C57*F64,0)</f>
        <v>0</v>
      </c>
      <c r="D64" s="1181" t="s">
        <v>1497</v>
      </c>
      <c r="E64" s="1167" t="s">
        <v>1489</v>
      </c>
      <c r="F64" s="374">
        <f t="shared" ca="1" si="0"/>
        <v>0</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ROUND(C56*F65,0)</f>
        <v>0</v>
      </c>
      <c r="D65" s="1181" t="s">
        <v>1449</v>
      </c>
      <c r="E65" s="1167" t="s">
        <v>1450</v>
      </c>
      <c r="F65" s="376">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5" thickBot="1">
      <c r="A66" s="1199" t="s">
        <v>1499</v>
      </c>
      <c r="B66" s="1167" t="s">
        <v>1434</v>
      </c>
      <c r="C66" s="24">
        <f ca="1">ROUND(C48*F66,0)</f>
        <v>0</v>
      </c>
      <c r="D66" s="1181" t="s">
        <v>1500</v>
      </c>
      <c r="E66" s="1167" t="s">
        <v>1417</v>
      </c>
      <c r="F66" s="357">
        <f t="shared" ca="1" si="0"/>
        <v>0</v>
      </c>
      <c r="O66" s="1882" t="s">
        <v>1038</v>
      </c>
      <c r="P66" s="1883" t="s">
        <v>1553</v>
      </c>
      <c r="Q66" s="1884" t="e">
        <f ca="1">L60</f>
        <v>#DIV/0!</v>
      </c>
      <c r="R66" s="1884" t="s">
        <v>1576</v>
      </c>
    </row>
    <row r="67" spans="1:18" s="1840" customFormat="1" ht="16.5" thickBot="1">
      <c r="A67" s="1174" t="s">
        <v>1028</v>
      </c>
      <c r="B67" s="1184" t="s">
        <v>1458</v>
      </c>
      <c r="C67" s="361">
        <f ca="1">C48-C58</f>
        <v>0</v>
      </c>
      <c r="D67" s="1180" t="s">
        <v>1459</v>
      </c>
      <c r="E67" s="1185"/>
      <c r="F67" s="1186"/>
      <c r="O67" s="1892" t="s">
        <v>1039</v>
      </c>
      <c r="P67" s="1883" t="s">
        <v>1557</v>
      </c>
      <c r="Q67" s="1930">
        <f ca="1">L51</f>
        <v>0</v>
      </c>
      <c r="R67" s="1884" t="s">
        <v>1577</v>
      </c>
    </row>
    <row r="68" spans="1:18" s="1840" customFormat="1" ht="16.5" thickBot="1">
      <c r="A68" s="1164" t="s">
        <v>1029</v>
      </c>
      <c r="B68" s="1165" t="s">
        <v>1480</v>
      </c>
      <c r="C68" s="346" t="e">
        <f ca="1">ROUND(C67*(1-((1+F70)/(1+F68))^F69)/(F68-F70),0)</f>
        <v>#DIV/0!</v>
      </c>
      <c r="D68" s="1182" t="s">
        <v>1464</v>
      </c>
      <c r="E68" s="1167" t="s">
        <v>1465</v>
      </c>
      <c r="F68" s="357">
        <f ca="1">F40</f>
        <v>0</v>
      </c>
      <c r="O68" s="1892" t="s">
        <v>1040</v>
      </c>
      <c r="P68" s="1931" t="s">
        <v>1578</v>
      </c>
      <c r="Q68" s="1884">
        <f ca="1">ROUND(Q69-Q70*Q71,0)</f>
        <v>0</v>
      </c>
      <c r="R68" s="1884" t="s">
        <v>1048</v>
      </c>
    </row>
    <row r="69" spans="1:18" s="1840" customFormat="1" ht="13.5" thickBot="1">
      <c r="A69" s="1168"/>
      <c r="B69" s="1169"/>
      <c r="C69" s="351"/>
      <c r="D69" s="1187" t="s">
        <v>1468</v>
      </c>
      <c r="E69" s="1167" t="s">
        <v>1469</v>
      </c>
      <c r="F69" s="379">
        <f ca="1">F41</f>
        <v>0</v>
      </c>
      <c r="O69" s="1892" t="s">
        <v>1045</v>
      </c>
      <c r="P69" s="1931" t="s">
        <v>1579</v>
      </c>
      <c r="Q69" s="1884">
        <f ca="1">C39</f>
        <v>0</v>
      </c>
      <c r="R69" s="1884" t="s">
        <v>1524</v>
      </c>
    </row>
    <row r="70" spans="1:18" s="1840" customFormat="1" ht="13.5" thickBot="1">
      <c r="A70" s="1171"/>
      <c r="B70" s="1172"/>
      <c r="C70" s="355"/>
      <c r="D70" s="1183"/>
      <c r="E70" s="1167" t="s">
        <v>1472</v>
      </c>
      <c r="F70" s="1273">
        <f ca="1">F42</f>
        <v>0</v>
      </c>
      <c r="O70" s="1892" t="s">
        <v>1046</v>
      </c>
      <c r="P70" s="1931" t="s">
        <v>1580</v>
      </c>
      <c r="Q70" s="1884">
        <f ca="1">C13</f>
        <v>0</v>
      </c>
      <c r="R70" s="1884" t="s">
        <v>1524</v>
      </c>
    </row>
    <row r="71" spans="1:18" s="1840" customFormat="1" ht="13.5" thickBot="1">
      <c r="A71" s="1188" t="s">
        <v>1030</v>
      </c>
      <c r="B71" s="1189" t="s">
        <v>1482</v>
      </c>
      <c r="C71" s="382" t="e">
        <f ca="1">ROUND(C68/F71,0)</f>
        <v>#DIV/0!</v>
      </c>
      <c r="D71" s="1190" t="s">
        <v>1483</v>
      </c>
      <c r="E71" s="1191" t="s">
        <v>1484</v>
      </c>
      <c r="F71" s="385">
        <f ca="1">F43</f>
        <v>0</v>
      </c>
      <c r="O71" s="1892" t="s">
        <v>1047</v>
      </c>
      <c r="P71" s="1931" t="s">
        <v>1581</v>
      </c>
      <c r="Q71" s="1895">
        <f ca="1">C76</f>
        <v>0</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建设期及建筑物耐用年限下的土地年期修正系数Kn</v>
      </c>
      <c r="Q74" s="1884" t="e">
        <f ca="1">L59</f>
        <v>#DIV/0!</v>
      </c>
      <c r="R74" s="1884" t="s">
        <v>1564</v>
      </c>
    </row>
    <row r="75" spans="1:18" ht="13.5" thickBot="1">
      <c r="A75" s="1840"/>
      <c r="B75" s="386" t="s">
        <v>1501</v>
      </c>
      <c r="C75" s="387">
        <f ca="1">ROUND(C13*C76,0)</f>
        <v>0</v>
      </c>
      <c r="D75" s="1840"/>
      <c r="E75" s="1840"/>
      <c r="F75" s="1840"/>
      <c r="K75" s="1866"/>
      <c r="L75" s="1840"/>
      <c r="O75" s="1882" t="s">
        <v>1043</v>
      </c>
      <c r="P75" s="1883" t="s">
        <v>1544</v>
      </c>
      <c r="Q75" s="1884" t="e">
        <f ca="1">Q65+Q66</f>
        <v>#DIV/0!</v>
      </c>
      <c r="R75" s="1884" t="s">
        <v>1044</v>
      </c>
    </row>
    <row r="76" spans="1:18">
      <c r="B76" s="388" t="s">
        <v>1502</v>
      </c>
      <c r="C76" s="389">
        <f ca="1">INDIRECT("'数据-取费表'!j"&amp;$G$1)</f>
        <v>0</v>
      </c>
      <c r="I76" s="1840"/>
      <c r="J76" s="1840"/>
      <c r="K76" s="1866"/>
      <c r="L76" s="1840"/>
    </row>
    <row r="77" spans="1:18">
      <c r="B77" s="390" t="s">
        <v>1503</v>
      </c>
      <c r="C77" s="391"/>
      <c r="I77" s="1840"/>
      <c r="J77" s="1840"/>
      <c r="K77" s="1866"/>
      <c r="L77" s="1840"/>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8" priority="4">
      <formula>$L$48&gt;$J$51</formula>
    </cfRule>
  </conditionalFormatting>
  <conditionalFormatting sqref="I55 I60">
    <cfRule type="expression" dxfId="117" priority="5">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D6" sqref="D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t="s">
        <v>3357</v>
      </c>
      <c r="D1" s="1818" t="s">
        <v>70</v>
      </c>
      <c r="E1" s="1819" t="s">
        <v>1382</v>
      </c>
      <c r="F1" s="1281">
        <f ca="1">J53</f>
        <v>35.68</v>
      </c>
      <c r="G1" s="1834">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2785</v>
      </c>
      <c r="C2" s="1843" t="s">
        <v>1511</v>
      </c>
      <c r="D2" s="1843"/>
      <c r="E2" s="1844"/>
      <c r="F2" s="1845"/>
      <c r="G2" s="1846"/>
      <c r="H2" s="1838"/>
      <c r="I2" s="1838"/>
      <c r="J2" s="1838"/>
      <c r="K2" s="1839"/>
      <c r="L2" s="1838"/>
      <c r="M2" s="1838"/>
    </row>
    <row r="3" spans="1:37" ht="18" customHeight="1" thickBot="1">
      <c r="A3" s="1847" t="s">
        <v>1512</v>
      </c>
      <c r="B3" s="1848">
        <f ca="1">IF(ISERROR(B2*10000/F43),0,ROUND(B2*10000/F43,0))</f>
        <v>7156</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181</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181</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3023" t="s">
        <v>1401</v>
      </c>
      <c r="F7" s="348">
        <f ca="1">IF(INDIRECT("'数据-取费表'!ah"&amp;$G$1)="",INDIRECT("'数据-取费表'!k"&amp;$G$1),INDIRECT("'数据-取费表'!ah"&amp;$G$1))</f>
        <v>3891.9600000000005</v>
      </c>
      <c r="G7" s="1849"/>
      <c r="H7" s="349"/>
      <c r="I7" s="3263"/>
      <c r="J7" s="351"/>
      <c r="K7" s="352"/>
      <c r="L7" s="347" t="s">
        <v>1401</v>
      </c>
      <c r="M7" s="348">
        <f ca="1">F7</f>
        <v>3891.9600000000005</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1047</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778</v>
      </c>
      <c r="D14" s="3020" t="s">
        <v>1413</v>
      </c>
      <c r="E14" s="3021"/>
      <c r="F14" s="364"/>
      <c r="G14" s="1849"/>
      <c r="H14" s="1199" t="s">
        <v>1032</v>
      </c>
      <c r="I14" s="347" t="s">
        <v>1414</v>
      </c>
      <c r="J14" s="24">
        <f ca="1">C29</f>
        <v>1126</v>
      </c>
      <c r="K14" s="3022"/>
      <c r="L14" s="978"/>
      <c r="M14" s="979"/>
    </row>
    <row r="15" spans="1:37" s="1856" customFormat="1" ht="18" customHeight="1" thickBot="1">
      <c r="A15" s="1199" t="s">
        <v>1033</v>
      </c>
      <c r="B15" s="347" t="s">
        <v>1415</v>
      </c>
      <c r="C15" s="24">
        <f ca="1">ROUND(C14*F15,0)</f>
        <v>23</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26</v>
      </c>
      <c r="K16" s="1335" t="s">
        <v>1420</v>
      </c>
      <c r="L16" s="3027"/>
      <c r="M16" s="1292"/>
    </row>
    <row r="17" spans="1:37" s="1856" customFormat="1" ht="18" customHeight="1">
      <c r="A17" s="1199" t="s">
        <v>1385</v>
      </c>
      <c r="B17" s="347" t="s">
        <v>1421</v>
      </c>
      <c r="C17" s="24">
        <f ca="1">ROUND(F17*(F43+INDIRECT("'数据-取费表'!S"&amp;$G$1))/10000,0)</f>
        <v>78</v>
      </c>
      <c r="D17" s="347" t="s">
        <v>1422</v>
      </c>
      <c r="E17" s="347" t="s">
        <v>1423</v>
      </c>
      <c r="F17" s="26">
        <f>'数据-取费表'!B35</f>
        <v>200</v>
      </c>
      <c r="G17" s="1852"/>
      <c r="H17" s="1199" t="s">
        <v>1032</v>
      </c>
      <c r="I17" s="347" t="s">
        <v>1424</v>
      </c>
      <c r="J17" s="24">
        <f ca="1">ROUND(IF(项目基本情况!B11="自然人",J6*M17/(1+'数据-取费表'!C42),J18+J19+J20),1)</f>
        <v>9.5</v>
      </c>
      <c r="K17" s="3020" t="s">
        <v>1425</v>
      </c>
      <c r="L17" s="3024"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12</v>
      </c>
      <c r="D18" s="347" t="s">
        <v>1416</v>
      </c>
      <c r="E18" s="347" t="s">
        <v>1417</v>
      </c>
      <c r="F18" s="367">
        <f>'数据-取费表'!B36</f>
        <v>1.4999999999999999E-2</v>
      </c>
      <c r="G18" s="1852"/>
      <c r="H18" s="1199" t="s">
        <v>1031</v>
      </c>
      <c r="I18" s="347" t="s">
        <v>1428</v>
      </c>
      <c r="J18" s="24">
        <f ca="1">ROUND(J6*M18/(1+'数据-取费表'!C42),2)</f>
        <v>0</v>
      </c>
      <c r="K18" s="3024"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891</v>
      </c>
      <c r="D19" s="140" t="s">
        <v>1431</v>
      </c>
      <c r="E19" s="3026"/>
      <c r="F19" s="26"/>
      <c r="G19" s="1849"/>
      <c r="H19" s="1199" t="s">
        <v>1033</v>
      </c>
      <c r="I19" s="347" t="s">
        <v>1432</v>
      </c>
      <c r="J19" s="24">
        <f ca="1">IF(K19="按租金收入计税",ROUND(J6*M19/(1+'数据-取费表'!C42),2),ROUND(C29*M19*0.7,2))</f>
        <v>9.4600000000000009</v>
      </c>
      <c r="K19" s="1826" t="s">
        <v>1433</v>
      </c>
      <c r="L19" s="347" t="s">
        <v>1417</v>
      </c>
      <c r="M19" s="367">
        <f>IF(K19="按租金收入计税",'数据-取费表'!B51,'数据-取费表'!B50)</f>
        <v>1.2E-2</v>
      </c>
    </row>
    <row r="20" spans="1:37" s="1856" customFormat="1" ht="18" customHeight="1">
      <c r="A20" s="1199" t="s">
        <v>1036</v>
      </c>
      <c r="B20" s="347" t="s">
        <v>1434</v>
      </c>
      <c r="C20" s="24">
        <f ca="1">ROUND(C19*F20,0)</f>
        <v>9</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3026"/>
      <c r="F22" s="26"/>
      <c r="G22" s="1849"/>
      <c r="H22" s="1199" t="s">
        <v>1036</v>
      </c>
      <c r="I22" s="347" t="s">
        <v>1444</v>
      </c>
      <c r="J22" s="24">
        <f ca="1">ROUND(J14*M22,1)</f>
        <v>16.899999999999999</v>
      </c>
      <c r="K22" s="3024"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19</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3024" t="s">
        <v>1449</v>
      </c>
      <c r="L23" s="347" t="s">
        <v>1417</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1033</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1387</v>
      </c>
      <c r="I24" s="1338" t="s">
        <v>1434</v>
      </c>
      <c r="J24" s="1339">
        <f ca="1">ROUND(J5*M24,1)</f>
        <v>0</v>
      </c>
      <c r="K24" s="1340" t="s">
        <v>1454</v>
      </c>
      <c r="L24" s="1338" t="s">
        <v>1417</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3026"/>
      <c r="F25" s="26"/>
      <c r="G25" s="1849"/>
      <c r="H25" s="1327" t="s">
        <v>1028</v>
      </c>
      <c r="I25" s="1342" t="s">
        <v>1458</v>
      </c>
      <c r="J25" s="355">
        <f ca="1">J5-J16</f>
        <v>-26</v>
      </c>
      <c r="K25" s="1343" t="s">
        <v>1459</v>
      </c>
      <c r="L25" s="1344"/>
      <c r="M25" s="1345"/>
    </row>
    <row r="26" spans="1:37">
      <c r="A26" s="1199" t="s">
        <v>1031</v>
      </c>
      <c r="B26" s="347" t="s">
        <v>1460</v>
      </c>
      <c r="C26" s="24">
        <f ca="1">ROUND((C19+C20)*F26,0)</f>
        <v>135</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1126</v>
      </c>
      <c r="D29" s="1340"/>
      <c r="E29" s="1338"/>
      <c r="F29" s="1341"/>
      <c r="G29" s="1852"/>
      <c r="H29" s="380" t="s">
        <v>1030</v>
      </c>
      <c r="I29" s="381" t="s">
        <v>1474</v>
      </c>
      <c r="J29" s="382">
        <f ca="1">ROUND(J26/(1+F40)^F41,0)</f>
        <v>0</v>
      </c>
      <c r="K29" s="383" t="s">
        <v>1475</v>
      </c>
      <c r="L29" s="384"/>
      <c r="M29" s="385">
        <f ca="1">INDIRECT("'数据-取费表'!k"&amp;$G$1)</f>
        <v>3891.9600000000005</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51</v>
      </c>
      <c r="D30" s="1335" t="s">
        <v>1420</v>
      </c>
      <c r="E30" s="3027"/>
      <c r="F30" s="1292"/>
      <c r="G30" s="1849"/>
      <c r="H30" s="744"/>
      <c r="I30" s="745"/>
      <c r="J30" s="746"/>
      <c r="K30" s="747"/>
      <c r="L30" s="748"/>
      <c r="M30" s="749"/>
    </row>
    <row r="31" spans="1:37" ht="18" customHeight="1">
      <c r="A31" s="1199" t="s">
        <v>1032</v>
      </c>
      <c r="B31" s="347" t="s">
        <v>1424</v>
      </c>
      <c r="C31" s="24">
        <f ca="1">ROUND(IF(项目基本情况!B11="自然人",C6*F31/(1+'数据-取费表'!C42),C32+C33+C34),1)</f>
        <v>30.2</v>
      </c>
      <c r="D31" s="3020" t="s">
        <v>1425</v>
      </c>
      <c r="E31" s="3024"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9.48</v>
      </c>
      <c r="D32" s="3024"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20.69</v>
      </c>
      <c r="D33" s="1826" t="s">
        <v>3073</v>
      </c>
      <c r="E33" s="347" t="s">
        <v>1417</v>
      </c>
      <c r="F33" s="367">
        <f>IF(D33="按票据","——",IF(D33="按租金收入计税",'数据-取费表'!B51,'数据-取费表'!B50))</f>
        <v>0.12</v>
      </c>
      <c r="G33" s="1849"/>
      <c r="H33" s="1857"/>
      <c r="I33" s="1858"/>
      <c r="J33" s="1859"/>
      <c r="K33" s="1860"/>
      <c r="L33" s="1857"/>
      <c r="M33" s="1857"/>
    </row>
    <row r="34" spans="1:18" ht="18"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16.899999999999999</v>
      </c>
      <c r="D36" s="3024"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ROUND(C13*F37,1)</f>
        <v>1.6</v>
      </c>
      <c r="D37" s="3024" t="s">
        <v>1449</v>
      </c>
      <c r="E37" s="347" t="s">
        <v>1417</v>
      </c>
      <c r="F37" s="376">
        <f ca="1">INDIRECT("'数据-取费表'!Al"&amp;$G$1)</f>
        <v>1.5E-3</v>
      </c>
      <c r="G37" s="1849"/>
      <c r="H37" s="1857"/>
      <c r="I37" s="1858"/>
      <c r="J37" s="1859"/>
      <c r="K37" s="750"/>
      <c r="L37" s="1857"/>
      <c r="M37" s="1857"/>
    </row>
    <row r="38" spans="1:18" ht="18" customHeight="1" thickBot="1">
      <c r="A38" s="1337" t="s">
        <v>1387</v>
      </c>
      <c r="B38" s="1338" t="s">
        <v>1434</v>
      </c>
      <c r="C38" s="1339">
        <f ca="1">ROUND(C5*F38,1)</f>
        <v>1.8</v>
      </c>
      <c r="D38" s="1340" t="s">
        <v>1454</v>
      </c>
      <c r="E38" s="1338" t="s">
        <v>1417</v>
      </c>
      <c r="F38" s="1334">
        <f ca="1">INDIRECT("'数据-取费表'!Am"&amp;$G$1)</f>
        <v>0.01</v>
      </c>
      <c r="G38" s="1849"/>
      <c r="H38" s="1857"/>
      <c r="I38" s="1858"/>
      <c r="J38" s="1859"/>
      <c r="K38" s="1863"/>
      <c r="L38" s="1857"/>
      <c r="M38" s="1857"/>
    </row>
    <row r="39" spans="1:18" ht="24.6" customHeight="1" thickTop="1">
      <c r="A39" s="1327" t="s">
        <v>1028</v>
      </c>
      <c r="B39" s="1342" t="s">
        <v>1458</v>
      </c>
      <c r="C39" s="355">
        <f ca="1">C5-C30</f>
        <v>130</v>
      </c>
      <c r="D39" s="1343" t="s">
        <v>1459</v>
      </c>
      <c r="E39" s="1344"/>
      <c r="F39" s="1345"/>
      <c r="G39" s="1849"/>
      <c r="H39" s="1857"/>
      <c r="I39" s="1858"/>
      <c r="J39" s="1859"/>
      <c r="K39" s="1863"/>
      <c r="L39" s="1857"/>
      <c r="M39" s="1857"/>
    </row>
    <row r="40" spans="1:18" ht="18" customHeight="1">
      <c r="A40" s="344" t="s">
        <v>1029</v>
      </c>
      <c r="B40" s="345" t="s">
        <v>1480</v>
      </c>
      <c r="C40" s="346">
        <f ca="1">ROUND(C39*(1-((1+F42)/(1+F40))^F41)/(F40-F42),0)</f>
        <v>2785</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7156</v>
      </c>
      <c r="D43" s="383" t="s">
        <v>1483</v>
      </c>
      <c r="E43" s="384" t="s">
        <v>1484</v>
      </c>
      <c r="F43" s="385">
        <f ca="1">INDIRECT("'数据-取费表'!k"&amp;$G$1)</f>
        <v>3891.9600000000005</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-647</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2785</v>
      </c>
      <c r="R47" s="1884" t="s">
        <v>1524</v>
      </c>
    </row>
    <row r="48" spans="1:18" s="1840" customFormat="1" ht="28.5" thickBot="1">
      <c r="A48" s="1358" t="s">
        <v>1132</v>
      </c>
      <c r="B48" s="345" t="s">
        <v>1396</v>
      </c>
      <c r="C48" s="3025">
        <f ca="1">C49+C53+C55</f>
        <v>192</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192</v>
      </c>
      <c r="D49" s="1274" t="s">
        <v>3028</v>
      </c>
      <c r="E49" s="1828" t="s">
        <v>1486</v>
      </c>
      <c r="F49" s="1279">
        <v>1.5</v>
      </c>
      <c r="G49" s="1889"/>
      <c r="H49" s="792"/>
      <c r="I49" s="1885" t="s">
        <v>1529</v>
      </c>
      <c r="J49" s="1890">
        <v>2015</v>
      </c>
      <c r="K49" s="1887" t="s">
        <v>1530</v>
      </c>
      <c r="L49" s="1891"/>
      <c r="O49" s="1892" t="s">
        <v>1039</v>
      </c>
      <c r="P49" s="1883" t="s">
        <v>1531</v>
      </c>
      <c r="Q49" s="1884">
        <f ca="1">C29</f>
        <v>1126</v>
      </c>
      <c r="R49" s="1884" t="s">
        <v>1524</v>
      </c>
    </row>
    <row r="50" spans="1:18" s="1840" customFormat="1" ht="13.5" thickBot="1">
      <c r="A50" s="1193"/>
      <c r="B50" s="1196"/>
      <c r="C50" s="1366"/>
      <c r="D50" s="1170"/>
      <c r="E50" s="1275" t="s">
        <v>1401</v>
      </c>
      <c r="F50" s="1276">
        <f ca="1">F7</f>
        <v>3891.9600000000005</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676</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2785</v>
      </c>
      <c r="R53" s="1884" t="s">
        <v>1044</v>
      </c>
    </row>
    <row r="54" spans="1:18" s="1840" customFormat="1" ht="13.5" thickBot="1">
      <c r="A54" s="1404"/>
      <c r="B54" s="1823" t="s">
        <v>1383</v>
      </c>
      <c r="C54" s="1176"/>
      <c r="D54" s="1822"/>
      <c r="E54" s="3019"/>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3019"/>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1047</v>
      </c>
      <c r="D56" s="1911"/>
      <c r="E56" s="1912"/>
      <c r="F56" s="1904"/>
      <c r="I56" s="1913" t="s">
        <v>1549</v>
      </c>
      <c r="J56" s="1914" t="s">
        <v>3068</v>
      </c>
      <c r="K56" s="1885" t="s">
        <v>1550</v>
      </c>
      <c r="L56" s="1888" t="str">
        <f ca="1">IF(L48&lt;J51,"——",L48-J53)</f>
        <v>——</v>
      </c>
      <c r="O56" s="1882" t="s">
        <v>1037</v>
      </c>
      <c r="P56" s="1883" t="s">
        <v>1523</v>
      </c>
      <c r="Q56" s="1884">
        <f ca="1">C40+J29</f>
        <v>2785</v>
      </c>
      <c r="R56" s="1884" t="s">
        <v>1524</v>
      </c>
    </row>
    <row r="57" spans="1:18" s="1840" customFormat="1" ht="24.75" thickBot="1">
      <c r="A57" s="1915"/>
      <c r="B57" s="1167" t="s">
        <v>1473</v>
      </c>
      <c r="C57" s="282">
        <f ca="1">C29</f>
        <v>1126</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54</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33.1</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10.06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1432</v>
      </c>
      <c r="C61" s="24">
        <f ca="1">IF(项目基本情况!B11="自然人","——",IF(D61="按租金收入计税",ROUND(C48*F61,2),IF(D61="按房产原值计税",ROUND(C57*F61*0.7,2),INDIRECT("'数据-取费表'!Aj"&amp;$G$1))))</f>
        <v>23.04</v>
      </c>
      <c r="D61" s="1826" t="s">
        <v>3073</v>
      </c>
      <c r="E61" s="1167" t="s">
        <v>1417</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1436</v>
      </c>
      <c r="C62" s="25">
        <f ca="1">IF(项目基本情况!B11="自然人","——",ROUND(F62*F63/10000,2))</f>
        <v>0</v>
      </c>
      <c r="D62" s="1182" t="s">
        <v>1437</v>
      </c>
      <c r="E62" s="1167" t="s">
        <v>1438</v>
      </c>
      <c r="F62" s="371">
        <f t="shared" si="0"/>
        <v>4</v>
      </c>
      <c r="I62" s="1926" t="s">
        <v>1565</v>
      </c>
      <c r="J62" s="1927" t="s">
        <v>1566</v>
      </c>
      <c r="K62" s="1927" t="s">
        <v>1567</v>
      </c>
      <c r="L62" s="1927" t="s">
        <v>1568</v>
      </c>
      <c r="M62" s="1928" t="s">
        <v>1569</v>
      </c>
      <c r="O62" s="1882" t="s">
        <v>1043</v>
      </c>
      <c r="P62" s="1883" t="s">
        <v>1544</v>
      </c>
      <c r="Q62" s="1884">
        <f ca="1">Q56+Q57</f>
        <v>2785</v>
      </c>
      <c r="R62" s="1884" t="s">
        <v>1044</v>
      </c>
    </row>
    <row r="63" spans="1:18" s="1840" customFormat="1" ht="13.5" thickBot="1">
      <c r="A63" s="372"/>
      <c r="B63" s="1173"/>
      <c r="C63" s="29"/>
      <c r="D63" s="1183"/>
      <c r="E63" s="1167" t="s">
        <v>1442</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1036</v>
      </c>
      <c r="B64" s="1167" t="s">
        <v>1444</v>
      </c>
      <c r="C64" s="24">
        <f ca="1">ROUND(C57*F64,1)</f>
        <v>16.899999999999999</v>
      </c>
      <c r="D64" s="1181" t="s">
        <v>1477</v>
      </c>
      <c r="E64" s="1167" t="s">
        <v>1417</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1.6</v>
      </c>
      <c r="D65" s="1181" t="s">
        <v>1449</v>
      </c>
      <c r="E65" s="1167" t="s">
        <v>1417</v>
      </c>
      <c r="F65" s="376">
        <f t="shared" ca="1" si="0"/>
        <v>1.5E-3</v>
      </c>
      <c r="I65" s="1926" t="s">
        <v>1574</v>
      </c>
      <c r="J65" s="1927">
        <v>40</v>
      </c>
      <c r="K65" s="1927">
        <v>30</v>
      </c>
      <c r="L65" s="1927">
        <v>50</v>
      </c>
      <c r="M65" s="1929">
        <v>0.02</v>
      </c>
      <c r="O65" s="1882" t="s">
        <v>1037</v>
      </c>
      <c r="P65" s="1883" t="s">
        <v>1523</v>
      </c>
      <c r="Q65" s="1884">
        <f ca="1">C40+J29</f>
        <v>2785</v>
      </c>
      <c r="R65" s="1884" t="s">
        <v>1524</v>
      </c>
    </row>
    <row r="66" spans="1:18" s="1840" customFormat="1" ht="16.5" thickBot="1">
      <c r="A66" s="1199" t="s">
        <v>1499</v>
      </c>
      <c r="B66" s="1167" t="s">
        <v>1434</v>
      </c>
      <c r="C66" s="24">
        <f ca="1">ROUND(C48*F66,1)</f>
        <v>1.9</v>
      </c>
      <c r="D66" s="1181" t="s">
        <v>1454</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138</v>
      </c>
      <c r="D67" s="1180" t="s">
        <v>1459</v>
      </c>
      <c r="E67" s="1185"/>
      <c r="F67" s="1186"/>
      <c r="O67" s="1892" t="s">
        <v>1039</v>
      </c>
      <c r="P67" s="1883" t="s">
        <v>1557</v>
      </c>
      <c r="Q67" s="1930">
        <f ca="1">L51</f>
        <v>676</v>
      </c>
      <c r="R67" s="1884" t="s">
        <v>1577</v>
      </c>
    </row>
    <row r="68" spans="1:18" s="1840" customFormat="1" ht="16.5" thickBot="1">
      <c r="A68" s="1164" t="s">
        <v>1029</v>
      </c>
      <c r="B68" s="1165" t="s">
        <v>1480</v>
      </c>
      <c r="C68" s="346">
        <f ca="1">ROUND(C67*(1-((1+F70)/(1+F68))^F69)/(F68-F70),0)</f>
        <v>2138</v>
      </c>
      <c r="D68" s="1182" t="s">
        <v>1464</v>
      </c>
      <c r="E68" s="1167" t="s">
        <v>1465</v>
      </c>
      <c r="F68" s="357">
        <f ca="1">F40</f>
        <v>5.5E-2</v>
      </c>
      <c r="O68" s="1892" t="s">
        <v>1040</v>
      </c>
      <c r="P68" s="1931" t="s">
        <v>1578</v>
      </c>
      <c r="Q68" s="1884">
        <f ca="1">ROUND(Q69-Q70*Q71,0)</f>
        <v>41</v>
      </c>
      <c r="R68" s="1884" t="s">
        <v>1048</v>
      </c>
    </row>
    <row r="69" spans="1:18" s="1840" customFormat="1" ht="13.5" thickBot="1">
      <c r="A69" s="1168"/>
      <c r="B69" s="1169"/>
      <c r="C69" s="351"/>
      <c r="D69" s="1187" t="s">
        <v>1468</v>
      </c>
      <c r="E69" s="1167" t="s">
        <v>1469</v>
      </c>
      <c r="F69" s="379">
        <f ca="1">F41</f>
        <v>35.68</v>
      </c>
      <c r="O69" s="1892" t="s">
        <v>1045</v>
      </c>
      <c r="P69" s="1931" t="s">
        <v>1579</v>
      </c>
      <c r="Q69" s="1884">
        <f ca="1">C39</f>
        <v>130</v>
      </c>
      <c r="R69" s="1884" t="s">
        <v>1524</v>
      </c>
    </row>
    <row r="70" spans="1:18" s="1840" customFormat="1" ht="13.5" thickBot="1">
      <c r="A70" s="1171"/>
      <c r="B70" s="1172"/>
      <c r="C70" s="355"/>
      <c r="D70" s="1183"/>
      <c r="E70" s="1167" t="s">
        <v>1472</v>
      </c>
      <c r="F70" s="1273"/>
      <c r="O70" s="1892" t="s">
        <v>1046</v>
      </c>
      <c r="P70" s="1931" t="s">
        <v>1580</v>
      </c>
      <c r="Q70" s="1884">
        <f ca="1">C13</f>
        <v>1047</v>
      </c>
      <c r="R70" s="1884" t="s">
        <v>1524</v>
      </c>
    </row>
    <row r="71" spans="1:18" s="1840" customFormat="1" ht="13.5" thickBot="1">
      <c r="A71" s="1188" t="s">
        <v>1030</v>
      </c>
      <c r="B71" s="1189" t="s">
        <v>1482</v>
      </c>
      <c r="C71" s="382">
        <f ca="1">ROUND(C68*10000/F71,0)</f>
        <v>5493</v>
      </c>
      <c r="D71" s="1190" t="s">
        <v>1483</v>
      </c>
      <c r="E71" s="1191" t="s">
        <v>1484</v>
      </c>
      <c r="F71" s="385">
        <f ca="1">F43</f>
        <v>3891.9600000000005</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89</v>
      </c>
      <c r="D75" s="1840"/>
      <c r="E75" s="1840"/>
      <c r="F75" s="1840"/>
      <c r="K75" s="1866"/>
      <c r="L75" s="1840"/>
      <c r="O75" s="1882" t="s">
        <v>1043</v>
      </c>
      <c r="P75" s="1883" t="s">
        <v>1544</v>
      </c>
      <c r="Q75" s="1884">
        <f ca="1">Q65+Q66</f>
        <v>2785</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0.31499999999999995</v>
      </c>
    </row>
    <row r="80" spans="1:18">
      <c r="B80" s="386" t="s">
        <v>1506</v>
      </c>
      <c r="C80" s="318">
        <f ca="1">ROUND(C75/C39,3)</f>
        <v>0.68500000000000005</v>
      </c>
    </row>
    <row r="81" spans="2:3">
      <c r="B81" s="314" t="s">
        <v>1507</v>
      </c>
      <c r="C81" s="282"/>
    </row>
    <row r="82" spans="2:3">
      <c r="B82" s="317" t="s">
        <v>1508</v>
      </c>
      <c r="C82" s="319">
        <f ca="1">1-C83</f>
        <v>0.624</v>
      </c>
    </row>
    <row r="83" spans="2:3">
      <c r="B83" s="317" t="s">
        <v>1509</v>
      </c>
      <c r="C83" s="318">
        <f ca="1">ROUND(C13/C40,3)</f>
        <v>0.376</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57" t="s">
        <v>2526</v>
      </c>
      <c r="B1" s="2558"/>
      <c r="C1" s="2558"/>
      <c r="D1" s="2558"/>
      <c r="E1" s="2559"/>
    </row>
    <row r="2" spans="1:6" ht="15.75">
      <c r="A2" s="2560" t="s">
        <v>2327</v>
      </c>
      <c r="B2" s="2561">
        <f ca="1">SUMIF(B6:B13,"&lt;&gt;#ref!",B6:B13)</f>
        <v>2871</v>
      </c>
      <c r="C2" s="2562" t="s">
        <v>2519</v>
      </c>
      <c r="D2" s="2563" t="s">
        <v>2520</v>
      </c>
      <c r="E2" s="2564">
        <f>SUM(E6:E13)</f>
        <v>3992.9400000000005</v>
      </c>
    </row>
    <row r="3" spans="1:6" ht="15.75">
      <c r="A3" s="2560" t="s">
        <v>1390</v>
      </c>
      <c r="B3" s="2561">
        <f ca="1">ROUND(B2*10000/E2,0)</f>
        <v>7190</v>
      </c>
      <c r="C3" s="2562" t="s">
        <v>2527</v>
      </c>
      <c r="D3" s="2565"/>
      <c r="E3" s="2566"/>
    </row>
    <row r="4" spans="1:6" ht="15.75">
      <c r="A4" s="2567"/>
      <c r="B4" s="2565"/>
      <c r="C4" s="2565"/>
      <c r="D4" s="2565"/>
      <c r="E4" s="2566"/>
    </row>
    <row r="5" spans="1:6" ht="15">
      <c r="A5" s="2568" t="s">
        <v>2521</v>
      </c>
      <c r="B5" s="3265" t="s">
        <v>2522</v>
      </c>
      <c r="C5" s="3265"/>
      <c r="D5" s="2569"/>
      <c r="E5" s="2570" t="s">
        <v>2523</v>
      </c>
      <c r="F5" s="2571" t="s">
        <v>2524</v>
      </c>
    </row>
    <row r="6" spans="1:6">
      <c r="A6" s="2572" t="str">
        <f>'数据-取费表'!AN6</f>
        <v>收益法</v>
      </c>
      <c r="B6" s="2571">
        <f ca="1">IF(F6="是",'数据-取费表'!AO6,0)</f>
        <v>86</v>
      </c>
      <c r="C6" s="2562" t="s">
        <v>2519</v>
      </c>
      <c r="D6" s="2565"/>
      <c r="E6" s="2573">
        <f>IF(OR(A6=0,F6="否"),0,'数据-取费表'!K6+'数据-取费表'!S6)</f>
        <v>100.98</v>
      </c>
      <c r="F6" s="2574" t="s">
        <v>2525</v>
      </c>
    </row>
    <row r="7" spans="1:6">
      <c r="A7" s="2572" t="str">
        <f>'数据-取费表'!AN7</f>
        <v>收益法 (2)</v>
      </c>
      <c r="B7" s="2571">
        <f ca="1">IF(F7="是",'数据-取费表'!AO7,0)</f>
        <v>2785</v>
      </c>
      <c r="C7" s="2562" t="s">
        <v>2519</v>
      </c>
      <c r="D7" s="2565"/>
      <c r="E7" s="2573">
        <f>IF(OR(A7=0,F7="否"),0,'数据-取费表'!K7+'数据-取费表'!S7)</f>
        <v>3891.9600000000005</v>
      </c>
      <c r="F7" s="2574" t="s">
        <v>2525</v>
      </c>
    </row>
    <row r="8" spans="1:6">
      <c r="A8" s="2572">
        <f>'数据-取费表'!AN8</f>
        <v>0</v>
      </c>
      <c r="B8" s="2571" t="e">
        <f ca="1">IF(F8="是",'数据-取费表'!AO8,0)</f>
        <v>#REF!</v>
      </c>
      <c r="C8" s="2562" t="s">
        <v>2519</v>
      </c>
      <c r="D8" s="2565"/>
      <c r="E8" s="2573">
        <f>IF(OR(A8=0,F8="否"),0,'数据-取费表'!K8+'数据-取费表'!S8)</f>
        <v>0</v>
      </c>
      <c r="F8" s="2574" t="s">
        <v>2525</v>
      </c>
    </row>
    <row r="9" spans="1:6">
      <c r="A9" s="2572">
        <f>'数据-取费表'!AN9</f>
        <v>0</v>
      </c>
      <c r="B9" s="2571" t="e">
        <f ca="1">IF(F9="是",'数据-取费表'!AO9,0)</f>
        <v>#REF!</v>
      </c>
      <c r="C9" s="2562" t="s">
        <v>2519</v>
      </c>
      <c r="D9" s="2565"/>
      <c r="E9" s="2573">
        <f>IF(OR(A9=0,F9="否"),0,'数据-取费表'!K9+'数据-取费表'!S9)</f>
        <v>0</v>
      </c>
      <c r="F9" s="2574" t="s">
        <v>2525</v>
      </c>
    </row>
    <row r="10" spans="1:6">
      <c r="A10" s="2572">
        <f>'数据-取费表'!AN10</f>
        <v>0</v>
      </c>
      <c r="B10" s="2571" t="e">
        <f ca="1">IF(F10="是",'数据-取费表'!AO10,0)</f>
        <v>#REF!</v>
      </c>
      <c r="C10" s="2562" t="s">
        <v>2519</v>
      </c>
      <c r="D10" s="2565"/>
      <c r="E10" s="2573">
        <f>IF(OR(A10=0,F10="否"),0,'数据-取费表'!K10+'数据-取费表'!S10)</f>
        <v>0</v>
      </c>
      <c r="F10" s="2574" t="s">
        <v>2525</v>
      </c>
    </row>
    <row r="11" spans="1:6">
      <c r="A11" s="2572">
        <f>'数据-取费表'!AN11</f>
        <v>0</v>
      </c>
      <c r="B11" s="2571" t="e">
        <f ca="1">IF(F11="是",'数据-取费表'!AO11,0)</f>
        <v>#REF!</v>
      </c>
      <c r="C11" s="2562" t="s">
        <v>2519</v>
      </c>
      <c r="D11" s="2565"/>
      <c r="E11" s="2573">
        <f>IF(OR(A11=0,F11="否"),0,'数据-取费表'!K11+'数据-取费表'!S11)</f>
        <v>0</v>
      </c>
      <c r="F11" s="2574" t="s">
        <v>2525</v>
      </c>
    </row>
    <row r="12" spans="1:6">
      <c r="A12" s="2572">
        <f>'数据-取费表'!AN12</f>
        <v>0</v>
      </c>
      <c r="B12" s="2571" t="e">
        <f ca="1">IF(F12="是",'数据-取费表'!AO12,0)</f>
        <v>#REF!</v>
      </c>
      <c r="C12" s="2562" t="s">
        <v>2519</v>
      </c>
      <c r="D12" s="2565"/>
      <c r="E12" s="2573">
        <f>IF(OR(A12=0,F12="否"),0,'数据-取费表'!K12+'数据-取费表'!S12)</f>
        <v>0</v>
      </c>
      <c r="F12" s="2574" t="s">
        <v>2525</v>
      </c>
    </row>
    <row r="13" spans="1:6" ht="15" thickBot="1">
      <c r="A13" s="2575">
        <f>'数据-取费表'!AN13</f>
        <v>0</v>
      </c>
      <c r="B13" s="2571" t="e">
        <f ca="1">IF(F13="是",'数据-取费表'!AO13,0)</f>
        <v>#REF!</v>
      </c>
      <c r="C13" s="2576" t="s">
        <v>2519</v>
      </c>
      <c r="D13" s="2577"/>
      <c r="E13" s="2573">
        <f>IF(OR(A13=0,F13="否"),0,'数据-取费表'!K13+'数据-取费表'!S13)</f>
        <v>0</v>
      </c>
      <c r="F13" s="2574"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82" t="s">
        <v>1073</v>
      </c>
      <c r="B1" s="3283"/>
      <c r="C1" s="3284"/>
      <c r="D1" s="3285">
        <f>SUM(I10,I15,I20,I21,I23)</f>
        <v>0</v>
      </c>
      <c r="E1" s="3285"/>
      <c r="F1" s="3285"/>
      <c r="G1" s="3285"/>
      <c r="H1" s="3285"/>
      <c r="I1" s="3286"/>
    </row>
    <row r="2" spans="1:9">
      <c r="A2" s="3272" t="s">
        <v>1074</v>
      </c>
      <c r="B2" s="3273" t="s">
        <v>1075</v>
      </c>
      <c r="C2" s="3273"/>
      <c r="D2" s="1299" t="s">
        <v>1076</v>
      </c>
      <c r="E2" s="1299" t="s">
        <v>1077</v>
      </c>
      <c r="F2" s="1299" t="s">
        <v>1078</v>
      </c>
      <c r="G2" s="1299" t="s">
        <v>1079</v>
      </c>
      <c r="H2" s="1299" t="s">
        <v>1080</v>
      </c>
      <c r="I2" s="1300" t="s">
        <v>1081</v>
      </c>
    </row>
    <row r="3" spans="1:9">
      <c r="A3" s="3272"/>
      <c r="B3" s="3273" t="s">
        <v>1082</v>
      </c>
      <c r="C3" s="3273"/>
      <c r="D3" s="1301"/>
      <c r="E3" s="1299"/>
      <c r="F3" s="1302"/>
      <c r="G3" s="1302"/>
      <c r="H3" s="1303"/>
      <c r="I3" s="1304">
        <f>ROUND(D3*E3*F3*G3*H3/10000,0)</f>
        <v>0</v>
      </c>
    </row>
    <row r="4" spans="1:9">
      <c r="A4" s="3272"/>
      <c r="B4" s="3273" t="s">
        <v>1083</v>
      </c>
      <c r="C4" s="3273"/>
      <c r="D4" s="1301"/>
      <c r="E4" s="1299"/>
      <c r="F4" s="1302"/>
      <c r="G4" s="1302"/>
      <c r="H4" s="1303"/>
      <c r="I4" s="1304">
        <f t="shared" ref="I4:I9" si="0">ROUND(D4*E4*F4*G4*H4/10000,0)</f>
        <v>0</v>
      </c>
    </row>
    <row r="5" spans="1:9">
      <c r="A5" s="3272"/>
      <c r="B5" s="3273" t="s">
        <v>1084</v>
      </c>
      <c r="C5" s="3273"/>
      <c r="D5" s="1301"/>
      <c r="E5" s="1299"/>
      <c r="F5" s="1302"/>
      <c r="G5" s="1302"/>
      <c r="H5" s="1303"/>
      <c r="I5" s="1304">
        <f t="shared" si="0"/>
        <v>0</v>
      </c>
    </row>
    <row r="6" spans="1:9">
      <c r="A6" s="3272"/>
      <c r="B6" s="3273" t="s">
        <v>1085</v>
      </c>
      <c r="C6" s="3273"/>
      <c r="D6" s="1301"/>
      <c r="E6" s="1299"/>
      <c r="F6" s="1302"/>
      <c r="G6" s="1302"/>
      <c r="H6" s="1303"/>
      <c r="I6" s="1304">
        <f t="shared" si="0"/>
        <v>0</v>
      </c>
    </row>
    <row r="7" spans="1:9">
      <c r="A7" s="3272"/>
      <c r="B7" s="3273" t="s">
        <v>1086</v>
      </c>
      <c r="C7" s="3273"/>
      <c r="D7" s="1301"/>
      <c r="E7" s="1299"/>
      <c r="F7" s="1302"/>
      <c r="G7" s="1302"/>
      <c r="H7" s="1303"/>
      <c r="I7" s="1304">
        <f t="shared" si="0"/>
        <v>0</v>
      </c>
    </row>
    <row r="8" spans="1:9">
      <c r="A8" s="3272"/>
      <c r="B8" s="3273" t="s">
        <v>1087</v>
      </c>
      <c r="C8" s="3273"/>
      <c r="D8" s="1301"/>
      <c r="E8" s="1299"/>
      <c r="F8" s="1302"/>
      <c r="G8" s="1302"/>
      <c r="H8" s="1303"/>
      <c r="I8" s="1304">
        <f t="shared" si="0"/>
        <v>0</v>
      </c>
    </row>
    <row r="9" spans="1:9">
      <c r="A9" s="3272"/>
      <c r="B9" s="3273" t="s">
        <v>1088</v>
      </c>
      <c r="C9" s="3273"/>
      <c r="D9" s="1301"/>
      <c r="E9" s="1299"/>
      <c r="F9" s="1302"/>
      <c r="G9" s="1302"/>
      <c r="H9" s="1303"/>
      <c r="I9" s="1304">
        <f t="shared" si="0"/>
        <v>0</v>
      </c>
    </row>
    <row r="10" spans="1:9">
      <c r="A10" s="3272"/>
      <c r="B10" s="3274" t="s">
        <v>1089</v>
      </c>
      <c r="C10" s="3274"/>
      <c r="D10" s="1305"/>
      <c r="E10" s="1305" t="e">
        <f>ROUND(D1*10000/D10/H9,0)</f>
        <v>#DIV/0!</v>
      </c>
      <c r="F10" s="1306"/>
      <c r="G10" s="1306"/>
      <c r="H10" s="1307"/>
      <c r="I10" s="1308">
        <f>SUM(I3:I9)</f>
        <v>0</v>
      </c>
    </row>
    <row r="11" spans="1:9" ht="14.25">
      <c r="A11" s="3272" t="s">
        <v>1090</v>
      </c>
      <c r="B11" s="3273" t="s">
        <v>1091</v>
      </c>
      <c r="C11" s="3273"/>
      <c r="D11" s="1301" t="s">
        <v>1092</v>
      </c>
      <c r="E11" s="1301" t="s">
        <v>1093</v>
      </c>
      <c r="F11" s="1302" t="s">
        <v>1094</v>
      </c>
      <c r="G11" s="1302" t="s">
        <v>1080</v>
      </c>
      <c r="H11" s="1309" t="s">
        <v>1095</v>
      </c>
      <c r="I11" s="1300" t="s">
        <v>1081</v>
      </c>
    </row>
    <row r="12" spans="1:9">
      <c r="A12" s="3272"/>
      <c r="B12" s="3273" t="s">
        <v>1096</v>
      </c>
      <c r="C12" s="3273"/>
      <c r="D12" s="1301"/>
      <c r="E12" s="1301"/>
      <c r="F12" s="1302"/>
      <c r="G12" s="1303"/>
      <c r="H12" s="1310"/>
      <c r="I12" s="1300">
        <f>ROUND(D12*E12*F12*G12/10000,0)</f>
        <v>0</v>
      </c>
    </row>
    <row r="13" spans="1:9">
      <c r="A13" s="3272"/>
      <c r="B13" s="3273" t="s">
        <v>1097</v>
      </c>
      <c r="C13" s="3273"/>
      <c r="D13" s="1301"/>
      <c r="E13" s="1301"/>
      <c r="F13" s="1302"/>
      <c r="G13" s="1303"/>
      <c r="H13" s="1310"/>
      <c r="I13" s="1300">
        <f>ROUND(D13*E13*F13*G13/10000,0)</f>
        <v>0</v>
      </c>
    </row>
    <row r="14" spans="1:9">
      <c r="A14" s="3272"/>
      <c r="B14" s="3273" t="s">
        <v>1098</v>
      </c>
      <c r="C14" s="3273"/>
      <c r="D14" s="1301"/>
      <c r="E14" s="1301"/>
      <c r="F14" s="1302"/>
      <c r="G14" s="1303"/>
      <c r="H14" s="1310"/>
      <c r="I14" s="1300">
        <f>ROUND(D14*E14*F14*G14/10000,0)</f>
        <v>0</v>
      </c>
    </row>
    <row r="15" spans="1:9">
      <c r="A15" s="3272"/>
      <c r="B15" s="3274" t="s">
        <v>1089</v>
      </c>
      <c r="C15" s="3274"/>
      <c r="D15" s="1305"/>
      <c r="E15" s="1305">
        <f>SUM(E12:E14)</f>
        <v>0</v>
      </c>
      <c r="F15" s="1306"/>
      <c r="G15" s="1303"/>
      <c r="H15" s="1310"/>
      <c r="I15" s="1311">
        <f>SUM(I12:I14)</f>
        <v>0</v>
      </c>
    </row>
    <row r="16" spans="1:9" ht="24">
      <c r="A16" s="3272" t="s">
        <v>1099</v>
      </c>
      <c r="B16" s="3273" t="s">
        <v>1100</v>
      </c>
      <c r="C16" s="3273"/>
      <c r="D16" s="1301" t="s">
        <v>1076</v>
      </c>
      <c r="E16" s="1312" t="s">
        <v>1101</v>
      </c>
      <c r="F16" s="1302" t="s">
        <v>1102</v>
      </c>
      <c r="G16" s="1303" t="s">
        <v>1080</v>
      </c>
      <c r="H16" s="1309" t="s">
        <v>1095</v>
      </c>
      <c r="I16" s="1300" t="s">
        <v>1081</v>
      </c>
    </row>
    <row r="17" spans="1:9" ht="14.25">
      <c r="A17" s="3272"/>
      <c r="B17" s="3273" t="s">
        <v>1103</v>
      </c>
      <c r="C17" s="3273"/>
      <c r="D17" s="1301"/>
      <c r="E17" s="1301"/>
      <c r="F17" s="1302"/>
      <c r="G17" s="1303"/>
      <c r="H17" s="1313"/>
      <c r="I17" s="1314">
        <f>ROUND(D17*E17*F17*G17/10000,0)</f>
        <v>0</v>
      </c>
    </row>
    <row r="18" spans="1:9" ht="14.25">
      <c r="A18" s="3272"/>
      <c r="B18" s="3273" t="s">
        <v>1104</v>
      </c>
      <c r="C18" s="3273"/>
      <c r="D18" s="1301"/>
      <c r="E18" s="1301"/>
      <c r="F18" s="1302"/>
      <c r="G18" s="1303"/>
      <c r="H18" s="1313"/>
      <c r="I18" s="1314">
        <f>ROUND(D18*E18*F18*G18/10000,0)</f>
        <v>0</v>
      </c>
    </row>
    <row r="19" spans="1:9" ht="14.25">
      <c r="A19" s="3272"/>
      <c r="B19" s="3273" t="s">
        <v>1105</v>
      </c>
      <c r="C19" s="3273"/>
      <c r="D19" s="1301"/>
      <c r="E19" s="1301"/>
      <c r="F19" s="1302"/>
      <c r="G19" s="1303"/>
      <c r="H19" s="1313"/>
      <c r="I19" s="1314">
        <f>ROUND(D19*E19*F19*G19/10000,0)</f>
        <v>0</v>
      </c>
    </row>
    <row r="20" spans="1:9">
      <c r="A20" s="3272"/>
      <c r="B20" s="3274" t="s">
        <v>1089</v>
      </c>
      <c r="C20" s="3274"/>
      <c r="D20" s="1305">
        <f>SUM(D17:D19)</f>
        <v>0</v>
      </c>
      <c r="E20" s="1305"/>
      <c r="F20" s="1306"/>
      <c r="G20" s="1303"/>
      <c r="H20" s="1310"/>
      <c r="I20" s="1311">
        <f>SUM(I17:I19)</f>
        <v>0</v>
      </c>
    </row>
    <row r="21" spans="1:9">
      <c r="A21" s="3272" t="s">
        <v>1106</v>
      </c>
      <c r="B21" s="3275"/>
      <c r="C21" s="3275"/>
      <c r="D21" s="3275"/>
      <c r="E21" s="3275"/>
      <c r="F21" s="3275"/>
      <c r="G21" s="3275"/>
      <c r="H21" s="1763">
        <v>0.1</v>
      </c>
      <c r="I21" s="1308">
        <f>ROUND(I10*H21,0)</f>
        <v>0</v>
      </c>
    </row>
    <row r="22" spans="1:9" ht="14.25">
      <c r="A22" s="3276" t="s">
        <v>1107</v>
      </c>
      <c r="B22" s="3277"/>
      <c r="C22" s="3278"/>
      <c r="D22" s="1315" t="s">
        <v>1108</v>
      </c>
      <c r="E22" s="1315" t="s">
        <v>1109</v>
      </c>
      <c r="F22" s="1316" t="s">
        <v>1110</v>
      </c>
      <c r="G22" s="1316" t="s">
        <v>1111</v>
      </c>
      <c r="H22" s="1309" t="s">
        <v>1112</v>
      </c>
      <c r="I22" s="1300" t="s">
        <v>1113</v>
      </c>
    </row>
    <row r="23" spans="1:9" ht="14.25" thickBot="1">
      <c r="A23" s="3279"/>
      <c r="B23" s="3280"/>
      <c r="C23" s="3281"/>
      <c r="D23" s="1317"/>
      <c r="E23" s="1317"/>
      <c r="F23" s="1317"/>
      <c r="G23" s="1318"/>
      <c r="H23" s="1319"/>
      <c r="I23" s="1320">
        <f>ROUND(E23*D23*F23*(1-G23)/10000,0)</f>
        <v>0</v>
      </c>
    </row>
    <row r="26" spans="1:9">
      <c r="A26" s="1321" t="s">
        <v>1114</v>
      </c>
      <c r="B26" s="1321"/>
      <c r="C26" s="1321"/>
      <c r="D26" s="1321"/>
      <c r="E26" s="3269">
        <f>C27-C30-C31-C32</f>
        <v>0</v>
      </c>
      <c r="F26" s="3269"/>
      <c r="G26" s="3269"/>
      <c r="H26" s="1735" t="s">
        <v>1336</v>
      </c>
    </row>
    <row r="27" spans="1:9">
      <c r="A27" s="1322">
        <v>1</v>
      </c>
      <c r="B27" s="1323" t="s">
        <v>1115</v>
      </c>
      <c r="C27" s="1323">
        <f>C28+C29</f>
        <v>0</v>
      </c>
      <c r="D27" s="1323"/>
      <c r="E27" s="3270"/>
      <c r="F27" s="3270"/>
      <c r="G27" s="3270"/>
    </row>
    <row r="28" spans="1:9">
      <c r="A28" s="1324" t="s">
        <v>1116</v>
      </c>
      <c r="B28" s="1323" t="s">
        <v>1117</v>
      </c>
      <c r="C28" s="1323"/>
      <c r="D28" s="1323"/>
      <c r="E28" s="3270"/>
      <c r="F28" s="3270"/>
      <c r="G28" s="3270"/>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71"/>
      <c r="F32" s="3271"/>
      <c r="G32" s="3271"/>
    </row>
    <row r="33" spans="1:7" hidden="1">
      <c r="A33" s="3266" t="s">
        <v>1126</v>
      </c>
      <c r="B33" s="3267"/>
      <c r="C33" s="3267"/>
      <c r="D33" s="3268"/>
      <c r="E33" s="3269"/>
      <c r="F33" s="3269"/>
      <c r="G33" s="3269"/>
    </row>
    <row r="34" spans="1:7" hidden="1">
      <c r="A34" s="1326">
        <v>1</v>
      </c>
      <c r="B34" s="1323" t="s">
        <v>1127</v>
      </c>
      <c r="C34" s="1323"/>
      <c r="D34" s="1323"/>
      <c r="E34" s="3270"/>
      <c r="F34" s="3270"/>
      <c r="G34" s="3270"/>
    </row>
    <row r="35" spans="1:7" hidden="1">
      <c r="A35" s="1326">
        <v>2</v>
      </c>
      <c r="B35" s="1323" t="s">
        <v>1128</v>
      </c>
      <c r="C35" s="1323"/>
      <c r="D35" s="1323"/>
      <c r="E35" s="3270"/>
      <c r="F35" s="3270"/>
      <c r="G35" s="3270"/>
    </row>
    <row r="36" spans="1:7" hidden="1">
      <c r="A36" s="1326">
        <v>3</v>
      </c>
      <c r="B36" s="1323" t="s">
        <v>1129</v>
      </c>
      <c r="C36" s="1323"/>
      <c r="D36" s="1323"/>
      <c r="E36" s="3270"/>
      <c r="F36" s="3270"/>
      <c r="G36" s="3270"/>
    </row>
    <row r="37" spans="1:7" hidden="1">
      <c r="A37" s="1326">
        <v>4</v>
      </c>
      <c r="B37" s="1323" t="s">
        <v>1130</v>
      </c>
      <c r="C37" s="1323"/>
      <c r="D37" s="1323"/>
      <c r="E37" s="3270"/>
      <c r="F37" s="3270"/>
      <c r="G37" s="3270"/>
    </row>
    <row r="38" spans="1:7" hidden="1">
      <c r="A38" s="3266" t="s">
        <v>1131</v>
      </c>
      <c r="B38" s="3267"/>
      <c r="C38" s="3267"/>
      <c r="D38" s="3268"/>
      <c r="E38" s="3269"/>
      <c r="F38" s="3269"/>
      <c r="G38" s="326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2529</v>
      </c>
      <c r="C1" s="1632" t="s">
        <v>2530</v>
      </c>
      <c r="D1" s="1619"/>
      <c r="E1" s="2579"/>
      <c r="F1" s="2580" t="s">
        <v>2531</v>
      </c>
      <c r="G1" s="1629" t="s">
        <v>2532</v>
      </c>
      <c r="H1" s="1628"/>
      <c r="I1" s="1628"/>
      <c r="J1" s="1628"/>
      <c r="K1" s="1630"/>
      <c r="L1" s="1631"/>
      <c r="M1" s="1632"/>
      <c r="N1" s="1632"/>
      <c r="O1" s="1632"/>
      <c r="P1" s="2581"/>
      <c r="Q1" s="1618"/>
      <c r="R1" s="1618"/>
      <c r="S1" s="1618"/>
      <c r="T1" s="1618"/>
      <c r="U1" s="1618"/>
      <c r="V1" s="1618"/>
      <c r="W1" s="1618"/>
      <c r="X1" s="1618"/>
      <c r="Y1" s="1618"/>
      <c r="Z1" s="1618"/>
      <c r="AA1" s="1618"/>
      <c r="AB1" s="1618"/>
      <c r="AC1" s="1626"/>
    </row>
    <row r="2" spans="1:29" s="393" customFormat="1" ht="28.5" customHeight="1" thickTop="1">
      <c r="A2" s="1615" t="s">
        <v>1389</v>
      </c>
      <c r="B2" s="1416" t="e">
        <f ca="1">IF(C2="——",ROUND(C49*D3/10000,0),ROUND(C49*D3/10000,0)-D2)</f>
        <v>#DIV/0!</v>
      </c>
      <c r="C2" s="2582"/>
      <c r="D2" s="1363" t="e">
        <f ca="1">SUMIF(INDIRECT("'"&amp;F2&amp;"'"&amp;"!A:A"),"承租人权益价值",INDIRECT("'"&amp;F2&amp;"'"&amp;"!c:c"))</f>
        <v>#REF!</v>
      </c>
      <c r="E2" s="2583" t="s">
        <v>2533</v>
      </c>
      <c r="F2" s="2584"/>
      <c r="G2" s="1122"/>
      <c r="H2" s="1122"/>
      <c r="I2" s="1122"/>
      <c r="J2" s="1122"/>
      <c r="K2" s="2585"/>
      <c r="L2" s="2586"/>
      <c r="M2" s="2587"/>
      <c r="N2" s="2587"/>
      <c r="O2" s="2587"/>
      <c r="P2" s="2588"/>
      <c r="Q2" s="2589"/>
      <c r="R2" s="2589"/>
      <c r="S2" s="2589"/>
      <c r="T2" s="2589"/>
      <c r="U2" s="2589"/>
      <c r="V2" s="2589"/>
      <c r="W2" s="2589"/>
      <c r="X2" s="2589"/>
      <c r="Y2" s="2589"/>
      <c r="Z2" s="2589"/>
      <c r="AA2" s="2589"/>
      <c r="AB2" s="2589"/>
      <c r="AC2" s="2590"/>
    </row>
    <row r="3" spans="1:29" s="393" customFormat="1" ht="28.5" customHeight="1" thickBot="1">
      <c r="A3" s="247" t="s">
        <v>1390</v>
      </c>
      <c r="B3" s="399" t="e">
        <f ca="1">IF(C2="——",C49,ROUND(B2*10000/D3,0))</f>
        <v>#DIV/0!</v>
      </c>
      <c r="C3" s="400" t="s">
        <v>2534</v>
      </c>
      <c r="D3" s="399">
        <f>IF(D1="",'数据-汇总表'!E3,SUMIF('数据-汇总表'!$C19:$C33,D1,'数据-汇总表'!$E19:$E33))</f>
        <v>3992.9400000000005</v>
      </c>
      <c r="E3" s="1122"/>
      <c r="F3" s="2591"/>
      <c r="G3" s="1122"/>
      <c r="H3" s="1122"/>
      <c r="I3" s="1122"/>
      <c r="J3" s="1122"/>
      <c r="K3" s="2585"/>
      <c r="L3" s="2586"/>
      <c r="M3" s="2587"/>
      <c r="N3" s="2587"/>
      <c r="O3" s="2587"/>
      <c r="P3" s="2588"/>
      <c r="Q3" s="2589"/>
      <c r="R3" s="2589"/>
      <c r="S3" s="2589"/>
      <c r="T3" s="2589"/>
      <c r="U3" s="2589"/>
      <c r="V3" s="2589"/>
      <c r="W3" s="2589"/>
      <c r="X3" s="2589"/>
      <c r="Y3" s="2589"/>
      <c r="Z3" s="2589"/>
      <c r="AA3" s="2589"/>
      <c r="AB3" s="2589"/>
      <c r="AC3" s="1280"/>
    </row>
    <row r="4" spans="1:29" ht="15">
      <c r="A4" s="401" t="s">
        <v>2535</v>
      </c>
      <c r="B4" s="402"/>
      <c r="C4" s="3221" t="s">
        <v>2536</v>
      </c>
      <c r="D4" s="3234"/>
      <c r="E4" s="3235" t="s">
        <v>2537</v>
      </c>
      <c r="F4" s="3236"/>
      <c r="G4" s="3221" t="s">
        <v>2538</v>
      </c>
      <c r="H4" s="3234"/>
      <c r="I4" s="3221" t="s">
        <v>2539</v>
      </c>
      <c r="J4" s="3234"/>
      <c r="K4" s="2592" t="s">
        <v>2540</v>
      </c>
      <c r="L4" s="1128"/>
      <c r="M4" s="1129"/>
      <c r="N4" s="1129"/>
      <c r="O4" s="1129"/>
      <c r="P4" s="3237" t="s">
        <v>2541</v>
      </c>
      <c r="Q4" s="3238"/>
      <c r="R4" s="3243" t="s">
        <v>2537</v>
      </c>
      <c r="S4" s="3244"/>
      <c r="T4" s="3243" t="s">
        <v>2538</v>
      </c>
      <c r="U4" s="3244"/>
      <c r="V4" s="3230" t="s">
        <v>2539</v>
      </c>
      <c r="W4" s="3230"/>
      <c r="X4" s="1811"/>
      <c r="Y4" s="3243" t="s">
        <v>2541</v>
      </c>
      <c r="Z4" s="3244"/>
      <c r="AA4" s="3231" t="s">
        <v>2537</v>
      </c>
      <c r="AB4" s="3231" t="s">
        <v>2538</v>
      </c>
      <c r="AC4" s="3231" t="s">
        <v>2539</v>
      </c>
    </row>
    <row r="5" spans="1:29" ht="15">
      <c r="A5" s="404"/>
      <c r="B5" s="405"/>
      <c r="C5" s="3251" t="s">
        <v>2542</v>
      </c>
      <c r="D5" s="3252"/>
      <c r="E5" s="3258" t="s">
        <v>2543</v>
      </c>
      <c r="F5" s="3259"/>
      <c r="G5" s="3251" t="s">
        <v>2544</v>
      </c>
      <c r="H5" s="3252"/>
      <c r="I5" s="3251" t="s">
        <v>2545</v>
      </c>
      <c r="J5" s="3252"/>
      <c r="K5" s="2593"/>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2593"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SUMIF(58:58,YEAR(E7)&amp;"-"&amp;MONTH(E7),59:59)</f>
        <v>0</v>
      </c>
      <c r="G7" s="412"/>
      <c r="H7" s="411">
        <f>SUMIF(58:58,YEAR(G7)&amp;"-"&amp;MONTH(G7),59:59)</f>
        <v>0</v>
      </c>
      <c r="I7" s="412"/>
      <c r="J7" s="411">
        <f>SUMIF(58:58,YEAR(I7)&amp;"-"&amp;MONTH(I7),59:59)</f>
        <v>0</v>
      </c>
      <c r="K7" s="2594"/>
      <c r="L7" s="1130"/>
      <c r="M7" s="1131"/>
      <c r="N7" s="1131"/>
      <c r="O7" s="1131"/>
      <c r="P7" s="3253" t="s">
        <v>2549</v>
      </c>
      <c r="Q7" s="3255"/>
      <c r="R7" s="769" t="s">
        <v>23</v>
      </c>
      <c r="S7" s="770">
        <f t="shared" ref="S7:S15" si="0">F7</f>
        <v>0</v>
      </c>
      <c r="T7" s="769" t="s">
        <v>23</v>
      </c>
      <c r="U7" s="770">
        <f t="shared" ref="U7:U15" si="1">H7</f>
        <v>0</v>
      </c>
      <c r="V7" s="769" t="s">
        <v>23</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2595"/>
      <c r="F8" s="413">
        <f>SUMIF(61:61,E8,62:62)-SUMIF(61:61,C8,62:62)+100</f>
        <v>0</v>
      </c>
      <c r="G8" s="414"/>
      <c r="H8" s="411">
        <f>SUMIF(61:61,G8,62:62)-SUMIF(61:61,C8,62:62)+100</f>
        <v>0</v>
      </c>
      <c r="I8" s="2595"/>
      <c r="J8" s="411">
        <f>SUMIF(61:61,I8,62:62)-SUMIF(61:61,C8,62:62)+100</f>
        <v>0</v>
      </c>
      <c r="K8" s="2594"/>
      <c r="L8" s="1130"/>
      <c r="M8" s="1131"/>
      <c r="N8" s="1131"/>
      <c r="O8" s="1131"/>
      <c r="P8" s="3253" t="s">
        <v>2552</v>
      </c>
      <c r="Q8" s="3254"/>
      <c r="R8" s="769" t="s">
        <v>23</v>
      </c>
      <c r="S8" s="770">
        <f t="shared" si="0"/>
        <v>0</v>
      </c>
      <c r="T8" s="769" t="s">
        <v>23</v>
      </c>
      <c r="U8" s="770">
        <f t="shared" si="1"/>
        <v>0</v>
      </c>
      <c r="V8" s="769" t="s">
        <v>23</v>
      </c>
      <c r="W8" s="770">
        <f t="shared" si="2"/>
        <v>0</v>
      </c>
      <c r="X8" s="771"/>
      <c r="Y8" s="3253" t="s">
        <v>2552</v>
      </c>
      <c r="Z8" s="3254"/>
      <c r="AA8" s="772" t="e">
        <f t="shared" ref="AA8:AA19" si="3">D8/F8</f>
        <v>#DIV/0!</v>
      </c>
      <c r="AB8" s="772" t="e">
        <f t="shared" ref="AB8:AB19" si="4">D8/H8</f>
        <v>#DIV/0!</v>
      </c>
      <c r="AC8" s="772"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4"/>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223"/>
      <c r="Q11" s="1793" t="str">
        <f t="shared" si="6"/>
        <v>容积率</v>
      </c>
      <c r="R11" s="769" t="s">
        <v>21</v>
      </c>
      <c r="S11" s="770" t="e">
        <f t="shared" si="0"/>
        <v>#N/A</v>
      </c>
      <c r="T11" s="769" t="s">
        <v>21</v>
      </c>
      <c r="U11" s="770" t="e">
        <f t="shared" si="1"/>
        <v>#N/A</v>
      </c>
      <c r="V11" s="769" t="s">
        <v>21</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432"/>
      <c r="F12" s="425">
        <f>SUMIF(70:70,E12,71:71)-SUMIF(70:70,C12,71:71)+100</f>
        <v>100</v>
      </c>
      <c r="G12" s="432"/>
      <c r="H12" s="136">
        <f>SUMIF(70:70,G12,71:71)-SUMIF(70:70,C12,71:71)+100</f>
        <v>100</v>
      </c>
      <c r="I12" s="432"/>
      <c r="J12" s="136">
        <f>SUMIF(70:70,I12,71:71)-SUMIF(70:70,C12,71:71)+100</f>
        <v>100</v>
      </c>
      <c r="K12" s="2597"/>
      <c r="L12" s="1130"/>
      <c r="M12" s="1131"/>
      <c r="N12" s="1131"/>
      <c r="O12" s="1131"/>
      <c r="P12" s="3223"/>
      <c r="Q12" s="1793">
        <f t="shared" si="6"/>
        <v>111</v>
      </c>
      <c r="R12" s="769" t="s">
        <v>21</v>
      </c>
      <c r="S12" s="770">
        <f t="shared" si="0"/>
        <v>100</v>
      </c>
      <c r="T12" s="769" t="s">
        <v>21</v>
      </c>
      <c r="U12" s="770">
        <f t="shared" si="1"/>
        <v>100</v>
      </c>
      <c r="V12" s="769" t="s">
        <v>21</v>
      </c>
      <c r="W12" s="770">
        <f t="shared" si="2"/>
        <v>100</v>
      </c>
      <c r="X12" s="771"/>
      <c r="Y12" s="3072"/>
      <c r="Z12" s="55">
        <f t="shared" si="7"/>
        <v>111</v>
      </c>
      <c r="AA12" s="772">
        <f>D12/F12</f>
        <v>1</v>
      </c>
      <c r="AB12" s="772">
        <f>D12/H12</f>
        <v>1</v>
      </c>
      <c r="AC12" s="772">
        <f>D12/J12</f>
        <v>1</v>
      </c>
    </row>
    <row r="13" spans="1:29" ht="15">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2597"/>
      <c r="L13" s="1138"/>
      <c r="M13" s="1129"/>
      <c r="N13" s="1129"/>
      <c r="O13" s="1129"/>
      <c r="P13" s="3223"/>
      <c r="Q13" s="1793">
        <f t="shared" si="6"/>
        <v>111</v>
      </c>
      <c r="R13" s="769" t="s">
        <v>21</v>
      </c>
      <c r="S13" s="770">
        <f t="shared" si="0"/>
        <v>100</v>
      </c>
      <c r="T13" s="769" t="s">
        <v>21</v>
      </c>
      <c r="U13" s="770">
        <f t="shared" si="1"/>
        <v>100</v>
      </c>
      <c r="V13" s="769" t="s">
        <v>21</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437"/>
      <c r="F14" s="439">
        <f>SUMIF(74:74,E14,75:75)-SUMIF(74:74,C14,75:75)+100</f>
        <v>100</v>
      </c>
      <c r="G14" s="437"/>
      <c r="H14" s="438">
        <f>SUMIF(74:74,G14,75:75)-SUMIF(74:74,C14,75:75)+100</f>
        <v>100</v>
      </c>
      <c r="I14" s="437"/>
      <c r="J14" s="438">
        <f>SUMIF(74:74,I14,75:75)-SUMIF(74:74,C14,75:75)+100</f>
        <v>100</v>
      </c>
      <c r="K14" s="2597"/>
      <c r="L14" s="1138"/>
      <c r="M14" s="1129"/>
      <c r="N14" s="1129"/>
      <c r="O14" s="1129"/>
      <c r="P14" s="3223"/>
      <c r="Q14" s="1793">
        <f t="shared" si="6"/>
        <v>111</v>
      </c>
      <c r="R14" s="769" t="s">
        <v>21</v>
      </c>
      <c r="S14" s="770">
        <f t="shared" si="0"/>
        <v>100</v>
      </c>
      <c r="T14" s="769" t="s">
        <v>21</v>
      </c>
      <c r="U14" s="770">
        <f t="shared" si="1"/>
        <v>100</v>
      </c>
      <c r="V14" s="769" t="s">
        <v>21</v>
      </c>
      <c r="W14" s="770">
        <f t="shared" si="2"/>
        <v>100</v>
      </c>
      <c r="X14" s="771"/>
      <c r="Y14" s="3072"/>
      <c r="Z14" s="55">
        <f t="shared" si="7"/>
        <v>111</v>
      </c>
      <c r="AA14" s="772">
        <f t="shared" si="3"/>
        <v>1</v>
      </c>
      <c r="AB14" s="772">
        <f t="shared" si="4"/>
        <v>1</v>
      </c>
      <c r="AC14" s="772">
        <f t="shared" si="5"/>
        <v>1</v>
      </c>
    </row>
    <row r="15" spans="1:29" ht="99.75">
      <c r="A15" s="440" t="s">
        <v>2559</v>
      </c>
      <c r="B15" s="69" t="s">
        <v>2084</v>
      </c>
      <c r="C15" s="2599"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293" t="s">
        <v>2560</v>
      </c>
      <c r="Q15" s="1808" t="str">
        <f t="shared" si="6"/>
        <v>居住社区成熟度</v>
      </c>
      <c r="R15" s="773" t="s">
        <v>21</v>
      </c>
      <c r="S15" s="774">
        <f t="shared" si="0"/>
        <v>100</v>
      </c>
      <c r="T15" s="773" t="s">
        <v>21</v>
      </c>
      <c r="U15" s="774">
        <f t="shared" si="1"/>
        <v>100</v>
      </c>
      <c r="V15" s="773" t="s">
        <v>21</v>
      </c>
      <c r="W15" s="774">
        <f t="shared" si="2"/>
        <v>100</v>
      </c>
      <c r="X15" s="1811"/>
      <c r="Y15" s="3226" t="s">
        <v>2560</v>
      </c>
      <c r="Z15" s="1812" t="str">
        <f t="shared" si="7"/>
        <v>居住社区成熟度</v>
      </c>
      <c r="AA15" s="1809">
        <f t="shared" si="3"/>
        <v>1</v>
      </c>
      <c r="AB15" s="1809">
        <f t="shared" si="4"/>
        <v>1</v>
      </c>
      <c r="AC15" s="1809">
        <f t="shared" si="5"/>
        <v>1</v>
      </c>
    </row>
    <row r="16" spans="1:29" ht="15">
      <c r="A16" s="428"/>
      <c r="B16" s="446"/>
      <c r="C16" s="447"/>
      <c r="D16" s="448"/>
      <c r="E16" s="2600"/>
      <c r="F16" s="448"/>
      <c r="G16" s="2601"/>
      <c r="H16" s="450"/>
      <c r="I16" s="2601"/>
      <c r="J16" s="448"/>
      <c r="K16" s="2602"/>
      <c r="L16" s="1138"/>
      <c r="M16" s="1129"/>
      <c r="N16" s="1129"/>
      <c r="O16" s="1129"/>
      <c r="P16" s="3294"/>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294"/>
      <c r="Q17" s="1808" t="str">
        <f>B17</f>
        <v>交通便捷度</v>
      </c>
      <c r="R17" s="773" t="s">
        <v>21</v>
      </c>
      <c r="S17" s="774">
        <f>F17</f>
        <v>100</v>
      </c>
      <c r="T17" s="773" t="s">
        <v>21</v>
      </c>
      <c r="U17" s="774">
        <f>H17</f>
        <v>100</v>
      </c>
      <c r="V17" s="773" t="s">
        <v>21</v>
      </c>
      <c r="W17" s="774">
        <f>J17</f>
        <v>100</v>
      </c>
      <c r="X17" s="1811"/>
      <c r="Y17" s="3227"/>
      <c r="Z17" s="1812" t="str">
        <f>Q17</f>
        <v>交通便捷度</v>
      </c>
      <c r="AA17" s="1809">
        <f t="shared" si="3"/>
        <v>1</v>
      </c>
      <c r="AB17" s="1809">
        <f t="shared" si="4"/>
        <v>1</v>
      </c>
      <c r="AC17" s="1809">
        <f t="shared" si="5"/>
        <v>1</v>
      </c>
    </row>
    <row r="18" spans="1:29" ht="15">
      <c r="A18" s="428"/>
      <c r="B18" s="456"/>
      <c r="C18" s="2604"/>
      <c r="D18" s="450"/>
      <c r="E18" s="2605"/>
      <c r="F18" s="450"/>
      <c r="G18" s="2606"/>
      <c r="H18" s="448"/>
      <c r="I18" s="2606"/>
      <c r="J18" s="448"/>
      <c r="K18" s="2602"/>
      <c r="L18" s="1138"/>
      <c r="M18" s="1129"/>
      <c r="N18" s="1129"/>
      <c r="O18" s="1129"/>
      <c r="P18" s="3294"/>
      <c r="Q18" s="1808"/>
      <c r="R18" s="773"/>
      <c r="S18" s="774"/>
      <c r="T18" s="773"/>
      <c r="U18" s="774"/>
      <c r="V18" s="773"/>
      <c r="W18" s="774"/>
      <c r="X18" s="1811"/>
      <c r="Y18" s="3227"/>
      <c r="Z18" s="1812"/>
      <c r="AA18" s="1809">
        <v>1</v>
      </c>
      <c r="AB18" s="1809">
        <v>1</v>
      </c>
      <c r="AC18" s="1809">
        <v>1</v>
      </c>
    </row>
    <row r="19" spans="1:29" ht="42.75">
      <c r="A19" s="428"/>
      <c r="B19" s="451" t="s">
        <v>2094</v>
      </c>
      <c r="C19" s="2603"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294"/>
      <c r="Q19" s="1808" t="str">
        <f>B19</f>
        <v>公共配套设施</v>
      </c>
      <c r="R19" s="773" t="s">
        <v>21</v>
      </c>
      <c r="S19" s="774">
        <f>F19</f>
        <v>100</v>
      </c>
      <c r="T19" s="773" t="s">
        <v>21</v>
      </c>
      <c r="U19" s="774">
        <f>H19</f>
        <v>100</v>
      </c>
      <c r="V19" s="773" t="s">
        <v>21</v>
      </c>
      <c r="W19" s="774">
        <f>J19</f>
        <v>100</v>
      </c>
      <c r="X19" s="1811"/>
      <c r="Y19" s="3227"/>
      <c r="Z19" s="1812" t="str">
        <f>Q19</f>
        <v>公共配套设施</v>
      </c>
      <c r="AA19" s="1809">
        <f t="shared" si="3"/>
        <v>1</v>
      </c>
      <c r="AB19" s="1809">
        <f t="shared" si="4"/>
        <v>1</v>
      </c>
      <c r="AC19" s="1809">
        <f t="shared" si="5"/>
        <v>1</v>
      </c>
    </row>
    <row r="20" spans="1:29" ht="15">
      <c r="A20" s="428"/>
      <c r="B20" s="456"/>
      <c r="C20" s="447"/>
      <c r="D20" s="448"/>
      <c r="E20" s="2600"/>
      <c r="F20" s="448"/>
      <c r="G20" s="2601"/>
      <c r="H20" s="448"/>
      <c r="I20" s="2601"/>
      <c r="J20" s="448"/>
      <c r="K20" s="2602"/>
      <c r="L20" s="1138"/>
      <c r="M20" s="1129"/>
      <c r="N20" s="1129"/>
      <c r="O20" s="1129"/>
      <c r="P20" s="3294"/>
      <c r="Q20" s="1808"/>
      <c r="R20" s="773"/>
      <c r="S20" s="774"/>
      <c r="T20" s="773"/>
      <c r="U20" s="774"/>
      <c r="V20" s="773"/>
      <c r="W20" s="774"/>
      <c r="X20" s="1811"/>
      <c r="Y20" s="3227"/>
      <c r="Z20" s="1812"/>
      <c r="AA20" s="1809">
        <v>1</v>
      </c>
      <c r="AB20" s="1809">
        <v>1</v>
      </c>
      <c r="AC20" s="1809">
        <v>1</v>
      </c>
    </row>
    <row r="21" spans="1:29" ht="28.5">
      <c r="A21" s="428"/>
      <c r="B21" s="1382" t="s">
        <v>2097</v>
      </c>
      <c r="C21" s="2603"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8"/>
      <c r="G22" s="2607"/>
      <c r="H22" s="448"/>
      <c r="I22" s="447"/>
      <c r="J22" s="448"/>
      <c r="K22" s="2608"/>
      <c r="L22" s="1138"/>
      <c r="M22" s="1129"/>
      <c r="N22" s="1129"/>
      <c r="O22" s="1129"/>
      <c r="P22" s="3294"/>
      <c r="Q22" s="1808"/>
      <c r="R22" s="773"/>
      <c r="S22" s="774"/>
      <c r="T22" s="773"/>
      <c r="U22" s="774"/>
      <c r="V22" s="773"/>
      <c r="W22" s="774"/>
      <c r="X22" s="1811"/>
      <c r="Y22" s="3227"/>
      <c r="Z22" s="1812"/>
      <c r="AA22" s="1809">
        <v>1</v>
      </c>
      <c r="AB22" s="1809">
        <v>1</v>
      </c>
      <c r="AC22" s="1809">
        <v>1</v>
      </c>
    </row>
    <row r="23" spans="1:29" ht="57">
      <c r="A23" s="428"/>
      <c r="B23" s="451" t="s">
        <v>2101</v>
      </c>
      <c r="C23" s="2603"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294"/>
      <c r="Q23" s="1808" t="str">
        <f>B23</f>
        <v>自然及人文环境</v>
      </c>
      <c r="R23" s="773" t="s">
        <v>21</v>
      </c>
      <c r="S23" s="774">
        <f>F23</f>
        <v>100</v>
      </c>
      <c r="T23" s="773" t="s">
        <v>21</v>
      </c>
      <c r="U23" s="774">
        <f>H23</f>
        <v>100</v>
      </c>
      <c r="V23" s="773" t="s">
        <v>21</v>
      </c>
      <c r="W23" s="774">
        <f>J23</f>
        <v>100</v>
      </c>
      <c r="X23" s="1811"/>
      <c r="Y23" s="3227"/>
      <c r="Z23" s="1812" t="str">
        <f>Q23</f>
        <v>自然及人文环境</v>
      </c>
      <c r="AA23" s="1809">
        <f>D23/F23</f>
        <v>1</v>
      </c>
      <c r="AB23" s="1809">
        <f>D23/H23</f>
        <v>1</v>
      </c>
      <c r="AC23" s="1809">
        <f>D23/J23</f>
        <v>1</v>
      </c>
    </row>
    <row r="24" spans="1:29" ht="15">
      <c r="A24" s="428"/>
      <c r="B24" s="456"/>
      <c r="C24" s="447"/>
      <c r="D24" s="448"/>
      <c r="E24" s="2600"/>
      <c r="F24" s="448"/>
      <c r="G24" s="2601"/>
      <c r="H24" s="448"/>
      <c r="I24" s="2601"/>
      <c r="J24" s="448"/>
      <c r="K24" s="2602"/>
      <c r="L24" s="1138"/>
      <c r="M24" s="1129"/>
      <c r="N24" s="1129"/>
      <c r="O24" s="1129"/>
      <c r="P24" s="3294"/>
      <c r="Q24" s="1808"/>
      <c r="R24" s="773"/>
      <c r="S24" s="774"/>
      <c r="T24" s="773"/>
      <c r="U24" s="774"/>
      <c r="V24" s="773"/>
      <c r="W24" s="774"/>
      <c r="X24" s="1811"/>
      <c r="Y24" s="3227"/>
      <c r="Z24" s="1812"/>
      <c r="AA24" s="1809">
        <v>1</v>
      </c>
      <c r="AB24" s="1809">
        <v>1</v>
      </c>
      <c r="AC24" s="1809">
        <v>1</v>
      </c>
    </row>
    <row r="25" spans="1:29" ht="15">
      <c r="A25" s="428"/>
      <c r="B25" s="422" t="s">
        <v>2561</v>
      </c>
      <c r="C25" s="460"/>
      <c r="D25" s="435">
        <v>100</v>
      </c>
      <c r="E25" s="2609"/>
      <c r="F25" s="435">
        <f>SUMIF(86:86,E25,87:87)-SUMIF(86:86,C25,87:87)+100</f>
        <v>100</v>
      </c>
      <c r="G25" s="2610"/>
      <c r="H25" s="435">
        <f>SUMIF(86:86,G25,87:87)-SUMIF(86:86,C25,87:87)+100</f>
        <v>100</v>
      </c>
      <c r="I25" s="2610"/>
      <c r="J25" s="435">
        <f>SUMIF(86:86,I25,87:87)-SUMIF(86:86,C25,87:87)+100</f>
        <v>100</v>
      </c>
      <c r="K25" s="426"/>
      <c r="L25" s="1138"/>
      <c r="M25" s="1129"/>
      <c r="N25" s="1129"/>
      <c r="O25" s="1129"/>
      <c r="P25" s="3294"/>
      <c r="Q25" s="1808" t="str">
        <f t="shared" ref="Q25:Q46" si="11">B25</f>
        <v>楼层-1</v>
      </c>
      <c r="R25" s="773" t="s">
        <v>21</v>
      </c>
      <c r="S25" s="774">
        <f t="shared" ref="S25:S46" si="12">F25</f>
        <v>100</v>
      </c>
      <c r="T25" s="773" t="s">
        <v>21</v>
      </c>
      <c r="U25" s="774">
        <f t="shared" ref="U25:U46" si="13">H25</f>
        <v>100</v>
      </c>
      <c r="V25" s="773" t="s">
        <v>21</v>
      </c>
      <c r="W25" s="774">
        <f t="shared" ref="W25:W46" si="14">J25</f>
        <v>100</v>
      </c>
      <c r="X25" s="1811"/>
      <c r="Y25" s="3227"/>
      <c r="Z25" s="1812" t="str">
        <f>Q25</f>
        <v>楼层-1</v>
      </c>
      <c r="AA25" s="1809">
        <f t="shared" ref="AA25:AA46" si="15">D25/F25</f>
        <v>1</v>
      </c>
      <c r="AB25" s="1809">
        <f t="shared" ref="AB25:AB46" si="16">D25/H25</f>
        <v>1</v>
      </c>
      <c r="AC25" s="1809">
        <f t="shared" ref="AC25:AC46" si="17">D25/J25</f>
        <v>1</v>
      </c>
    </row>
    <row r="26" spans="1:29" ht="15">
      <c r="A26" s="428"/>
      <c r="B26" s="422" t="s">
        <v>2562</v>
      </c>
      <c r="C26" s="460"/>
      <c r="D26" s="435">
        <v>100</v>
      </c>
      <c r="E26" s="2609"/>
      <c r="F26" s="435">
        <f>SUMIF(88:88,E26,89:89)-SUMIF(88:88,C26,89:89)+100</f>
        <v>100</v>
      </c>
      <c r="G26" s="2610"/>
      <c r="H26" s="435">
        <f>SUMIF(88:88,G26,89:89)-SUMIF(88:88,C26,89:89)+100</f>
        <v>100</v>
      </c>
      <c r="I26" s="2610"/>
      <c r="J26" s="435">
        <f>SUMIF(88:88,I26,89:89)-SUMIF(88:88,C26,89:89)+100</f>
        <v>100</v>
      </c>
      <c r="K26" s="426"/>
      <c r="L26" s="1138"/>
      <c r="M26" s="1129"/>
      <c r="N26" s="1129"/>
      <c r="O26" s="1129"/>
      <c r="P26" s="3294"/>
      <c r="Q26" s="1808" t="str">
        <f t="shared" si="11"/>
        <v>朝向</v>
      </c>
      <c r="R26" s="773" t="s">
        <v>21</v>
      </c>
      <c r="S26" s="774">
        <f t="shared" si="12"/>
        <v>100</v>
      </c>
      <c r="T26" s="773" t="s">
        <v>21</v>
      </c>
      <c r="U26" s="774">
        <f t="shared" si="13"/>
        <v>100</v>
      </c>
      <c r="V26" s="773" t="s">
        <v>21</v>
      </c>
      <c r="W26" s="774">
        <f t="shared" si="14"/>
        <v>100</v>
      </c>
      <c r="X26" s="1811"/>
      <c r="Y26" s="3227"/>
      <c r="Z26" s="1812" t="str">
        <f>Q26</f>
        <v>朝向</v>
      </c>
      <c r="AA26" s="1809">
        <f t="shared" si="15"/>
        <v>1</v>
      </c>
      <c r="AB26" s="1809">
        <f t="shared" si="16"/>
        <v>1</v>
      </c>
      <c r="AC26" s="1809">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7"/>
      <c r="L27" s="1130"/>
      <c r="M27" s="1131"/>
      <c r="N27" s="1131"/>
      <c r="O27" s="1131"/>
      <c r="P27" s="3294"/>
      <c r="Q27" s="1793">
        <f t="shared" si="11"/>
        <v>111</v>
      </c>
      <c r="R27" s="769" t="s">
        <v>21</v>
      </c>
      <c r="S27" s="770">
        <f t="shared" si="12"/>
        <v>100</v>
      </c>
      <c r="T27" s="769" t="s">
        <v>21</v>
      </c>
      <c r="U27" s="770">
        <f t="shared" si="13"/>
        <v>100</v>
      </c>
      <c r="V27" s="769" t="s">
        <v>21</v>
      </c>
      <c r="W27" s="770">
        <f t="shared" si="14"/>
        <v>100</v>
      </c>
      <c r="X27" s="771"/>
      <c r="Y27" s="3227"/>
      <c r="Z27" s="55">
        <f>Q27</f>
        <v>111</v>
      </c>
      <c r="AA27" s="1809">
        <f t="shared" si="15"/>
        <v>1</v>
      </c>
      <c r="AB27" s="1809">
        <f t="shared" si="16"/>
        <v>1</v>
      </c>
      <c r="AC27" s="1809">
        <f t="shared" si="17"/>
        <v>1</v>
      </c>
    </row>
    <row r="28" spans="1:29" ht="15">
      <c r="A28" s="428"/>
      <c r="B28" s="1384">
        <v>111</v>
      </c>
      <c r="C28" s="434"/>
      <c r="D28" s="435">
        <v>100</v>
      </c>
      <c r="E28" s="434"/>
      <c r="F28" s="435">
        <f>SUMIF(92:92,E28,93:93)-SUMIF(92:92,C28,93:93)+100</f>
        <v>100</v>
      </c>
      <c r="G28" s="2611"/>
      <c r="H28" s="435">
        <f>SUMIF(92:92,G28,93:93)-SUMIF(92:92,C28,93:93)+100</f>
        <v>100</v>
      </c>
      <c r="I28" s="434"/>
      <c r="J28" s="435">
        <f>SUMIF(92:92,I28,93:93)-SUMIF(92:92,C28,93:93)+100</f>
        <v>100</v>
      </c>
      <c r="K28" s="2597"/>
      <c r="L28" s="1138"/>
      <c r="M28" s="1129"/>
      <c r="N28" s="1129"/>
      <c r="O28" s="1129"/>
      <c r="P28" s="3294"/>
      <c r="Q28" s="1808">
        <f t="shared" si="11"/>
        <v>111</v>
      </c>
      <c r="R28" s="773" t="s">
        <v>21</v>
      </c>
      <c r="S28" s="774">
        <f t="shared" si="12"/>
        <v>100</v>
      </c>
      <c r="T28" s="773" t="s">
        <v>21</v>
      </c>
      <c r="U28" s="774">
        <f t="shared" si="13"/>
        <v>100</v>
      </c>
      <c r="V28" s="773" t="s">
        <v>21</v>
      </c>
      <c r="W28" s="774">
        <f t="shared" si="14"/>
        <v>100</v>
      </c>
      <c r="X28" s="1811"/>
      <c r="Y28" s="3227"/>
      <c r="Z28" s="1812">
        <f t="shared" ref="Z28:Z46" si="18">Q28</f>
        <v>111</v>
      </c>
      <c r="AA28" s="1809">
        <f t="shared" si="15"/>
        <v>1</v>
      </c>
      <c r="AB28" s="1809">
        <f t="shared" si="16"/>
        <v>1</v>
      </c>
      <c r="AC28" s="1809">
        <f t="shared" si="17"/>
        <v>1</v>
      </c>
    </row>
    <row r="29" spans="1:29" ht="15">
      <c r="A29" s="428"/>
      <c r="B29" s="1384">
        <v>111</v>
      </c>
      <c r="C29" s="434"/>
      <c r="D29" s="435">
        <v>100</v>
      </c>
      <c r="E29" s="434"/>
      <c r="F29" s="435">
        <f>SUMIF(94:94,E29,95:95)-SUMIF(94:94,C29,95:95)+100</f>
        <v>100</v>
      </c>
      <c r="G29" s="2611"/>
      <c r="H29" s="435">
        <f>SUMIF(94:94,G29,95:95)-SUMIF(94:94,C29,95:95)+100</f>
        <v>100</v>
      </c>
      <c r="I29" s="434"/>
      <c r="J29" s="435">
        <f>SUMIF(94:94,I29,95:95)-SUMIF(94:94,C29,95:95)+100</f>
        <v>100</v>
      </c>
      <c r="K29" s="2597"/>
      <c r="L29" s="1138"/>
      <c r="M29" s="1129"/>
      <c r="N29" s="1129"/>
      <c r="O29" s="1129"/>
      <c r="P29" s="3294"/>
      <c r="Q29" s="1808">
        <f t="shared" si="11"/>
        <v>111</v>
      </c>
      <c r="R29" s="773" t="s">
        <v>21</v>
      </c>
      <c r="S29" s="774">
        <f t="shared" si="12"/>
        <v>100</v>
      </c>
      <c r="T29" s="773" t="s">
        <v>21</v>
      </c>
      <c r="U29" s="774">
        <f t="shared" si="13"/>
        <v>100</v>
      </c>
      <c r="V29" s="773" t="s">
        <v>21</v>
      </c>
      <c r="W29" s="774">
        <f t="shared" si="14"/>
        <v>100</v>
      </c>
      <c r="X29" s="1811"/>
      <c r="Y29" s="3227"/>
      <c r="Z29" s="1812">
        <f t="shared" si="18"/>
        <v>111</v>
      </c>
      <c r="AA29" s="1809">
        <f t="shared" si="15"/>
        <v>1</v>
      </c>
      <c r="AB29" s="1809">
        <f t="shared" si="16"/>
        <v>1</v>
      </c>
      <c r="AC29" s="1809">
        <f t="shared" si="17"/>
        <v>1</v>
      </c>
    </row>
    <row r="30" spans="1:29" ht="15">
      <c r="A30" s="428"/>
      <c r="B30" s="1384">
        <v>111</v>
      </c>
      <c r="C30" s="434"/>
      <c r="D30" s="435">
        <v>100</v>
      </c>
      <c r="E30" s="434"/>
      <c r="F30" s="435">
        <f>SUMIF(96:96,E30,97:97)-SUMIF(96:96,C30,97:97)+100</f>
        <v>100</v>
      </c>
      <c r="G30" s="2611"/>
      <c r="H30" s="435">
        <f>SUMIF(96:96,G30,97:97)-SUMIF(96:96,C30,97:97)+100</f>
        <v>100</v>
      </c>
      <c r="I30" s="434"/>
      <c r="J30" s="435">
        <f>SUMIF(96:96,I30,97:97)-SUMIF(96:96,C30,97:97)+100</f>
        <v>100</v>
      </c>
      <c r="K30" s="2597"/>
      <c r="L30" s="1138"/>
      <c r="M30" s="1129"/>
      <c r="N30" s="1129"/>
      <c r="O30" s="1129"/>
      <c r="P30" s="3294"/>
      <c r="Q30" s="1808">
        <f t="shared" si="11"/>
        <v>111</v>
      </c>
      <c r="R30" s="773" t="s">
        <v>21</v>
      </c>
      <c r="S30" s="774">
        <f t="shared" si="12"/>
        <v>100</v>
      </c>
      <c r="T30" s="773" t="s">
        <v>21</v>
      </c>
      <c r="U30" s="774">
        <f t="shared" si="13"/>
        <v>100</v>
      </c>
      <c r="V30" s="773" t="s">
        <v>21</v>
      </c>
      <c r="W30" s="774">
        <f t="shared" si="14"/>
        <v>100</v>
      </c>
      <c r="X30" s="1811"/>
      <c r="Y30" s="3227"/>
      <c r="Z30" s="1812">
        <f t="shared" si="18"/>
        <v>111</v>
      </c>
      <c r="AA30" s="1809">
        <f t="shared" si="15"/>
        <v>1</v>
      </c>
      <c r="AB30" s="1809">
        <f t="shared" si="16"/>
        <v>1</v>
      </c>
      <c r="AC30" s="1809">
        <f t="shared" si="17"/>
        <v>1</v>
      </c>
    </row>
    <row r="31" spans="1:29" ht="15.75" thickBot="1">
      <c r="A31" s="436"/>
      <c r="B31" s="1384">
        <v>111</v>
      </c>
      <c r="C31" s="437"/>
      <c r="D31" s="438">
        <v>100</v>
      </c>
      <c r="E31" s="437"/>
      <c r="F31" s="438">
        <f>SUMIF(98:98,E31,99:99)-SUMIF(98:98,C31,99:99)+100</f>
        <v>100</v>
      </c>
      <c r="G31" s="2612"/>
      <c r="H31" s="438">
        <f>SUMIF(98:98,G31,99:99)-SUMIF(98:98,C31,99:99)+100</f>
        <v>100</v>
      </c>
      <c r="I31" s="437"/>
      <c r="J31" s="438">
        <f>SUMIF(98:98,I31,99:99)-SUMIF(98:98,C31,99:99)+100</f>
        <v>100</v>
      </c>
      <c r="K31" s="2597"/>
      <c r="L31" s="1138"/>
      <c r="M31" s="1129"/>
      <c r="N31" s="1129"/>
      <c r="O31" s="1129"/>
      <c r="P31" s="3294"/>
      <c r="Q31" s="1808">
        <f t="shared" si="11"/>
        <v>111</v>
      </c>
      <c r="R31" s="773" t="s">
        <v>21</v>
      </c>
      <c r="S31" s="774">
        <f t="shared" si="12"/>
        <v>100</v>
      </c>
      <c r="T31" s="773" t="s">
        <v>21</v>
      </c>
      <c r="U31" s="774">
        <f t="shared" si="13"/>
        <v>100</v>
      </c>
      <c r="V31" s="773" t="s">
        <v>21</v>
      </c>
      <c r="W31" s="774">
        <f t="shared" si="14"/>
        <v>100</v>
      </c>
      <c r="X31" s="1811"/>
      <c r="Y31" s="3227"/>
      <c r="Z31" s="1812">
        <f t="shared" si="18"/>
        <v>111</v>
      </c>
      <c r="AA31" s="1809">
        <f t="shared" si="15"/>
        <v>1</v>
      </c>
      <c r="AB31" s="1809">
        <f t="shared" si="16"/>
        <v>1</v>
      </c>
      <c r="AC31" s="1809">
        <f t="shared" si="17"/>
        <v>1</v>
      </c>
    </row>
    <row r="32" spans="1:29" ht="15">
      <c r="A32" s="440" t="s">
        <v>2563</v>
      </c>
      <c r="B32" s="71" t="s">
        <v>2564</v>
      </c>
      <c r="C32" s="2613"/>
      <c r="D32" s="467">
        <v>100</v>
      </c>
      <c r="E32" s="2614"/>
      <c r="F32" s="461">
        <f>SUMIF(100:100,E32,101:101)-SUMIF(100:100,C32,101:101)+100</f>
        <v>100</v>
      </c>
      <c r="G32" s="2613"/>
      <c r="H32" s="467">
        <f>SUMIF(100:100,G32,101:101)-SUMIF(100:100,C32,101:101)+100</f>
        <v>100</v>
      </c>
      <c r="I32" s="2614"/>
      <c r="J32" s="435">
        <f>SUMIF(100:100,I32,101:101)-SUMIF(100:100,C32,101:101)+100</f>
        <v>100</v>
      </c>
      <c r="K32" s="426"/>
      <c r="L32" s="1138"/>
      <c r="M32" s="1129"/>
      <c r="N32" s="1129"/>
      <c r="O32" s="1129"/>
      <c r="P32" s="3289" t="s">
        <v>2565</v>
      </c>
      <c r="Q32" s="1808" t="str">
        <f t="shared" si="11"/>
        <v>建筑类型</v>
      </c>
      <c r="R32" s="773" t="s">
        <v>21</v>
      </c>
      <c r="S32" s="774">
        <f t="shared" si="12"/>
        <v>100</v>
      </c>
      <c r="T32" s="773" t="s">
        <v>21</v>
      </c>
      <c r="U32" s="774">
        <f t="shared" si="13"/>
        <v>100</v>
      </c>
      <c r="V32" s="773" t="s">
        <v>21</v>
      </c>
      <c r="W32" s="774">
        <f t="shared" si="14"/>
        <v>100</v>
      </c>
      <c r="X32" s="1811"/>
      <c r="Y32" s="3229" t="s">
        <v>2565</v>
      </c>
      <c r="Z32" s="1812" t="str">
        <f t="shared" si="18"/>
        <v>建筑类型</v>
      </c>
      <c r="AA32" s="1809">
        <f t="shared" si="15"/>
        <v>1</v>
      </c>
      <c r="AB32" s="1809">
        <f t="shared" si="16"/>
        <v>1</v>
      </c>
      <c r="AC32" s="1809">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7"/>
      <c r="L33" s="1136"/>
      <c r="M33" s="1139"/>
      <c r="N33" s="1139"/>
      <c r="O33" s="1139"/>
      <c r="P33" s="3290"/>
      <c r="Q33" s="775" t="str">
        <f t="shared" si="11"/>
        <v>项目建筑规模</v>
      </c>
      <c r="R33" s="776" t="s">
        <v>21</v>
      </c>
      <c r="S33" s="777" t="e">
        <f t="shared" si="12"/>
        <v>#N/A</v>
      </c>
      <c r="T33" s="776" t="s">
        <v>21</v>
      </c>
      <c r="U33" s="777" t="e">
        <f t="shared" si="13"/>
        <v>#N/A</v>
      </c>
      <c r="V33" s="776" t="s">
        <v>21</v>
      </c>
      <c r="W33" s="777" t="e">
        <f t="shared" si="14"/>
        <v>#N/A</v>
      </c>
      <c r="X33" s="778"/>
      <c r="Y33" s="3229"/>
      <c r="Z33" s="779" t="str">
        <f t="shared" si="18"/>
        <v>项目建筑规模</v>
      </c>
      <c r="AA33" s="1809" t="e">
        <f t="shared" si="15"/>
        <v>#N/A</v>
      </c>
      <c r="AB33" s="1809" t="e">
        <f t="shared" si="16"/>
        <v>#N/A</v>
      </c>
      <c r="AC33" s="1809" t="e">
        <f t="shared" si="17"/>
        <v>#N/A</v>
      </c>
    </row>
    <row r="34" spans="1:29" ht="15">
      <c r="A34" s="472"/>
      <c r="B34" s="422" t="s">
        <v>2567</v>
      </c>
      <c r="C34" s="2615"/>
      <c r="D34" s="435">
        <v>100</v>
      </c>
      <c r="E34" s="2616"/>
      <c r="F34" s="461">
        <f>SUMIF(105:105,E34,106:106)-SUMIF(105:105,C34,106:106)+100</f>
        <v>100</v>
      </c>
      <c r="G34" s="2615"/>
      <c r="H34" s="435">
        <f>SUMIF(105:105,G34,106:106)-SUMIF(105:105,C34,106:106)+100</f>
        <v>100</v>
      </c>
      <c r="I34" s="2616"/>
      <c r="J34" s="435">
        <f>SUMIF(105:105,I34,106:106)-SUMIF(105:105,C34,106:106)+100</f>
        <v>100</v>
      </c>
      <c r="K34" s="426"/>
      <c r="L34" s="1138"/>
      <c r="M34" s="1129"/>
      <c r="N34" s="1129"/>
      <c r="O34" s="1129"/>
      <c r="P34" s="3290"/>
      <c r="Q34" s="1808" t="str">
        <f t="shared" si="11"/>
        <v>建筑结构</v>
      </c>
      <c r="R34" s="773" t="s">
        <v>21</v>
      </c>
      <c r="S34" s="774">
        <f t="shared" si="12"/>
        <v>100</v>
      </c>
      <c r="T34" s="773" t="s">
        <v>21</v>
      </c>
      <c r="U34" s="774">
        <f t="shared" si="13"/>
        <v>100</v>
      </c>
      <c r="V34" s="773" t="s">
        <v>21</v>
      </c>
      <c r="W34" s="774">
        <f t="shared" si="14"/>
        <v>100</v>
      </c>
      <c r="X34" s="1811"/>
      <c r="Y34" s="3229"/>
      <c r="Z34" s="1812" t="str">
        <f t="shared" si="18"/>
        <v>建筑结构</v>
      </c>
      <c r="AA34" s="1809">
        <f t="shared" si="15"/>
        <v>1</v>
      </c>
      <c r="AB34" s="1809">
        <f t="shared" si="16"/>
        <v>1</v>
      </c>
      <c r="AC34" s="1809">
        <f t="shared" si="17"/>
        <v>1</v>
      </c>
    </row>
    <row r="35" spans="1:29" ht="15">
      <c r="A35" s="472"/>
      <c r="B35" s="422" t="s">
        <v>2568</v>
      </c>
      <c r="C35" s="2609"/>
      <c r="D35" s="435">
        <v>100</v>
      </c>
      <c r="E35" s="2610"/>
      <c r="F35" s="461">
        <f>SUMIF(107:107,E35,108:108)-SUMIF(107:107,C35,108:108)+100</f>
        <v>100</v>
      </c>
      <c r="G35" s="2609"/>
      <c r="H35" s="435">
        <f>SUMIF(107:107,G35,108:108)-SUMIF(107:107,C35,108:108)+100</f>
        <v>100</v>
      </c>
      <c r="I35" s="2610"/>
      <c r="J35" s="435">
        <f>SUMIF(107:107,I35,108:108)-SUMIF(107:107,C35,108:108)+100</f>
        <v>100</v>
      </c>
      <c r="K35" s="426"/>
      <c r="L35" s="1138"/>
      <c r="M35" s="1129"/>
      <c r="N35" s="1129"/>
      <c r="O35" s="1129"/>
      <c r="P35" s="3290"/>
      <c r="Q35" s="1808" t="str">
        <f t="shared" si="11"/>
        <v>建筑品质</v>
      </c>
      <c r="R35" s="773" t="s">
        <v>21</v>
      </c>
      <c r="S35" s="774">
        <f t="shared" si="12"/>
        <v>100</v>
      </c>
      <c r="T35" s="773" t="s">
        <v>21</v>
      </c>
      <c r="U35" s="774">
        <f t="shared" si="13"/>
        <v>100</v>
      </c>
      <c r="V35" s="773" t="s">
        <v>21</v>
      </c>
      <c r="W35" s="774">
        <f t="shared" si="14"/>
        <v>100</v>
      </c>
      <c r="X35" s="1811"/>
      <c r="Y35" s="3229"/>
      <c r="Z35" s="1812" t="str">
        <f t="shared" si="18"/>
        <v>建筑品质</v>
      </c>
      <c r="AA35" s="1809">
        <f t="shared" si="15"/>
        <v>1</v>
      </c>
      <c r="AB35" s="1809">
        <f t="shared" si="16"/>
        <v>1</v>
      </c>
      <c r="AC35" s="1809">
        <f t="shared" si="17"/>
        <v>1</v>
      </c>
    </row>
    <row r="36" spans="1:29" ht="15">
      <c r="A36" s="472"/>
      <c r="B36" s="422" t="s">
        <v>2569</v>
      </c>
      <c r="C36" s="2609"/>
      <c r="D36" s="435">
        <v>100</v>
      </c>
      <c r="E36" s="2610"/>
      <c r="F36" s="461">
        <f>SUMIF(109:109,E36,110:110)-SUMIF(109:109,C36,110:110)+100</f>
        <v>100</v>
      </c>
      <c r="G36" s="2609"/>
      <c r="H36" s="435">
        <f>SUMIF(109:109,G36,110:110)-SUMIF(109:109,C36,110:110)+100</f>
        <v>100</v>
      </c>
      <c r="I36" s="2610"/>
      <c r="J36" s="435">
        <f>SUMIF(109:109,I36,110:110)-SUMIF(109:109,C36,110:110)+100</f>
        <v>100</v>
      </c>
      <c r="K36" s="426"/>
      <c r="L36" s="1138"/>
      <c r="M36" s="1129"/>
      <c r="N36" s="1129"/>
      <c r="O36" s="1129"/>
      <c r="P36" s="3290"/>
      <c r="Q36" s="1808" t="str">
        <f t="shared" si="11"/>
        <v>公共部分装修</v>
      </c>
      <c r="R36" s="773" t="s">
        <v>21</v>
      </c>
      <c r="S36" s="774">
        <f t="shared" si="12"/>
        <v>100</v>
      </c>
      <c r="T36" s="773" t="s">
        <v>21</v>
      </c>
      <c r="U36" s="774">
        <f t="shared" si="13"/>
        <v>100</v>
      </c>
      <c r="V36" s="773" t="s">
        <v>21</v>
      </c>
      <c r="W36" s="774">
        <f t="shared" si="14"/>
        <v>100</v>
      </c>
      <c r="X36" s="1811"/>
      <c r="Y36" s="3229"/>
      <c r="Z36" s="1812" t="str">
        <f t="shared" si="18"/>
        <v>公共部分装修</v>
      </c>
      <c r="AA36" s="1809">
        <f t="shared" si="15"/>
        <v>1</v>
      </c>
      <c r="AB36" s="1809">
        <f t="shared" si="16"/>
        <v>1</v>
      </c>
      <c r="AC36" s="1809">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290"/>
      <c r="Q37" s="1793" t="str">
        <f t="shared" si="11"/>
        <v>成新度</v>
      </c>
      <c r="R37" s="769" t="s">
        <v>21</v>
      </c>
      <c r="S37" s="770" t="e">
        <f t="shared" si="12"/>
        <v>#N/A</v>
      </c>
      <c r="T37" s="769" t="s">
        <v>21</v>
      </c>
      <c r="U37" s="770" t="e">
        <f t="shared" si="13"/>
        <v>#N/A</v>
      </c>
      <c r="V37" s="769" t="s">
        <v>21</v>
      </c>
      <c r="W37" s="770" t="e">
        <f t="shared" si="14"/>
        <v>#N/A</v>
      </c>
      <c r="X37" s="771"/>
      <c r="Y37" s="3229"/>
      <c r="Z37" s="55" t="str">
        <f t="shared" si="18"/>
        <v>成新度</v>
      </c>
      <c r="AA37" s="772" t="e">
        <f t="shared" si="15"/>
        <v>#N/A</v>
      </c>
      <c r="AB37" s="772" t="e">
        <f t="shared" si="16"/>
        <v>#N/A</v>
      </c>
      <c r="AC37" s="772" t="e">
        <f t="shared" si="17"/>
        <v>#N/A</v>
      </c>
    </row>
    <row r="38" spans="1:29" ht="15">
      <c r="A38" s="472"/>
      <c r="B38" s="422" t="s">
        <v>2571</v>
      </c>
      <c r="C38" s="2609"/>
      <c r="D38" s="435">
        <v>100</v>
      </c>
      <c r="E38" s="2610"/>
      <c r="F38" s="461">
        <f>SUMIF(114:114,E38,115:115)-SUMIF(114:114,C38,115:115)+100</f>
        <v>100</v>
      </c>
      <c r="G38" s="2609"/>
      <c r="H38" s="435">
        <f>SUMIF(114:114,G38,115:115)-SUMIF(114:114,C38,115:115)+100</f>
        <v>100</v>
      </c>
      <c r="I38" s="2610"/>
      <c r="J38" s="435">
        <f>SUMIF(114:114,I38,115:115)-SUMIF(114:114,C38,115:115)+100</f>
        <v>100</v>
      </c>
      <c r="K38" s="426"/>
      <c r="L38" s="1138"/>
      <c r="M38" s="1129"/>
      <c r="N38" s="1129"/>
      <c r="O38" s="1129"/>
      <c r="P38" s="3290" t="s">
        <v>2565</v>
      </c>
      <c r="Q38" s="1808" t="str">
        <f t="shared" si="11"/>
        <v>物业管理</v>
      </c>
      <c r="R38" s="773" t="s">
        <v>21</v>
      </c>
      <c r="S38" s="774">
        <f t="shared" si="12"/>
        <v>100</v>
      </c>
      <c r="T38" s="773" t="s">
        <v>21</v>
      </c>
      <c r="U38" s="774">
        <f t="shared" si="13"/>
        <v>100</v>
      </c>
      <c r="V38" s="773" t="s">
        <v>21</v>
      </c>
      <c r="W38" s="774">
        <f t="shared" si="14"/>
        <v>100</v>
      </c>
      <c r="X38" s="1811"/>
      <c r="Y38" s="3229" t="s">
        <v>2565</v>
      </c>
      <c r="Z38" s="1812" t="str">
        <f t="shared" si="18"/>
        <v>物业管理</v>
      </c>
      <c r="AA38" s="1809">
        <f t="shared" si="15"/>
        <v>1</v>
      </c>
      <c r="AB38" s="1809">
        <f t="shared" si="16"/>
        <v>1</v>
      </c>
      <c r="AC38" s="1809">
        <f t="shared" si="17"/>
        <v>1</v>
      </c>
    </row>
    <row r="39" spans="1:29" ht="15">
      <c r="A39" s="472"/>
      <c r="B39" s="422" t="s">
        <v>2572</v>
      </c>
      <c r="C39" s="2609"/>
      <c r="D39" s="435">
        <v>100</v>
      </c>
      <c r="E39" s="2610"/>
      <c r="F39" s="461">
        <f>SUMIF(116:116,E39,117:117)-SUMIF(116:116,C39,117:117)+100</f>
        <v>100</v>
      </c>
      <c r="G39" s="2609"/>
      <c r="H39" s="435">
        <f>SUMIF(116:116,G39,117:117)-SUMIF(116:116,C39,117:117)+100</f>
        <v>100</v>
      </c>
      <c r="I39" s="2610"/>
      <c r="J39" s="435">
        <f>SUMIF(116:116,I39,117:117)-SUMIF(116:116,C39,117:117)+100</f>
        <v>100</v>
      </c>
      <c r="K39" s="426"/>
      <c r="L39" s="1138"/>
      <c r="M39" s="1129"/>
      <c r="N39" s="1129"/>
      <c r="O39" s="1129"/>
      <c r="P39" s="3290"/>
      <c r="Q39" s="1808" t="str">
        <f t="shared" si="11"/>
        <v>市政基础设施</v>
      </c>
      <c r="R39" s="773" t="s">
        <v>21</v>
      </c>
      <c r="S39" s="774">
        <f t="shared" si="12"/>
        <v>100</v>
      </c>
      <c r="T39" s="773" t="s">
        <v>21</v>
      </c>
      <c r="U39" s="774">
        <f t="shared" si="13"/>
        <v>100</v>
      </c>
      <c r="V39" s="773" t="s">
        <v>21</v>
      </c>
      <c r="W39" s="774">
        <f t="shared" si="14"/>
        <v>100</v>
      </c>
      <c r="X39" s="1811"/>
      <c r="Y39" s="3229"/>
      <c r="Z39" s="1812" t="str">
        <f t="shared" si="18"/>
        <v>市政基础设施</v>
      </c>
      <c r="AA39" s="1809">
        <f t="shared" si="15"/>
        <v>1</v>
      </c>
      <c r="AB39" s="1809">
        <f t="shared" si="16"/>
        <v>1</v>
      </c>
      <c r="AC39" s="1809">
        <f t="shared" si="17"/>
        <v>1</v>
      </c>
    </row>
    <row r="40" spans="1:29" ht="15">
      <c r="A40" s="472"/>
      <c r="B40" s="422" t="s">
        <v>2573</v>
      </c>
      <c r="C40" s="2609"/>
      <c r="D40" s="435">
        <v>100</v>
      </c>
      <c r="E40" s="2610"/>
      <c r="F40" s="461">
        <f>SUMIF(118:118,E40,119:119)-SUMIF(118:118,C40,119:119)+100</f>
        <v>100</v>
      </c>
      <c r="G40" s="2609"/>
      <c r="H40" s="435">
        <f>SUMIF(118:118,G40,119:119)-SUMIF(118:118,C40,119:119)+100</f>
        <v>100</v>
      </c>
      <c r="I40" s="2610"/>
      <c r="J40" s="435">
        <f>SUMIF(118:118,I40,119:119)-SUMIF(118:118,C40,119:119)+100</f>
        <v>100</v>
      </c>
      <c r="K40" s="426"/>
      <c r="L40" s="1138"/>
      <c r="M40" s="1129"/>
      <c r="N40" s="1129"/>
      <c r="O40" s="1129"/>
      <c r="P40" s="3290"/>
      <c r="Q40" s="1808" t="str">
        <f t="shared" si="11"/>
        <v>房型</v>
      </c>
      <c r="R40" s="773" t="s">
        <v>21</v>
      </c>
      <c r="S40" s="774">
        <f t="shared" si="12"/>
        <v>100</v>
      </c>
      <c r="T40" s="773" t="s">
        <v>21</v>
      </c>
      <c r="U40" s="774">
        <f t="shared" si="13"/>
        <v>100</v>
      </c>
      <c r="V40" s="773" t="s">
        <v>21</v>
      </c>
      <c r="W40" s="774">
        <f t="shared" si="14"/>
        <v>100</v>
      </c>
      <c r="X40" s="1811"/>
      <c r="Y40" s="3229"/>
      <c r="Z40" s="1812" t="str">
        <f t="shared" si="18"/>
        <v>房型</v>
      </c>
      <c r="AA40" s="1809">
        <f t="shared" si="15"/>
        <v>1</v>
      </c>
      <c r="AB40" s="1809">
        <f t="shared" si="16"/>
        <v>1</v>
      </c>
      <c r="AC40" s="1809">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7"/>
      <c r="L41" s="1136"/>
      <c r="M41" s="1139"/>
      <c r="N41" s="1139"/>
      <c r="O41" s="1139"/>
      <c r="P41" s="3290"/>
      <c r="Q41" s="775" t="str">
        <f t="shared" si="11"/>
        <v>单套/主力户型建筑面积</v>
      </c>
      <c r="R41" s="776" t="s">
        <v>21</v>
      </c>
      <c r="S41" s="777">
        <f t="shared" si="12"/>
        <v>100</v>
      </c>
      <c r="T41" s="776" t="s">
        <v>21</v>
      </c>
      <c r="U41" s="777">
        <f t="shared" si="13"/>
        <v>100</v>
      </c>
      <c r="V41" s="776" t="s">
        <v>21</v>
      </c>
      <c r="W41" s="777">
        <f t="shared" si="14"/>
        <v>100</v>
      </c>
      <c r="X41" s="778"/>
      <c r="Y41" s="3229"/>
      <c r="Z41" s="779" t="str">
        <f t="shared" si="18"/>
        <v>单套/主力户型建筑面积</v>
      </c>
      <c r="AA41" s="1809">
        <f t="shared" si="15"/>
        <v>1</v>
      </c>
      <c r="AB41" s="1809">
        <f t="shared" si="16"/>
        <v>1</v>
      </c>
      <c r="AC41" s="1809">
        <f t="shared" si="17"/>
        <v>1</v>
      </c>
    </row>
    <row r="42" spans="1:29" ht="15">
      <c r="A42" s="472"/>
      <c r="B42" s="422" t="s">
        <v>2575</v>
      </c>
      <c r="C42" s="2609"/>
      <c r="D42" s="435">
        <v>100</v>
      </c>
      <c r="E42" s="2610"/>
      <c r="F42" s="461">
        <f>SUMIF(122:122,E42,123:123)-SUMIF(122:122,C42,123:123)+100</f>
        <v>100</v>
      </c>
      <c r="G42" s="2609"/>
      <c r="H42" s="435">
        <f>SUMIF(122:122,G42,123:123)-SUMIF(122:122,C42,123:123)+100</f>
        <v>100</v>
      </c>
      <c r="I42" s="2610"/>
      <c r="J42" s="435">
        <f>SUMIF(122:122,I42,123:123)-SUMIF(122:122,C42,123:123)+100</f>
        <v>100</v>
      </c>
      <c r="K42" s="426"/>
      <c r="L42" s="1138"/>
      <c r="M42" s="1129"/>
      <c r="N42" s="1129"/>
      <c r="O42" s="1129"/>
      <c r="P42" s="3290"/>
      <c r="Q42" s="1808" t="str">
        <f t="shared" si="11"/>
        <v>内部装修</v>
      </c>
      <c r="R42" s="773" t="s">
        <v>21</v>
      </c>
      <c r="S42" s="774">
        <f t="shared" si="12"/>
        <v>100</v>
      </c>
      <c r="T42" s="773" t="s">
        <v>21</v>
      </c>
      <c r="U42" s="774">
        <f t="shared" si="13"/>
        <v>100</v>
      </c>
      <c r="V42" s="773" t="s">
        <v>21</v>
      </c>
      <c r="W42" s="774">
        <f t="shared" si="14"/>
        <v>100</v>
      </c>
      <c r="X42" s="1811"/>
      <c r="Y42" s="3229"/>
      <c r="Z42" s="1812" t="str">
        <f t="shared" si="18"/>
        <v>内部装修</v>
      </c>
      <c r="AA42" s="1809">
        <f t="shared" si="15"/>
        <v>1</v>
      </c>
      <c r="AB42" s="1809">
        <f t="shared" si="16"/>
        <v>1</v>
      </c>
      <c r="AC42" s="1809">
        <f t="shared" si="17"/>
        <v>1</v>
      </c>
    </row>
    <row r="43" spans="1:29" ht="15">
      <c r="A43" s="472"/>
      <c r="B43" s="422" t="s">
        <v>2576</v>
      </c>
      <c r="C43" s="2609"/>
      <c r="D43" s="435">
        <v>100</v>
      </c>
      <c r="E43" s="2610"/>
      <c r="F43" s="461">
        <f>SUMIF(124:124,E43,125:125)-SUMIF(124:124,C43,125:125)+100</f>
        <v>100</v>
      </c>
      <c r="G43" s="2609"/>
      <c r="H43" s="435">
        <f>SUMIF(124:124,G43,125:125)-SUMIF(124:124,C43,125:125)+100</f>
        <v>100</v>
      </c>
      <c r="I43" s="2610"/>
      <c r="J43" s="435">
        <f>SUMIF(124:124,I43,125:125)-SUMIF(124:124,C43,125:125)+100</f>
        <v>100</v>
      </c>
      <c r="K43" s="426"/>
      <c r="L43" s="1138"/>
      <c r="M43" s="1129"/>
      <c r="N43" s="1129"/>
      <c r="O43" s="1129"/>
      <c r="P43" s="3290"/>
      <c r="Q43" s="1808" t="str">
        <f t="shared" si="11"/>
        <v>内部装修维护情况</v>
      </c>
      <c r="R43" s="773" t="s">
        <v>21</v>
      </c>
      <c r="S43" s="774">
        <f t="shared" si="12"/>
        <v>100</v>
      </c>
      <c r="T43" s="773" t="s">
        <v>21</v>
      </c>
      <c r="U43" s="774">
        <f t="shared" si="13"/>
        <v>100</v>
      </c>
      <c r="V43" s="773" t="s">
        <v>21</v>
      </c>
      <c r="W43" s="774">
        <f t="shared" si="14"/>
        <v>100</v>
      </c>
      <c r="X43" s="1811"/>
      <c r="Y43" s="3229"/>
      <c r="Z43" s="1812" t="str">
        <f t="shared" si="18"/>
        <v>内部装修维护情况</v>
      </c>
      <c r="AA43" s="1809">
        <f t="shared" si="15"/>
        <v>1</v>
      </c>
      <c r="AB43" s="1809">
        <f t="shared" si="16"/>
        <v>1</v>
      </c>
      <c r="AC43" s="1809">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7"/>
      <c r="L44" s="1130"/>
      <c r="M44" s="1131"/>
      <c r="N44" s="1131"/>
      <c r="O44" s="1131"/>
      <c r="P44" s="3290"/>
      <c r="Q44" s="1793">
        <f t="shared" si="11"/>
        <v>111</v>
      </c>
      <c r="R44" s="769" t="s">
        <v>21</v>
      </c>
      <c r="S44" s="770">
        <f t="shared" si="12"/>
        <v>100</v>
      </c>
      <c r="T44" s="769" t="s">
        <v>21</v>
      </c>
      <c r="U44" s="770">
        <f t="shared" si="13"/>
        <v>100</v>
      </c>
      <c r="V44" s="769" t="s">
        <v>21</v>
      </c>
      <c r="W44" s="770">
        <f t="shared" si="14"/>
        <v>100</v>
      </c>
      <c r="X44" s="771"/>
      <c r="Y44" s="3229"/>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7"/>
      <c r="L45" s="1138"/>
      <c r="M45" s="1129"/>
      <c r="N45" s="1129"/>
      <c r="O45" s="1129"/>
      <c r="P45" s="3290"/>
      <c r="Q45" s="1808">
        <f t="shared" si="11"/>
        <v>111</v>
      </c>
      <c r="R45" s="773" t="s">
        <v>21</v>
      </c>
      <c r="S45" s="774">
        <f t="shared" si="12"/>
        <v>100</v>
      </c>
      <c r="T45" s="773" t="s">
        <v>21</v>
      </c>
      <c r="U45" s="774">
        <f t="shared" si="13"/>
        <v>100</v>
      </c>
      <c r="V45" s="773" t="s">
        <v>21</v>
      </c>
      <c r="W45" s="774">
        <f t="shared" si="14"/>
        <v>100</v>
      </c>
      <c r="X45" s="1811"/>
      <c r="Y45" s="3229"/>
      <c r="Z45" s="1812">
        <f t="shared" si="18"/>
        <v>111</v>
      </c>
      <c r="AA45" s="1809">
        <f t="shared" si="15"/>
        <v>1</v>
      </c>
      <c r="AB45" s="1809">
        <f t="shared" si="16"/>
        <v>1</v>
      </c>
      <c r="AC45" s="1809">
        <f t="shared" si="17"/>
        <v>1</v>
      </c>
    </row>
    <row r="46" spans="1:29" ht="15.75" thickBot="1">
      <c r="A46" s="478"/>
      <c r="B46" s="2598">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7"/>
      <c r="L46" s="1138"/>
      <c r="M46" s="1129"/>
      <c r="N46" s="1129"/>
      <c r="O46" s="1129"/>
      <c r="P46" s="3291"/>
      <c r="Q46" s="1808">
        <f t="shared" si="11"/>
        <v>111</v>
      </c>
      <c r="R46" s="773" t="s">
        <v>20</v>
      </c>
      <c r="S46" s="774">
        <f t="shared" si="12"/>
        <v>100</v>
      </c>
      <c r="T46" s="773" t="s">
        <v>20</v>
      </c>
      <c r="U46" s="774">
        <f t="shared" si="13"/>
        <v>100</v>
      </c>
      <c r="V46" s="773" t="s">
        <v>20</v>
      </c>
      <c r="W46" s="774">
        <f t="shared" si="14"/>
        <v>100</v>
      </c>
      <c r="X46" s="1811"/>
      <c r="Y46" s="3292"/>
      <c r="Z46" s="1812">
        <f t="shared" si="18"/>
        <v>111</v>
      </c>
      <c r="AA46" s="1809">
        <f t="shared" si="15"/>
        <v>1</v>
      </c>
      <c r="AB46" s="1809">
        <f t="shared" si="16"/>
        <v>1</v>
      </c>
      <c r="AC46" s="1809">
        <f t="shared" si="17"/>
        <v>1</v>
      </c>
    </row>
    <row r="47" spans="1:29" ht="15">
      <c r="A47" s="479" t="s">
        <v>2577</v>
      </c>
      <c r="B47" s="480"/>
      <c r="C47" s="1405" t="s">
        <v>19</v>
      </c>
      <c r="D47" s="1406"/>
      <c r="E47" s="1407"/>
      <c r="F47" s="1408"/>
      <c r="G47" s="1409"/>
      <c r="H47" s="1410"/>
      <c r="I47" s="1407"/>
      <c r="J47" s="1410"/>
      <c r="K47" s="2617"/>
      <c r="L47" s="1141"/>
      <c r="M47" s="1142"/>
      <c r="N47" s="1129"/>
      <c r="O47" s="1142"/>
      <c r="P47" s="3224" t="str">
        <f>A47</f>
        <v>成交单价（元/平方米）</v>
      </c>
      <c r="Q47" s="3224"/>
      <c r="R47" s="3288">
        <f>E47</f>
        <v>0</v>
      </c>
      <c r="S47" s="3288"/>
      <c r="T47" s="3288">
        <f>G47</f>
        <v>0</v>
      </c>
      <c r="U47" s="3288"/>
      <c r="V47" s="3288">
        <f>I47</f>
        <v>0</v>
      </c>
      <c r="W47" s="3288"/>
      <c r="X47" s="758"/>
      <c r="Y47" s="780"/>
      <c r="Z47" s="758"/>
      <c r="AA47" s="758"/>
      <c r="AB47" s="758"/>
      <c r="AC47" s="758"/>
    </row>
    <row r="48" spans="1:29" ht="15.75" thickBot="1">
      <c r="A48" s="486" t="s">
        <v>2578</v>
      </c>
      <c r="B48" s="487"/>
      <c r="C48" s="1411" t="e">
        <f>R49</f>
        <v>#DIV/0!</v>
      </c>
      <c r="D48" s="1412"/>
      <c r="E48" s="1413" t="e">
        <f>R48</f>
        <v>#DIV/0!</v>
      </c>
      <c r="F48" s="1413"/>
      <c r="G48" s="1411" t="e">
        <f>T48</f>
        <v>#DIV/0!</v>
      </c>
      <c r="H48" s="1412"/>
      <c r="I48" s="1413" t="e">
        <f>V48</f>
        <v>#DIV/0!</v>
      </c>
      <c r="J48" s="1412"/>
      <c r="K48" s="2618"/>
      <c r="L48" s="1141"/>
      <c r="M48" s="1142"/>
      <c r="N48" s="1142"/>
      <c r="O48" s="1142"/>
      <c r="P48" s="3224" t="str">
        <f>A48</f>
        <v>比较价值（元/平方米）</v>
      </c>
      <c r="Q48" s="3224"/>
      <c r="R48" s="3288" t="e">
        <f>IF(F1="售价",ROUND(PRODUCT(R47,AA7:AA46),0),ROUND(PRODUCT(R47,AA7:AA46),1))</f>
        <v>#DIV/0!</v>
      </c>
      <c r="S48" s="3288"/>
      <c r="T48" s="3288" t="e">
        <f>IF(F1="售价",ROUND(PRODUCT(T47,AB7:AB46),0),ROUND(PRODUCT(T47,AB7:AB46),1))</f>
        <v>#DIV/0!</v>
      </c>
      <c r="U48" s="3288"/>
      <c r="V48" s="3288" t="e">
        <f>IF(F1="售价",ROUND(PRODUCT(V47,AC7:AC46),0),ROUND(PRODUCT(V47,AC7:AC46),1))</f>
        <v>#DIV/0!</v>
      </c>
      <c r="W48" s="3288"/>
      <c r="X48" s="758"/>
      <c r="Y48" s="758"/>
      <c r="Z48" s="758"/>
      <c r="AA48" s="758"/>
      <c r="AB48" s="758"/>
      <c r="AC48" s="758"/>
    </row>
    <row r="49" spans="1:29" ht="15.75" thickBot="1">
      <c r="A49" s="492" t="s">
        <v>2579</v>
      </c>
      <c r="B49" s="493"/>
      <c r="C49" s="1414" t="e">
        <f>R49</f>
        <v>#DIV/0!</v>
      </c>
      <c r="D49" s="1415"/>
      <c r="E49" s="1415"/>
      <c r="F49" s="1415"/>
      <c r="G49" s="1415"/>
      <c r="H49" s="1415"/>
      <c r="I49" s="1415"/>
      <c r="J49" s="1415"/>
      <c r="K49" s="2619"/>
      <c r="L49" s="1141"/>
      <c r="M49" s="1142"/>
      <c r="N49" s="1142"/>
      <c r="O49" s="1142"/>
      <c r="P49" s="3218" t="str">
        <f>A49</f>
        <v>估价对象XX用房的比较价值（楼面单价，元/平方米）</v>
      </c>
      <c r="Q49" s="3219"/>
      <c r="R49" s="3287" t="e">
        <f>IF(F1="售价",ROUND(AVERAGE(R48:V48),0),ROUND(AVERAGE(R48:V48),1))</f>
        <v>#DIV/0!</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2"/>
      <c r="N52" s="1142"/>
      <c r="O52" s="1142"/>
    </row>
    <row r="53" spans="1:29" ht="13.5" customHeight="1">
      <c r="A53" s="1142"/>
      <c r="B53" s="1142"/>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2"/>
      <c r="N53" s="1142"/>
      <c r="O53" s="1142"/>
    </row>
    <row r="54" spans="1:29" s="502" customFormat="1" ht="13.5" customHeight="1">
      <c r="A54" s="1143"/>
      <c r="B54" s="1143"/>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21"/>
    </row>
    <row r="55" spans="1:29" s="502" customFormat="1">
      <c r="A55" s="1143"/>
      <c r="B55" s="1144"/>
      <c r="C55" s="1148"/>
      <c r="D55" s="1143"/>
      <c r="E55" s="1143"/>
      <c r="F55" s="1143"/>
      <c r="G55" s="1143"/>
      <c r="H55" s="1143"/>
      <c r="I55" s="1143"/>
      <c r="J55" s="1143"/>
      <c r="K55" s="1146"/>
      <c r="L55" s="1147"/>
      <c r="M55" s="1143"/>
      <c r="N55" s="1143"/>
      <c r="O55" s="1143"/>
      <c r="P55" s="2621"/>
    </row>
    <row r="56" spans="1:29">
      <c r="A56" s="1142"/>
      <c r="B56" s="1144"/>
      <c r="C56" s="1148"/>
      <c r="D56" s="1142"/>
      <c r="E56" s="1142"/>
      <c r="F56" s="1142"/>
      <c r="G56" s="1142"/>
      <c r="H56" s="1142"/>
      <c r="I56" s="1142"/>
      <c r="J56" s="1142"/>
      <c r="K56" s="1103"/>
      <c r="L56" s="1104"/>
      <c r="M56" s="1142"/>
      <c r="N56" s="1142"/>
      <c r="O56" s="1142"/>
    </row>
    <row r="57" spans="1:29" ht="21.75" thickBot="1">
      <c r="A57" s="762" t="s">
        <v>2583</v>
      </c>
      <c r="B57" s="758"/>
      <c r="C57" s="763"/>
      <c r="D57" s="763"/>
      <c r="E57" s="763"/>
      <c r="F57" s="764"/>
      <c r="G57" s="764"/>
      <c r="H57" s="763"/>
      <c r="I57" s="763"/>
      <c r="J57" s="763"/>
      <c r="K57" s="1158"/>
      <c r="L57" s="1159"/>
      <c r="M57" s="1157"/>
      <c r="N57" s="1157"/>
      <c r="O57" s="1157"/>
      <c r="P57" s="2622"/>
      <c r="Q57" s="504"/>
    </row>
    <row r="58" spans="1:29" s="508" customFormat="1" ht="15">
      <c r="A58" s="505" t="s">
        <v>2584</v>
      </c>
      <c r="B58" s="506"/>
      <c r="C58" s="1574" t="str">
        <f>YEAR(C7)&amp;"-"&amp;MONTH(C7)</f>
        <v>2019-9</v>
      </c>
      <c r="D58" s="1573">
        <f>EDATE(C58,-1)</f>
        <v>43678</v>
      </c>
      <c r="E58" s="1573">
        <f>EDATE(D58,-1)</f>
        <v>43647</v>
      </c>
      <c r="F58" s="1573">
        <f t="shared" ref="F58:O58" si="19">EDATE(E58,-1)</f>
        <v>43617</v>
      </c>
      <c r="G58" s="1573">
        <f t="shared" si="19"/>
        <v>43586</v>
      </c>
      <c r="H58" s="1573">
        <f t="shared" si="19"/>
        <v>43556</v>
      </c>
      <c r="I58" s="1573">
        <f t="shared" si="19"/>
        <v>43525</v>
      </c>
      <c r="J58" s="1573">
        <f t="shared" si="19"/>
        <v>43497</v>
      </c>
      <c r="K58" s="1573">
        <f t="shared" si="19"/>
        <v>43466</v>
      </c>
      <c r="L58" s="1573">
        <f t="shared" si="19"/>
        <v>43435</v>
      </c>
      <c r="M58" s="1573">
        <f t="shared" si="19"/>
        <v>43405</v>
      </c>
      <c r="N58" s="1573">
        <f t="shared" si="19"/>
        <v>43374</v>
      </c>
      <c r="O58" s="1573">
        <f t="shared" si="19"/>
        <v>43344</v>
      </c>
      <c r="P58" s="1568"/>
    </row>
    <row r="59" spans="1:29" s="117" customFormat="1" ht="15">
      <c r="A59" s="509"/>
      <c r="B59" s="2623"/>
      <c r="C59" s="1571">
        <v>100</v>
      </c>
      <c r="D59" s="511"/>
      <c r="E59" s="512"/>
      <c r="F59" s="512"/>
      <c r="G59" s="512"/>
      <c r="H59" s="512"/>
      <c r="I59" s="512"/>
      <c r="J59" s="512"/>
      <c r="K59" s="512"/>
      <c r="L59" s="512"/>
      <c r="M59" s="513"/>
      <c r="N59" s="512"/>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2586</v>
      </c>
      <c r="B61" s="510"/>
      <c r="C61" s="522" t="s">
        <v>2587</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f>C9</f>
        <v>0</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26"/>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26"/>
      <c r="Q67" s="504"/>
    </row>
    <row r="68" spans="1:17" ht="15">
      <c r="A68" s="534"/>
      <c r="B68" s="548"/>
      <c r="C68" s="549"/>
      <c r="D68" s="549"/>
      <c r="E68" s="549"/>
      <c r="F68" s="549"/>
      <c r="G68" s="549"/>
      <c r="H68" s="549"/>
      <c r="I68" s="549"/>
      <c r="J68" s="549"/>
      <c r="K68" s="550"/>
      <c r="L68" s="551"/>
      <c r="M68" s="552"/>
      <c r="N68" s="1150"/>
      <c r="O68" s="1150"/>
      <c r="P68" s="2626"/>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26"/>
      <c r="Q69" s="504"/>
    </row>
    <row r="70" spans="1:17" s="471" customFormat="1" ht="15.75" thickTop="1">
      <c r="A70" s="553"/>
      <c r="B70" s="538">
        <f>B12</f>
        <v>111</v>
      </c>
      <c r="C70" s="554"/>
      <c r="D70" s="554"/>
      <c r="E70" s="554"/>
      <c r="F70" s="554"/>
      <c r="G70" s="554"/>
      <c r="H70" s="555"/>
      <c r="I70" s="555"/>
      <c r="J70" s="555"/>
      <c r="K70" s="555"/>
      <c r="L70" s="556"/>
      <c r="M70" s="557"/>
      <c r="N70" s="1152"/>
      <c r="O70" s="1152"/>
      <c r="P70" s="2627"/>
      <c r="Q70" s="559"/>
    </row>
    <row r="71" spans="1:17" s="471" customFormat="1" ht="15.75" thickBot="1">
      <c r="A71" s="553"/>
      <c r="B71" s="543"/>
      <c r="C71" s="560"/>
      <c r="D71" s="536"/>
      <c r="E71" s="536"/>
      <c r="F71" s="536"/>
      <c r="G71" s="536"/>
      <c r="H71" s="536"/>
      <c r="I71" s="536"/>
      <c r="J71" s="536"/>
      <c r="K71" s="536"/>
      <c r="L71" s="536"/>
      <c r="M71" s="537"/>
      <c r="N71" s="1151"/>
      <c r="O71" s="1151"/>
      <c r="P71" s="2627"/>
      <c r="Q71" s="559"/>
    </row>
    <row r="72" spans="1:17" s="471" customFormat="1" ht="15.75" thickTop="1">
      <c r="A72" s="553"/>
      <c r="B72" s="538">
        <f>B13</f>
        <v>111</v>
      </c>
      <c r="C72" s="554"/>
      <c r="D72" s="554"/>
      <c r="E72" s="554"/>
      <c r="F72" s="554"/>
      <c r="G72" s="554"/>
      <c r="H72" s="555"/>
      <c r="I72" s="555"/>
      <c r="J72" s="555"/>
      <c r="K72" s="555"/>
      <c r="L72" s="556"/>
      <c r="M72" s="557"/>
      <c r="N72" s="1152"/>
      <c r="O72" s="1152"/>
      <c r="P72" s="2628"/>
      <c r="Q72" s="561"/>
    </row>
    <row r="73" spans="1:17" s="471" customFormat="1" ht="15.75" thickBot="1">
      <c r="A73" s="553"/>
      <c r="B73" s="543"/>
      <c r="C73" s="560"/>
      <c r="D73" s="560"/>
      <c r="E73" s="560"/>
      <c r="F73" s="560"/>
      <c r="G73" s="560"/>
      <c r="H73" s="562"/>
      <c r="I73" s="562"/>
      <c r="J73" s="562"/>
      <c r="K73" s="562"/>
      <c r="L73" s="562"/>
      <c r="M73" s="563"/>
      <c r="N73" s="1152"/>
      <c r="O73" s="1152"/>
      <c r="P73" s="2627"/>
      <c r="Q73" s="559"/>
    </row>
    <row r="74" spans="1:17" s="471" customFormat="1" ht="15.75" thickTop="1">
      <c r="A74" s="553"/>
      <c r="B74" s="546">
        <f>B14</f>
        <v>111</v>
      </c>
      <c r="C74" s="554"/>
      <c r="D74" s="554"/>
      <c r="E74" s="554"/>
      <c r="F74" s="554"/>
      <c r="G74" s="523"/>
      <c r="H74" s="564"/>
      <c r="I74" s="564"/>
      <c r="J74" s="564"/>
      <c r="K74" s="564"/>
      <c r="L74" s="565"/>
      <c r="M74" s="566"/>
      <c r="N74" s="1152"/>
      <c r="O74" s="1152"/>
      <c r="P74" s="2629"/>
      <c r="Q74" s="559"/>
    </row>
    <row r="75" spans="1:17" s="471" customFormat="1" ht="15.75" thickBot="1">
      <c r="A75" s="568"/>
      <c r="B75" s="569"/>
      <c r="C75" s="570"/>
      <c r="D75" s="570"/>
      <c r="E75" s="570"/>
      <c r="F75" s="570"/>
      <c r="G75" s="570"/>
      <c r="H75" s="571"/>
      <c r="I75" s="571"/>
      <c r="J75" s="571"/>
      <c r="K75" s="571"/>
      <c r="L75" s="571"/>
      <c r="M75" s="572"/>
      <c r="N75" s="1152"/>
      <c r="O75" s="1152"/>
      <c r="P75" s="2627"/>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6"/>
      <c r="Q81" s="504"/>
    </row>
    <row r="82" spans="1:17" ht="15.75" thickTop="1">
      <c r="A82" s="534"/>
      <c r="B82" s="546" t="s">
        <v>2097</v>
      </c>
      <c r="C82" s="539" t="s">
        <v>2604</v>
      </c>
      <c r="D82" s="539" t="s">
        <v>2605</v>
      </c>
      <c r="E82" s="539" t="s">
        <v>2606</v>
      </c>
      <c r="F82" s="539" t="s">
        <v>2607</v>
      </c>
      <c r="G82" s="539" t="s">
        <v>2608</v>
      </c>
      <c r="H82" s="539"/>
      <c r="I82" s="539"/>
      <c r="J82" s="539"/>
      <c r="K82" s="539"/>
      <c r="L82" s="539"/>
      <c r="M82" s="1380"/>
      <c r="N82" s="1151"/>
      <c r="O82" s="1151"/>
      <c r="P82" s="2626"/>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6"/>
      <c r="Q85" s="504"/>
    </row>
    <row r="86" spans="1:17" s="117" customFormat="1" ht="15.75" thickTop="1">
      <c r="A86" s="579"/>
      <c r="B86" s="538" t="s">
        <v>2610</v>
      </c>
      <c r="C86" s="554"/>
      <c r="D86" s="554"/>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26"/>
      <c r="Q87" s="504"/>
    </row>
    <row r="88" spans="1:17" s="117" customFormat="1" ht="15.75" thickTop="1">
      <c r="A88" s="579"/>
      <c r="B88" s="538" t="s">
        <v>2611</v>
      </c>
      <c r="C88" s="554"/>
      <c r="D88" s="554"/>
      <c r="E88" s="554"/>
      <c r="F88" s="2631"/>
      <c r="G88" s="554"/>
      <c r="H88" s="554"/>
      <c r="I88" s="554"/>
      <c r="J88" s="554"/>
      <c r="K88" s="554"/>
      <c r="L88" s="554"/>
      <c r="M88" s="581"/>
      <c r="N88" s="1149"/>
      <c r="O88" s="1149"/>
      <c r="P88" s="2626"/>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26"/>
      <c r="Q89" s="504"/>
    </row>
    <row r="90" spans="1:17" s="471" customFormat="1" ht="15.75" thickTop="1">
      <c r="A90" s="553"/>
      <c r="B90" s="538">
        <f>B27</f>
        <v>111</v>
      </c>
      <c r="C90" s="554"/>
      <c r="D90" s="554"/>
      <c r="E90" s="554"/>
      <c r="F90" s="554"/>
      <c r="G90" s="554"/>
      <c r="H90" s="555"/>
      <c r="I90" s="555"/>
      <c r="J90" s="555"/>
      <c r="K90" s="555"/>
      <c r="L90" s="556"/>
      <c r="M90" s="557"/>
      <c r="N90" s="1152"/>
      <c r="O90" s="1152"/>
      <c r="P90" s="2627"/>
      <c r="Q90" s="559"/>
    </row>
    <row r="91" spans="1:17" s="471" customFormat="1" ht="15.75" thickBot="1">
      <c r="A91" s="553"/>
      <c r="B91" s="543"/>
      <c r="C91" s="560"/>
      <c r="D91" s="560"/>
      <c r="E91" s="560"/>
      <c r="F91" s="560"/>
      <c r="G91" s="560"/>
      <c r="H91" s="562"/>
      <c r="I91" s="562"/>
      <c r="J91" s="562"/>
      <c r="K91" s="562"/>
      <c r="L91" s="562"/>
      <c r="M91" s="563"/>
      <c r="N91" s="1152"/>
      <c r="O91" s="1152"/>
      <c r="P91" s="2627"/>
      <c r="Q91" s="559"/>
    </row>
    <row r="92" spans="1:17" ht="15.75" thickTop="1">
      <c r="A92" s="534"/>
      <c r="B92" s="538">
        <f>B28</f>
        <v>111</v>
      </c>
      <c r="C92" s="554"/>
      <c r="D92" s="554"/>
      <c r="E92" s="554"/>
      <c r="F92" s="554"/>
      <c r="G92" s="583"/>
      <c r="H92" s="583"/>
      <c r="I92" s="583"/>
      <c r="J92" s="583"/>
      <c r="K92" s="584"/>
      <c r="L92" s="585"/>
      <c r="M92" s="586"/>
      <c r="N92" s="1150"/>
      <c r="O92" s="1150"/>
      <c r="P92" s="2626"/>
      <c r="Q92" s="504"/>
    </row>
    <row r="93" spans="1:17" ht="15.75" thickBot="1">
      <c r="A93" s="534"/>
      <c r="B93" s="543"/>
      <c r="C93" s="560"/>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60"/>
      <c r="E95" s="560"/>
      <c r="F95" s="560"/>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70"/>
      <c r="D97" s="570"/>
      <c r="E97" s="570"/>
      <c r="F97" s="570"/>
      <c r="G97" s="536"/>
      <c r="H97" s="536"/>
      <c r="I97" s="536"/>
      <c r="J97" s="536"/>
      <c r="K97" s="536"/>
      <c r="L97" s="536"/>
      <c r="M97" s="537"/>
      <c r="N97" s="1151"/>
      <c r="O97" s="1151"/>
      <c r="P97" s="2626"/>
      <c r="Q97" s="504"/>
    </row>
    <row r="98" spans="1:17" ht="15.75" thickTop="1">
      <c r="A98" s="534"/>
      <c r="B98" s="546">
        <f>B31</f>
        <v>111</v>
      </c>
      <c r="C98" s="587"/>
      <c r="D98" s="587"/>
      <c r="E98" s="587"/>
      <c r="F98" s="587"/>
      <c r="G98" s="587"/>
      <c r="H98" s="587"/>
      <c r="I98" s="587"/>
      <c r="J98" s="587"/>
      <c r="K98" s="588"/>
      <c r="L98" s="589"/>
      <c r="M98" s="590"/>
      <c r="N98" s="1150"/>
      <c r="O98" s="1150"/>
      <c r="P98" s="2626"/>
      <c r="Q98" s="504"/>
    </row>
    <row r="99" spans="1:17" ht="15.75" thickBot="1">
      <c r="A99" s="2632"/>
      <c r="B99" s="569"/>
      <c r="C99" s="591"/>
      <c r="D99" s="591"/>
      <c r="E99" s="591"/>
      <c r="F99" s="591"/>
      <c r="G99" s="591"/>
      <c r="H99" s="591"/>
      <c r="I99" s="591"/>
      <c r="J99" s="591"/>
      <c r="K99" s="591"/>
      <c r="L99" s="591"/>
      <c r="M99" s="592"/>
      <c r="N99" s="1151"/>
      <c r="O99" s="1151"/>
      <c r="P99" s="2626"/>
      <c r="Q99" s="504"/>
    </row>
    <row r="100" spans="1:17">
      <c r="A100" s="527" t="s">
        <v>2563</v>
      </c>
      <c r="B100" s="528" t="s">
        <v>2612</v>
      </c>
      <c r="C100" s="530"/>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26"/>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26"/>
      <c r="Q102" s="504"/>
    </row>
    <row r="103" spans="1:17" s="471" customFormat="1">
      <c r="A103" s="593"/>
      <c r="B103" s="594"/>
      <c r="C103" s="595"/>
      <c r="D103" s="595"/>
      <c r="E103" s="595"/>
      <c r="F103" s="595"/>
      <c r="G103" s="595"/>
      <c r="H103" s="595"/>
      <c r="I103" s="595"/>
      <c r="J103" s="596"/>
      <c r="K103" s="596"/>
      <c r="L103" s="597"/>
      <c r="M103" s="598"/>
      <c r="N103" s="1152"/>
      <c r="O103" s="1152"/>
      <c r="P103" s="2627"/>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27"/>
      <c r="Q104" s="559"/>
    </row>
    <row r="105" spans="1:17" ht="15" thickTop="1">
      <c r="A105" s="599"/>
      <c r="B105" s="538" t="s">
        <v>2614</v>
      </c>
      <c r="C105" s="554"/>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26"/>
      <c r="Q106" s="504"/>
    </row>
    <row r="107" spans="1:17" ht="15" thickTop="1">
      <c r="A107" s="599"/>
      <c r="B107" s="538" t="s">
        <v>2615</v>
      </c>
      <c r="C107" s="583"/>
      <c r="D107" s="583"/>
      <c r="E107" s="583"/>
      <c r="F107" s="583"/>
      <c r="G107" s="583"/>
      <c r="H107" s="583"/>
      <c r="I107" s="583"/>
      <c r="J107" s="583"/>
      <c r="K107" s="584"/>
      <c r="L107" s="585"/>
      <c r="M107" s="586"/>
      <c r="N107" s="1150"/>
      <c r="O107" s="1150"/>
      <c r="P107" s="2626"/>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26"/>
      <c r="Q108" s="504"/>
    </row>
    <row r="109" spans="1:17" ht="15" thickTop="1">
      <c r="A109" s="599"/>
      <c r="B109" s="538" t="s">
        <v>2616</v>
      </c>
      <c r="C109" s="554"/>
      <c r="D109" s="554"/>
      <c r="E109" s="554"/>
      <c r="F109" s="583"/>
      <c r="G109" s="583"/>
      <c r="H109" s="583"/>
      <c r="I109" s="583"/>
      <c r="J109" s="583"/>
      <c r="K109" s="584"/>
      <c r="L109" s="585"/>
      <c r="M109" s="586"/>
      <c r="N109" s="1150"/>
      <c r="O109" s="1150"/>
      <c r="P109" s="2626"/>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26"/>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27"/>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27"/>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27"/>
      <c r="Q113" s="559"/>
    </row>
    <row r="114" spans="1:17" ht="15" thickTop="1">
      <c r="A114" s="599"/>
      <c r="B114" s="538" t="s">
        <v>2617</v>
      </c>
      <c r="C114" s="554"/>
      <c r="D114" s="554"/>
      <c r="E114" s="583"/>
      <c r="F114" s="583"/>
      <c r="G114" s="583"/>
      <c r="H114" s="583"/>
      <c r="I114" s="583"/>
      <c r="J114" s="583"/>
      <c r="K114" s="584"/>
      <c r="L114" s="585"/>
      <c r="M114" s="586"/>
      <c r="N114" s="1150"/>
      <c r="O114" s="1150"/>
      <c r="P114" s="2626"/>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26"/>
      <c r="Q115" s="504"/>
    </row>
    <row r="116" spans="1:17" ht="15" thickTop="1">
      <c r="A116" s="599"/>
      <c r="B116" s="538" t="s">
        <v>2618</v>
      </c>
      <c r="C116" s="554"/>
      <c r="D116" s="554"/>
      <c r="E116" s="554"/>
      <c r="F116" s="554"/>
      <c r="G116" s="554"/>
      <c r="H116" s="583"/>
      <c r="I116" s="583"/>
      <c r="J116" s="583"/>
      <c r="K116" s="584"/>
      <c r="L116" s="585"/>
      <c r="M116" s="586"/>
      <c r="N116" s="1150"/>
      <c r="O116" s="1150"/>
      <c r="P116" s="2626"/>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6"/>
      <c r="Q117" s="504"/>
    </row>
    <row r="118" spans="1:17" ht="15" thickTop="1">
      <c r="A118" s="599"/>
      <c r="B118" s="538" t="s">
        <v>2619</v>
      </c>
      <c r="C118" s="583"/>
      <c r="D118" s="583"/>
      <c r="E118" s="583"/>
      <c r="F118" s="583"/>
      <c r="G118" s="583"/>
      <c r="H118" s="583"/>
      <c r="I118" s="583"/>
      <c r="J118" s="583"/>
      <c r="K118" s="584"/>
      <c r="L118" s="585"/>
      <c r="M118" s="586"/>
      <c r="N118" s="1150"/>
      <c r="O118" s="1150"/>
      <c r="P118" s="2626"/>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26"/>
      <c r="Q119" s="504"/>
    </row>
    <row r="120" spans="1:17" s="471" customFormat="1" ht="28.5" thickTop="1">
      <c r="A120" s="593"/>
      <c r="B120" s="538" t="s">
        <v>2574</v>
      </c>
      <c r="C120" s="554"/>
      <c r="D120" s="554"/>
      <c r="E120" s="554"/>
      <c r="F120" s="554"/>
      <c r="G120" s="554"/>
      <c r="H120" s="554"/>
      <c r="I120" s="554"/>
      <c r="J120" s="554"/>
      <c r="K120" s="554"/>
      <c r="L120" s="580"/>
      <c r="M120" s="581"/>
      <c r="N120" s="1152"/>
      <c r="O120" s="1152"/>
      <c r="P120" s="2627"/>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27"/>
      <c r="Q121" s="559"/>
    </row>
    <row r="122" spans="1:17" ht="15" thickTop="1">
      <c r="A122" s="599"/>
      <c r="B122" s="538" t="s">
        <v>2620</v>
      </c>
      <c r="C122" s="554"/>
      <c r="D122" s="554"/>
      <c r="E122" s="554"/>
      <c r="F122" s="583"/>
      <c r="G122" s="583"/>
      <c r="H122" s="583"/>
      <c r="I122" s="583"/>
      <c r="J122" s="583"/>
      <c r="K122" s="584"/>
      <c r="L122" s="585"/>
      <c r="M122" s="586"/>
      <c r="N122" s="1150"/>
      <c r="O122" s="1150"/>
      <c r="P122" s="2626"/>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6"/>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7"/>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7"/>
      <c r="Q127" s="559"/>
    </row>
    <row r="128" spans="1:17" ht="15" thickTop="1">
      <c r="A128" s="599"/>
      <c r="B128" s="538">
        <f>B45</f>
        <v>111</v>
      </c>
      <c r="C128" s="554"/>
      <c r="D128" s="554"/>
      <c r="E128" s="554"/>
      <c r="F128" s="554"/>
      <c r="G128" s="583"/>
      <c r="H128" s="583"/>
      <c r="I128" s="583"/>
      <c r="J128" s="583"/>
      <c r="K128" s="584"/>
      <c r="L128" s="585"/>
      <c r="M128" s="586"/>
      <c r="N128" s="1150"/>
      <c r="O128" s="1150"/>
      <c r="P128" s="2626"/>
      <c r="Q128" s="504"/>
    </row>
    <row r="129" spans="1:17" ht="15.75" thickBot="1">
      <c r="A129" s="534"/>
      <c r="B129" s="543"/>
      <c r="C129" s="560"/>
      <c r="D129" s="560"/>
      <c r="E129" s="560"/>
      <c r="F129" s="560"/>
      <c r="G129" s="536"/>
      <c r="H129" s="536"/>
      <c r="I129" s="536"/>
      <c r="J129" s="536"/>
      <c r="K129" s="536"/>
      <c r="L129" s="536"/>
      <c r="M129" s="537"/>
      <c r="N129" s="1151"/>
      <c r="O129" s="1151"/>
      <c r="P129" s="2626"/>
      <c r="Q129" s="504"/>
    </row>
    <row r="130" spans="1:17" ht="15" thickTop="1">
      <c r="A130" s="599"/>
      <c r="B130" s="546">
        <f>B46</f>
        <v>111</v>
      </c>
      <c r="C130" s="554"/>
      <c r="D130" s="554"/>
      <c r="E130" s="554"/>
      <c r="F130" s="554"/>
      <c r="G130" s="587"/>
      <c r="H130" s="587"/>
      <c r="I130" s="587"/>
      <c r="J130" s="587"/>
      <c r="K130" s="523"/>
      <c r="L130" s="524"/>
      <c r="M130" s="590"/>
      <c r="N130" s="1150"/>
      <c r="O130" s="1150"/>
      <c r="P130" s="2626"/>
      <c r="Q130" s="504"/>
    </row>
    <row r="131" spans="1:17" ht="15.75" thickBot="1">
      <c r="A131" s="2632"/>
      <c r="B131" s="569"/>
      <c r="C131" s="570"/>
      <c r="D131" s="570"/>
      <c r="E131" s="570"/>
      <c r="F131" s="570"/>
      <c r="G131" s="591"/>
      <c r="H131" s="591"/>
      <c r="I131" s="591"/>
      <c r="J131" s="591"/>
      <c r="K131" s="591"/>
      <c r="L131" s="591"/>
      <c r="M131" s="592"/>
      <c r="N131" s="1151"/>
      <c r="O131" s="1151"/>
      <c r="P131" s="2626"/>
      <c r="Q131" s="504"/>
    </row>
    <row r="136" spans="1:17" ht="15" thickBot="1">
      <c r="B136" s="2633" t="s">
        <v>2622</v>
      </c>
    </row>
    <row r="137" spans="1:17" ht="15">
      <c r="B137" s="2634" t="s">
        <v>2623</v>
      </c>
      <c r="C137" s="2635"/>
      <c r="D137" s="2635"/>
      <c r="E137" s="2635"/>
      <c r="F137" s="2635"/>
      <c r="G137" s="2636"/>
      <c r="H137" s="2637"/>
      <c r="I137" s="2638" t="s">
        <v>2624</v>
      </c>
      <c r="J137" s="2635"/>
      <c r="K137" s="2639"/>
    </row>
    <row r="138" spans="1:17" ht="15">
      <c r="B138" s="2640"/>
      <c r="C138" s="146" t="s">
        <v>2625</v>
      </c>
      <c r="D138" s="146" t="s">
        <v>2626</v>
      </c>
      <c r="E138" s="2641" t="s">
        <v>2627</v>
      </c>
      <c r="F138" s="2642" t="s">
        <v>2628</v>
      </c>
      <c r="G138" s="146" t="s">
        <v>2626</v>
      </c>
      <c r="H138" s="147" t="s">
        <v>2627</v>
      </c>
      <c r="I138" s="2643"/>
      <c r="J138" s="146" t="s">
        <v>2629</v>
      </c>
      <c r="K138" s="147" t="s">
        <v>2630</v>
      </c>
    </row>
    <row r="139" spans="1:17" ht="15">
      <c r="B139" s="1082">
        <v>6</v>
      </c>
      <c r="C139" s="1083">
        <v>96</v>
      </c>
      <c r="D139" s="2644" t="s">
        <v>2631</v>
      </c>
      <c r="E139" s="1084">
        <v>100</v>
      </c>
      <c r="F139" s="1085">
        <v>102.5</v>
      </c>
      <c r="G139" s="2644" t="s">
        <v>2631</v>
      </c>
      <c r="H139" s="1086">
        <v>105</v>
      </c>
      <c r="I139" s="2645" t="s">
        <v>2632</v>
      </c>
      <c r="J139" s="1083">
        <v>20</v>
      </c>
      <c r="K139" s="1087">
        <f>C145/(J139-2)</f>
        <v>4.0555555555555553E-3</v>
      </c>
    </row>
    <row r="140" spans="1:17" ht="15">
      <c r="B140" s="1088">
        <v>5</v>
      </c>
      <c r="C140" s="1089">
        <v>100</v>
      </c>
      <c r="D140" s="1089"/>
      <c r="E140" s="1090"/>
      <c r="F140" s="1091">
        <v>102</v>
      </c>
      <c r="G140" s="1089"/>
      <c r="H140" s="1092"/>
      <c r="I140" s="2646" t="s">
        <v>2633</v>
      </c>
      <c r="J140" s="315">
        <f>ROUNDUP((J139-1)/2,0)</f>
        <v>10</v>
      </c>
      <c r="K140" s="1093">
        <v>100</v>
      </c>
    </row>
    <row r="141" spans="1:17" ht="15">
      <c r="B141" s="1088">
        <v>4</v>
      </c>
      <c r="C141" s="1089">
        <v>102</v>
      </c>
      <c r="D141" s="1089"/>
      <c r="E141" s="1090"/>
      <c r="F141" s="1091">
        <v>101.5</v>
      </c>
      <c r="G141" s="1089"/>
      <c r="H141" s="1092"/>
      <c r="I141" s="2646" t="s">
        <v>2634</v>
      </c>
      <c r="J141" s="315">
        <v>1</v>
      </c>
      <c r="K141" s="1094">
        <f>ROUND(100+(J141-J140)*K139*100,1)</f>
        <v>96.4</v>
      </c>
    </row>
    <row r="142" spans="1:17" ht="15">
      <c r="B142" s="1088">
        <v>3</v>
      </c>
      <c r="C142" s="1089">
        <v>103</v>
      </c>
      <c r="D142" s="1089"/>
      <c r="E142" s="1090"/>
      <c r="F142" s="1091">
        <v>101</v>
      </c>
      <c r="G142" s="1089"/>
      <c r="H142" s="1092"/>
      <c r="I142" s="2646" t="s">
        <v>2635</v>
      </c>
      <c r="J142" s="315">
        <f>J139</f>
        <v>20</v>
      </c>
      <c r="K142" s="1095">
        <v>95</v>
      </c>
    </row>
    <row r="143" spans="1:17" ht="15">
      <c r="B143" s="1088">
        <v>2</v>
      </c>
      <c r="C143" s="1089">
        <v>100</v>
      </c>
      <c r="D143" s="1089"/>
      <c r="E143" s="1090"/>
      <c r="F143" s="1091">
        <v>100.5</v>
      </c>
      <c r="G143" s="1089"/>
      <c r="H143" s="1092"/>
      <c r="I143" s="2646" t="s">
        <v>2636</v>
      </c>
      <c r="J143" s="1089">
        <v>15</v>
      </c>
      <c r="K143" s="1094">
        <f>ROUND(100+(J143-J140)*K139*100,1)</f>
        <v>102</v>
      </c>
    </row>
    <row r="144" spans="1:17" ht="15">
      <c r="B144" s="1088">
        <v>1</v>
      </c>
      <c r="C144" s="1089">
        <v>98</v>
      </c>
      <c r="D144" s="2647" t="s">
        <v>2637</v>
      </c>
      <c r="E144" s="1090">
        <v>102</v>
      </c>
      <c r="F144" s="1096">
        <v>100</v>
      </c>
      <c r="G144" s="2647" t="s">
        <v>2637</v>
      </c>
      <c r="H144" s="1092">
        <v>105</v>
      </c>
      <c r="I144" s="2646" t="s">
        <v>2636</v>
      </c>
      <c r="J144" s="1089">
        <v>18</v>
      </c>
      <c r="K144" s="1094">
        <f>ROUND(100+(J144-J140)*K139*100,1)</f>
        <v>103.2</v>
      </c>
    </row>
    <row r="145" spans="2:11" ht="15.75" thickBot="1">
      <c r="B145" s="2648" t="s">
        <v>2638</v>
      </c>
      <c r="C145" s="1097">
        <f>ROUND(MAX(C139:C144)/MIN(C139:C144)-1,3)</f>
        <v>7.2999999999999995E-2</v>
      </c>
      <c r="D145" s="1098"/>
      <c r="E145" s="1098"/>
      <c r="F145" s="2649" t="s">
        <v>2639</v>
      </c>
      <c r="G145" s="2650"/>
      <c r="H145" s="2651"/>
      <c r="I145" s="2652" t="s">
        <v>2636</v>
      </c>
      <c r="J145" s="1099">
        <v>8</v>
      </c>
      <c r="K145" s="1100">
        <f>ROUND(100+(J145-J140)*K139*100,1)</f>
        <v>99.2</v>
      </c>
    </row>
    <row r="147" spans="2:11">
      <c r="B147" s="2633" t="s">
        <v>2640</v>
      </c>
    </row>
    <row r="148" spans="2:11">
      <c r="B148" s="2633" t="s">
        <v>2641</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2"/>
  <sheetViews>
    <sheetView topLeftCell="B21" zoomScale="90" zoomScaleNormal="90" workbookViewId="0">
      <selection activeCell="D32" sqref="D32:K4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2642</v>
      </c>
      <c r="C1" s="1632" t="s">
        <v>2530</v>
      </c>
      <c r="D1" s="1619">
        <v>101</v>
      </c>
      <c r="E1" s="2653"/>
      <c r="F1" s="2580" t="s">
        <v>3077</v>
      </c>
      <c r="G1" s="1629" t="s">
        <v>2643</v>
      </c>
      <c r="H1" s="1628"/>
      <c r="I1" s="1628"/>
      <c r="J1" s="1628"/>
      <c r="K1" s="1630"/>
      <c r="L1" s="1631"/>
      <c r="M1" s="1632"/>
      <c r="N1" s="1632"/>
      <c r="O1" s="1632"/>
      <c r="P1" s="2654"/>
      <c r="Q1" s="2655"/>
      <c r="R1" s="2655"/>
      <c r="S1" s="2655"/>
      <c r="T1" s="2655"/>
      <c r="U1" s="2655"/>
      <c r="V1" s="2655"/>
      <c r="W1" s="2655"/>
      <c r="X1" s="2655"/>
      <c r="Y1" s="2655"/>
      <c r="Z1" s="2655"/>
      <c r="AA1" s="2655"/>
      <c r="AB1" s="2655"/>
      <c r="AC1" s="2656"/>
    </row>
    <row r="2" spans="1:29" s="398" customFormat="1" ht="28.5" customHeight="1" thickTop="1">
      <c r="A2" s="1615" t="s">
        <v>2327</v>
      </c>
      <c r="B2" s="1416">
        <f>IF(C2="——",ROUND(C49*D3/10000,0),ROUND(C49*D3/10000,0)-D2)</f>
        <v>149</v>
      </c>
      <c r="C2" s="2582" t="s">
        <v>70</v>
      </c>
      <c r="D2" s="1363" t="e">
        <f ca="1">SUMIF(INDIRECT("'"&amp;F2&amp;"'"&amp;"!A:A"),"承租人权益价值",INDIRECT("'"&amp;F2&amp;"'"&amp;"!c:c"))</f>
        <v>#REF!</v>
      </c>
      <c r="E2" s="2583" t="s">
        <v>2328</v>
      </c>
      <c r="F2" s="2584"/>
      <c r="G2" s="1123"/>
      <c r="H2" s="1123"/>
      <c r="I2" s="1123"/>
      <c r="J2" s="1123"/>
      <c r="K2" s="1123"/>
      <c r="L2" s="1126"/>
      <c r="M2" s="1127"/>
      <c r="N2" s="1127"/>
      <c r="O2" s="1127"/>
      <c r="P2" s="2657"/>
      <c r="Q2" s="1127"/>
      <c r="R2" s="1127"/>
      <c r="S2" s="1127"/>
      <c r="T2" s="1127"/>
      <c r="U2" s="1127"/>
      <c r="V2" s="1127"/>
      <c r="W2" s="1127"/>
      <c r="X2" s="1127"/>
      <c r="Y2" s="1127"/>
      <c r="Z2" s="1127"/>
      <c r="AA2" s="1127"/>
      <c r="AB2" s="1127"/>
      <c r="AC2" s="2658"/>
    </row>
    <row r="3" spans="1:29" s="398" customFormat="1" ht="28.5" customHeight="1" thickBot="1">
      <c r="A3" s="247" t="s">
        <v>2329</v>
      </c>
      <c r="B3" s="609">
        <f>IF(C2="——",C49,ROUND(B2*10000/D3,0))</f>
        <v>14793</v>
      </c>
      <c r="C3" s="400" t="s">
        <v>2644</v>
      </c>
      <c r="D3" s="399">
        <f>IF(D1="",'数据-汇总表'!E3,SUMIF('数据-汇总表'!$C19:$C33,D1,'数据-汇总表'!$E19:$E33))</f>
        <v>100.98</v>
      </c>
      <c r="E3" s="2659"/>
      <c r="F3" s="1124"/>
      <c r="G3" s="1123"/>
      <c r="H3" s="1123"/>
      <c r="I3" s="1123"/>
      <c r="J3" s="1123"/>
      <c r="K3" s="1125"/>
      <c r="L3" s="1126"/>
      <c r="M3" s="1127"/>
      <c r="N3" s="1127"/>
      <c r="O3" s="1127"/>
      <c r="P3" s="2657"/>
      <c r="Q3" s="1127"/>
      <c r="R3" s="1127"/>
      <c r="S3" s="1127"/>
      <c r="T3" s="1127"/>
      <c r="U3" s="1127"/>
      <c r="V3" s="1127"/>
      <c r="W3" s="1127"/>
      <c r="X3" s="1127"/>
      <c r="Y3" s="1127"/>
      <c r="Z3" s="1127"/>
      <c r="AA3" s="1127"/>
      <c r="AB3" s="1127"/>
      <c r="AC3" s="2659"/>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0" t="s">
        <v>2648</v>
      </c>
      <c r="AC4" s="3231" t="s">
        <v>2649</v>
      </c>
    </row>
    <row r="5" spans="1:29" ht="15">
      <c r="A5" s="404"/>
      <c r="B5" s="405"/>
      <c r="C5" s="3251" t="s">
        <v>2542</v>
      </c>
      <c r="D5" s="3252"/>
      <c r="E5" s="3296" t="s">
        <v>3241</v>
      </c>
      <c r="F5" s="3259"/>
      <c r="G5" s="3295" t="s">
        <v>3242</v>
      </c>
      <c r="H5" s="3252"/>
      <c r="I5" s="3295" t="s">
        <v>3243</v>
      </c>
      <c r="J5" s="3252"/>
      <c r="K5" s="610"/>
      <c r="L5" s="1128"/>
      <c r="M5" s="1129"/>
      <c r="N5" s="1129"/>
      <c r="O5" s="1129"/>
      <c r="P5" s="3239"/>
      <c r="Q5" s="3240"/>
      <c r="R5" s="3245"/>
      <c r="S5" s="3246"/>
      <c r="T5" s="3245"/>
      <c r="U5" s="3246"/>
      <c r="V5" s="3230"/>
      <c r="W5" s="3230"/>
      <c r="X5" s="1811"/>
      <c r="Y5" s="3245"/>
      <c r="Z5" s="3246"/>
      <c r="AA5" s="3232"/>
      <c r="AB5" s="3230"/>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0"/>
      <c r="AC6" s="3233"/>
    </row>
    <row r="7" spans="1:29" s="117" customFormat="1" ht="15.75" thickBot="1">
      <c r="A7" s="408" t="s">
        <v>2548</v>
      </c>
      <c r="B7" s="409"/>
      <c r="C7" s="410">
        <f>'数据-取费表'!B2</f>
        <v>43711</v>
      </c>
      <c r="D7" s="411">
        <v>100</v>
      </c>
      <c r="E7" s="412">
        <v>43709</v>
      </c>
      <c r="F7" s="413">
        <f>SUMIF(58:58,YEAR(E7)&amp;"-"&amp;MONTH(E7),59:59)</f>
        <v>100</v>
      </c>
      <c r="G7" s="412">
        <v>43709</v>
      </c>
      <c r="H7" s="411">
        <f>SUMIF(58:58,YEAR(G7)&amp;"-"&amp;MONTH(G7),59:59)</f>
        <v>100</v>
      </c>
      <c r="I7" s="412">
        <v>43709</v>
      </c>
      <c r="J7" s="411">
        <f>SUMIF(58:58,YEAR(I7)&amp;"-"&amp;MONTH(I7),59:59)</f>
        <v>100</v>
      </c>
      <c r="K7" s="611"/>
      <c r="L7" s="1130"/>
      <c r="M7" s="1131"/>
      <c r="N7" s="1131"/>
      <c r="O7" s="1131"/>
      <c r="P7" s="3253" t="s">
        <v>2549</v>
      </c>
      <c r="Q7" s="3255"/>
      <c r="R7" s="769" t="s">
        <v>17</v>
      </c>
      <c r="S7" s="770">
        <f t="shared" ref="S7:S15" si="0">F7</f>
        <v>100</v>
      </c>
      <c r="T7" s="769" t="s">
        <v>17</v>
      </c>
      <c r="U7" s="770">
        <f t="shared" ref="U7:U15" si="1">H7</f>
        <v>100</v>
      </c>
      <c r="V7" s="769" t="s">
        <v>17</v>
      </c>
      <c r="W7" s="770">
        <f t="shared" ref="W7:W15" si="2">J7</f>
        <v>100</v>
      </c>
      <c r="X7" s="771"/>
      <c r="Y7" s="3253" t="s">
        <v>2549</v>
      </c>
      <c r="Z7" s="3254"/>
      <c r="AA7" s="772">
        <f>D7/F7</f>
        <v>1</v>
      </c>
      <c r="AB7" s="772">
        <f>D7/H7</f>
        <v>1</v>
      </c>
      <c r="AC7" s="772">
        <f>D7/J7</f>
        <v>1</v>
      </c>
    </row>
    <row r="8" spans="1:29" s="117" customFormat="1" ht="15.75" thickBot="1">
      <c r="A8" s="408" t="s">
        <v>2550</v>
      </c>
      <c r="B8" s="409"/>
      <c r="C8" s="414" t="s">
        <v>2652</v>
      </c>
      <c r="D8" s="411">
        <v>100</v>
      </c>
      <c r="E8" s="414" t="s">
        <v>3076</v>
      </c>
      <c r="F8" s="413">
        <f>SUMIF(61:61,E8,62:62)-SUMIF(61:61,C8,62:62)+100</f>
        <v>100</v>
      </c>
      <c r="G8" s="414" t="s">
        <v>3076</v>
      </c>
      <c r="H8" s="411">
        <f>SUMIF(61:61,G8,62:62)-SUMIF(61:61,C8,62:62)+100</f>
        <v>100</v>
      </c>
      <c r="I8" s="412" t="s">
        <v>3076</v>
      </c>
      <c r="J8" s="411">
        <f>SUMIF(61:61,I8,62:62)-SUMIF(61:61,C8,62:62)+100</f>
        <v>100</v>
      </c>
      <c r="K8" s="611"/>
      <c r="L8" s="1130"/>
      <c r="M8" s="1131"/>
      <c r="N8" s="1131"/>
      <c r="O8" s="1131"/>
      <c r="P8" s="3253" t="s">
        <v>2552</v>
      </c>
      <c r="Q8" s="3254"/>
      <c r="R8" s="769" t="s">
        <v>17</v>
      </c>
      <c r="S8" s="770">
        <f t="shared" si="0"/>
        <v>100</v>
      </c>
      <c r="T8" s="769" t="s">
        <v>17</v>
      </c>
      <c r="U8" s="770">
        <f t="shared" si="1"/>
        <v>100</v>
      </c>
      <c r="V8" s="769" t="s">
        <v>17</v>
      </c>
      <c r="W8" s="770">
        <f t="shared" si="2"/>
        <v>100</v>
      </c>
      <c r="X8" s="771"/>
      <c r="Y8" s="3253" t="s">
        <v>2552</v>
      </c>
      <c r="Z8" s="3254"/>
      <c r="AA8" s="772">
        <f t="shared" ref="AA8:AA46" si="3">D8/F8</f>
        <v>1</v>
      </c>
      <c r="AB8" s="772">
        <f t="shared" ref="AB8:AB46" si="4">D8/H8</f>
        <v>1</v>
      </c>
      <c r="AC8" s="772">
        <f t="shared" ref="AC8:AC46" si="5">D8/J8</f>
        <v>1</v>
      </c>
    </row>
    <row r="9" spans="1:29" s="117" customFormat="1">
      <c r="A9" s="415" t="s">
        <v>2553</v>
      </c>
      <c r="B9" s="71" t="s">
        <v>2554</v>
      </c>
      <c r="C9" s="2999" t="s">
        <v>3251</v>
      </c>
      <c r="D9" s="135">
        <v>100</v>
      </c>
      <c r="E9" s="417" t="s">
        <v>1373</v>
      </c>
      <c r="F9" s="418">
        <f>SUMIF(63:63,E9,64:64)-SUMIF(63:63,C9,64:64)+100</f>
        <v>100</v>
      </c>
      <c r="G9" s="417" t="s">
        <v>1373</v>
      </c>
      <c r="H9" s="135">
        <f>SUMIF(63:63,G9,64:64)-SUMIF(63:63,C9,64:64)+100</f>
        <v>100</v>
      </c>
      <c r="I9" s="417" t="s">
        <v>1373</v>
      </c>
      <c r="J9" s="135">
        <f>SUMIF(63:63,I9,64:64)-SUMIF(63:63,C9,64:64)+100</f>
        <v>100</v>
      </c>
      <c r="K9" s="611"/>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75" thickBot="1">
      <c r="A10" s="421"/>
      <c r="B10" s="422" t="s">
        <v>2557</v>
      </c>
      <c r="C10" s="423" t="s">
        <v>3252</v>
      </c>
      <c r="D10" s="136">
        <v>100</v>
      </c>
      <c r="E10" s="424" t="s">
        <v>3252</v>
      </c>
      <c r="F10" s="425">
        <f>SUMIF(65:65,E10,66:66)-SUMIF(65:65,C10,66:66)+100</f>
        <v>100</v>
      </c>
      <c r="G10" s="423" t="s">
        <v>3252</v>
      </c>
      <c r="H10" s="136">
        <f>SUMIF(65:65,G10,66:66)-SUMIF(65:65,C10,66:66)+100</f>
        <v>100</v>
      </c>
      <c r="I10" s="423" t="s">
        <v>3252</v>
      </c>
      <c r="J10" s="136">
        <f>SUMIF(65:65,I10,66:66)-SUMIF(65:65,C10,66:66)+100</f>
        <v>100</v>
      </c>
      <c r="K10" s="612">
        <v>2</v>
      </c>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hidden="1">
      <c r="A11" s="428"/>
      <c r="B11" s="422" t="s">
        <v>2558</v>
      </c>
      <c r="C11" s="429"/>
      <c r="D11" s="136">
        <v>100</v>
      </c>
      <c r="E11" s="430"/>
      <c r="F11" s="425">
        <f>LOOKUP(E11,68:68,69:69)-LOOKUP(C11,68:68,69:69)+100</f>
        <v>100</v>
      </c>
      <c r="G11" s="429"/>
      <c r="H11" s="136">
        <f>LOOKUP(G11,68:68,69:69)-LOOKUP(C11,68:68,69:69)+100</f>
        <v>100</v>
      </c>
      <c r="I11" s="429"/>
      <c r="J11" s="136">
        <f>LOOKUP(I11,68:68,69:69)-LOOKUP(C11,68:68,69:69)+100</f>
        <v>100</v>
      </c>
      <c r="K11" s="612"/>
      <c r="L11" s="1136"/>
      <c r="M11" s="1129"/>
      <c r="N11" s="1129"/>
      <c r="O11" s="1129"/>
      <c r="P11" s="3223"/>
      <c r="Q11" s="1793" t="str">
        <f t="shared" si="6"/>
        <v>容积率</v>
      </c>
      <c r="R11" s="769" t="s">
        <v>17</v>
      </c>
      <c r="S11" s="770">
        <f t="shared" si="0"/>
        <v>100</v>
      </c>
      <c r="T11" s="769" t="s">
        <v>17</v>
      </c>
      <c r="U11" s="770">
        <f t="shared" si="1"/>
        <v>100</v>
      </c>
      <c r="V11" s="769" t="s">
        <v>17</v>
      </c>
      <c r="W11" s="770">
        <f t="shared" si="2"/>
        <v>100</v>
      </c>
      <c r="X11" s="771"/>
      <c r="Y11" s="3072"/>
      <c r="Z11" s="55" t="str">
        <f t="shared" si="7"/>
        <v>容积率</v>
      </c>
      <c r="AA11" s="772">
        <f t="shared" si="3"/>
        <v>1</v>
      </c>
      <c r="AB11" s="772">
        <f t="shared" si="4"/>
        <v>1</v>
      </c>
      <c r="AC11" s="772">
        <f t="shared" si="5"/>
        <v>1</v>
      </c>
    </row>
    <row r="12" spans="1:29" s="117" customFormat="1" ht="15" hidden="1">
      <c r="A12" s="431"/>
      <c r="B12" s="2596">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223"/>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hidden="1">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223"/>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hidden="1" thickBot="1">
      <c r="A14" s="436"/>
      <c r="B14" s="2598">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223"/>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71.25">
      <c r="A15" s="440" t="s">
        <v>2559</v>
      </c>
      <c r="B15" s="69" t="s">
        <v>2653</v>
      </c>
      <c r="C15" s="2599" t="str">
        <f>估价对象房地状况!C4</f>
        <v>估价对象位于XX商圈，周边商业氛围成熟，人流量大，商业繁华度好</v>
      </c>
      <c r="D15" s="441">
        <v>100</v>
      </c>
      <c r="E15" s="442"/>
      <c r="F15" s="443">
        <f>SUMIF(76:76,E16,77:77)-SUMIF(76:76,C16,77:77)+100</f>
        <v>104</v>
      </c>
      <c r="G15" s="444"/>
      <c r="H15" s="441">
        <f>SUMIF(76:76,G16,77:77)-SUMIF(76:76,C16,77:77)+100</f>
        <v>104</v>
      </c>
      <c r="I15" s="442"/>
      <c r="J15" s="441">
        <f>SUMIF(76:76,I16,77:77)-SUMIF(76:76,C16,77:77)+100</f>
        <v>104</v>
      </c>
      <c r="K15" s="614">
        <v>4</v>
      </c>
      <c r="L15" s="1138"/>
      <c r="M15" s="1129"/>
      <c r="N15" s="1129"/>
      <c r="O15" s="1129"/>
      <c r="P15" s="3293" t="s">
        <v>2560</v>
      </c>
      <c r="Q15" s="1808" t="str">
        <f t="shared" si="6"/>
        <v>商业繁华度</v>
      </c>
      <c r="R15" s="773" t="s">
        <v>17</v>
      </c>
      <c r="S15" s="774">
        <f t="shared" si="0"/>
        <v>104</v>
      </c>
      <c r="T15" s="773" t="s">
        <v>17</v>
      </c>
      <c r="U15" s="774">
        <f t="shared" si="1"/>
        <v>104</v>
      </c>
      <c r="V15" s="773" t="s">
        <v>17</v>
      </c>
      <c r="W15" s="774">
        <f t="shared" si="2"/>
        <v>104</v>
      </c>
      <c r="X15" s="1811"/>
      <c r="Y15" s="3226" t="s">
        <v>2560</v>
      </c>
      <c r="Z15" s="1812" t="str">
        <f t="shared" si="7"/>
        <v>商业繁华度</v>
      </c>
      <c r="AA15" s="1809">
        <f t="shared" si="3"/>
        <v>0.96153846153846156</v>
      </c>
      <c r="AB15" s="1809">
        <f t="shared" si="4"/>
        <v>0.96153846153846156</v>
      </c>
      <c r="AC15" s="1809">
        <f t="shared" si="5"/>
        <v>0.96153846153846156</v>
      </c>
    </row>
    <row r="16" spans="1:29" ht="15">
      <c r="A16" s="428"/>
      <c r="B16" s="446"/>
      <c r="C16" s="447" t="s">
        <v>3253</v>
      </c>
      <c r="D16" s="448"/>
      <c r="E16" s="447" t="s">
        <v>3254</v>
      </c>
      <c r="F16" s="449"/>
      <c r="G16" s="447" t="s">
        <v>3254</v>
      </c>
      <c r="H16" s="450"/>
      <c r="I16" s="447" t="s">
        <v>3254</v>
      </c>
      <c r="J16" s="448"/>
      <c r="K16" s="615"/>
      <c r="L16" s="1138"/>
      <c r="M16" s="1129"/>
      <c r="N16" s="1129"/>
      <c r="O16" s="1129"/>
      <c r="P16" s="3294"/>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8"/>
      <c r="M17" s="1129"/>
      <c r="N17" s="1129"/>
      <c r="O17" s="1129"/>
      <c r="P17" s="3294"/>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456"/>
      <c r="C18" s="2604" t="s">
        <v>3253</v>
      </c>
      <c r="D18" s="450"/>
      <c r="E18" s="2604" t="s">
        <v>3253</v>
      </c>
      <c r="F18" s="453"/>
      <c r="G18" s="2604" t="s">
        <v>3253</v>
      </c>
      <c r="H18" s="448"/>
      <c r="I18" s="2604" t="s">
        <v>3253</v>
      </c>
      <c r="J18" s="448"/>
      <c r="K18" s="615"/>
      <c r="L18" s="1138"/>
      <c r="M18" s="1129"/>
      <c r="N18" s="1129"/>
      <c r="O18" s="1129"/>
      <c r="P18" s="3294"/>
      <c r="Q18" s="1808"/>
      <c r="R18" s="773"/>
      <c r="S18" s="774"/>
      <c r="T18" s="773"/>
      <c r="U18" s="774"/>
      <c r="V18" s="773"/>
      <c r="W18" s="774"/>
      <c r="X18" s="1811"/>
      <c r="Y18" s="3227"/>
      <c r="Z18" s="1812"/>
      <c r="AA18" s="1809">
        <v>1</v>
      </c>
      <c r="AB18" s="1809">
        <v>1</v>
      </c>
      <c r="AC18" s="1809">
        <v>1</v>
      </c>
    </row>
    <row r="19" spans="1:29" ht="42.75">
      <c r="A19" s="428"/>
      <c r="B19" s="451" t="s">
        <v>2654</v>
      </c>
      <c r="C19" s="2603"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1</v>
      </c>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1809">
        <f t="shared" si="5"/>
        <v>1</v>
      </c>
    </row>
    <row r="20" spans="1:29" ht="15">
      <c r="A20" s="428"/>
      <c r="B20" s="456"/>
      <c r="C20" s="447" t="s">
        <v>3254</v>
      </c>
      <c r="D20" s="448"/>
      <c r="E20" s="447" t="s">
        <v>3254</v>
      </c>
      <c r="F20" s="449"/>
      <c r="G20" s="447" t="s">
        <v>3254</v>
      </c>
      <c r="H20" s="448"/>
      <c r="I20" s="447" t="s">
        <v>3254</v>
      </c>
      <c r="J20" s="448"/>
      <c r="K20" s="615"/>
      <c r="L20" s="1138"/>
      <c r="M20" s="1129"/>
      <c r="N20" s="1129"/>
      <c r="O20" s="1129"/>
      <c r="P20" s="3294"/>
      <c r="Q20" s="1808"/>
      <c r="R20" s="773"/>
      <c r="S20" s="774"/>
      <c r="T20" s="773"/>
      <c r="U20" s="774"/>
      <c r="V20" s="773"/>
      <c r="W20" s="774"/>
      <c r="X20" s="1811"/>
      <c r="Y20" s="3227"/>
      <c r="Z20" s="1812"/>
      <c r="AA20" s="1809">
        <v>1</v>
      </c>
      <c r="AB20" s="1809">
        <v>1</v>
      </c>
      <c r="AC20" s="1809">
        <v>1</v>
      </c>
    </row>
    <row r="21" spans="1:29" ht="28.5">
      <c r="A21" s="428"/>
      <c r="B21" s="1382" t="s">
        <v>2655</v>
      </c>
      <c r="C21" s="2603"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t="s">
        <v>3255</v>
      </c>
      <c r="D22" s="448"/>
      <c r="E22" s="2604" t="s">
        <v>3255</v>
      </c>
      <c r="F22" s="449"/>
      <c r="G22" s="2604" t="s">
        <v>3255</v>
      </c>
      <c r="H22" s="448"/>
      <c r="I22" s="2604" t="s">
        <v>3255</v>
      </c>
      <c r="J22" s="448"/>
      <c r="K22" s="1381"/>
      <c r="L22" s="1138"/>
      <c r="M22" s="1129"/>
      <c r="N22" s="1129"/>
      <c r="O22" s="1129"/>
      <c r="P22" s="3294"/>
      <c r="Q22" s="1808"/>
      <c r="R22" s="773"/>
      <c r="S22" s="774"/>
      <c r="T22" s="773"/>
      <c r="U22" s="774"/>
      <c r="V22" s="773"/>
      <c r="W22" s="774"/>
      <c r="X22" s="1811"/>
      <c r="Y22" s="3227"/>
      <c r="Z22" s="1812"/>
      <c r="AA22" s="1809">
        <v>1</v>
      </c>
      <c r="AB22" s="1809">
        <v>1</v>
      </c>
      <c r="AC22" s="1809">
        <v>1</v>
      </c>
    </row>
    <row r="23" spans="1:29" ht="57">
      <c r="A23" s="428"/>
      <c r="B23" s="451" t="s">
        <v>2101</v>
      </c>
      <c r="C23" s="2660"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1</v>
      </c>
      <c r="L23" s="1138"/>
      <c r="M23" s="1129"/>
      <c r="N23" s="1129"/>
      <c r="O23" s="1129"/>
      <c r="P23" s="3294"/>
      <c r="Q23" s="1808" t="str">
        <f>B23</f>
        <v>自然及人文环境</v>
      </c>
      <c r="R23" s="773" t="s">
        <v>17</v>
      </c>
      <c r="S23" s="774">
        <f>F23</f>
        <v>100</v>
      </c>
      <c r="T23" s="773" t="s">
        <v>17</v>
      </c>
      <c r="U23" s="774">
        <f>H23</f>
        <v>100</v>
      </c>
      <c r="V23" s="773" t="s">
        <v>17</v>
      </c>
      <c r="W23" s="774">
        <f>J23</f>
        <v>100</v>
      </c>
      <c r="X23" s="1811"/>
      <c r="Y23" s="3227"/>
      <c r="Z23" s="1812" t="str">
        <f>Q23</f>
        <v>自然及人文环境</v>
      </c>
      <c r="AA23" s="1809">
        <f t="shared" si="3"/>
        <v>1</v>
      </c>
      <c r="AB23" s="1809">
        <f t="shared" si="4"/>
        <v>1</v>
      </c>
      <c r="AC23" s="1809">
        <f t="shared" si="5"/>
        <v>1</v>
      </c>
    </row>
    <row r="24" spans="1:29" ht="15">
      <c r="A24" s="428"/>
      <c r="B24" s="456"/>
      <c r="C24" s="447" t="s">
        <v>3254</v>
      </c>
      <c r="D24" s="448"/>
      <c r="E24" s="447" t="s">
        <v>3254</v>
      </c>
      <c r="F24" s="449"/>
      <c r="G24" s="447" t="s">
        <v>3254</v>
      </c>
      <c r="H24" s="448"/>
      <c r="I24" s="447" t="s">
        <v>3254</v>
      </c>
      <c r="J24" s="448"/>
      <c r="K24" s="615"/>
      <c r="L24" s="1138"/>
      <c r="M24" s="1129"/>
      <c r="N24" s="1129"/>
      <c r="O24" s="1129"/>
      <c r="P24" s="3294"/>
      <c r="Q24" s="1808"/>
      <c r="R24" s="773"/>
      <c r="S24" s="774"/>
      <c r="T24" s="773"/>
      <c r="U24" s="774"/>
      <c r="V24" s="773"/>
      <c r="W24" s="774"/>
      <c r="X24" s="1811"/>
      <c r="Y24" s="3227"/>
      <c r="Z24" s="1812"/>
      <c r="AA24" s="1809">
        <v>1</v>
      </c>
      <c r="AB24" s="1809">
        <v>1</v>
      </c>
      <c r="AC24" s="1809">
        <v>1</v>
      </c>
    </row>
    <row r="25" spans="1:29" ht="15">
      <c r="A25" s="428"/>
      <c r="B25" s="422" t="s">
        <v>2656</v>
      </c>
      <c r="C25" s="616" t="s">
        <v>3353</v>
      </c>
      <c r="D25" s="435">
        <v>100</v>
      </c>
      <c r="E25" s="616" t="s">
        <v>3353</v>
      </c>
      <c r="F25" s="461">
        <f>SUMIF(86:86,E25,87:87)-SUMIF(86:86,C25,87:87)+100</f>
        <v>100</v>
      </c>
      <c r="G25" s="616" t="s">
        <v>3353</v>
      </c>
      <c r="H25" s="435">
        <f>SUMIF(86:86,G25,87:87)-SUMIF(86:86,C25,87:87)+100</f>
        <v>100</v>
      </c>
      <c r="I25" s="616" t="s">
        <v>3353</v>
      </c>
      <c r="J25" s="435">
        <f>SUMIF(86:86,I25,87:87)-SUMIF(86:86,C25,87:87)+100</f>
        <v>100</v>
      </c>
      <c r="K25" s="612">
        <v>1</v>
      </c>
      <c r="L25" s="1138"/>
      <c r="M25" s="1129"/>
      <c r="N25" s="1129"/>
      <c r="O25" s="1129"/>
      <c r="P25" s="3294"/>
      <c r="Q25" s="1808" t="str">
        <f t="shared" ref="Q25:Q46" si="11">B25</f>
        <v>临街状况</v>
      </c>
      <c r="R25" s="773" t="s">
        <v>17</v>
      </c>
      <c r="S25" s="774">
        <f>F25</f>
        <v>100</v>
      </c>
      <c r="T25" s="773" t="s">
        <v>17</v>
      </c>
      <c r="U25" s="774">
        <f>H25</f>
        <v>100</v>
      </c>
      <c r="V25" s="773" t="s">
        <v>17</v>
      </c>
      <c r="W25" s="774">
        <f>J25</f>
        <v>100</v>
      </c>
      <c r="X25" s="1811"/>
      <c r="Y25" s="3227"/>
      <c r="Z25" s="1812" t="str">
        <f>Q25</f>
        <v>临街状况</v>
      </c>
      <c r="AA25" s="1809">
        <f t="shared" si="3"/>
        <v>1</v>
      </c>
      <c r="AB25" s="1809">
        <f t="shared" si="4"/>
        <v>1</v>
      </c>
      <c r="AC25" s="1809">
        <f t="shared" si="5"/>
        <v>1</v>
      </c>
    </row>
    <row r="26" spans="1:29" ht="15">
      <c r="A26" s="428"/>
      <c r="B26" s="1384" t="s">
        <v>2657</v>
      </c>
      <c r="C26" s="3018" t="s">
        <v>3350</v>
      </c>
      <c r="D26" s="435">
        <v>100</v>
      </c>
      <c r="E26" s="3018" t="s">
        <v>3350</v>
      </c>
      <c r="F26" s="461">
        <f>SUMIF(88:88,E26,89:89)-SUMIF(88:88,C26,89:89)+100</f>
        <v>100</v>
      </c>
      <c r="G26" s="3018" t="s">
        <v>3350</v>
      </c>
      <c r="H26" s="435">
        <f>SUMIF(88:88,G26,89:89)-SUMIF(88:88,C26,89:89)+100</f>
        <v>100</v>
      </c>
      <c r="I26" s="3018" t="s">
        <v>3350</v>
      </c>
      <c r="J26" s="435">
        <f>SUMIF(88:88,I26,89:89)-SUMIF(88:88,C26,89:89)+100</f>
        <v>100</v>
      </c>
      <c r="K26" s="613"/>
      <c r="L26" s="1138"/>
      <c r="M26" s="1129"/>
      <c r="N26" s="1129"/>
      <c r="O26" s="1129"/>
      <c r="P26" s="3294"/>
      <c r="Q26" s="1808" t="str">
        <f t="shared" si="11"/>
        <v>平面位置/可视性</v>
      </c>
      <c r="R26" s="773" t="s">
        <v>17</v>
      </c>
      <c r="S26" s="774">
        <f>F26</f>
        <v>100</v>
      </c>
      <c r="T26" s="773" t="s">
        <v>17</v>
      </c>
      <c r="U26" s="774">
        <f>H26</f>
        <v>100</v>
      </c>
      <c r="V26" s="773" t="s">
        <v>17</v>
      </c>
      <c r="W26" s="774">
        <f>J26</f>
        <v>100</v>
      </c>
      <c r="X26" s="1811"/>
      <c r="Y26" s="3227"/>
      <c r="Z26" s="1812" t="str">
        <f>Q26</f>
        <v>平面位置/可视性</v>
      </c>
      <c r="AA26" s="1809">
        <f t="shared" si="3"/>
        <v>1</v>
      </c>
      <c r="AB26" s="1809">
        <f t="shared" si="4"/>
        <v>1</v>
      </c>
      <c r="AC26" s="1809">
        <f t="shared" si="5"/>
        <v>1</v>
      </c>
    </row>
    <row r="27" spans="1:29" s="117" customFormat="1" ht="15">
      <c r="A27" s="431"/>
      <c r="B27" s="451" t="s">
        <v>2658</v>
      </c>
      <c r="C27" s="2661" t="s">
        <v>3253</v>
      </c>
      <c r="D27" s="462">
        <v>100</v>
      </c>
      <c r="E27" s="2661" t="s">
        <v>3254</v>
      </c>
      <c r="F27" s="464">
        <f>SUMIF(90:90,E27,91:91)-SUMIF(90:90,C27,91:91)+100</f>
        <v>104</v>
      </c>
      <c r="G27" s="2661" t="s">
        <v>3254</v>
      </c>
      <c r="H27" s="462">
        <f>SUMIF(90:90,G27,91:91)-SUMIF(90:90,C27,91:91)+100</f>
        <v>104</v>
      </c>
      <c r="I27" s="2661" t="s">
        <v>3254</v>
      </c>
      <c r="J27" s="462">
        <f>SUMIF(90:90,I27,91:91)-SUMIF(90:90,C27,91:91)+100</f>
        <v>104</v>
      </c>
      <c r="K27" s="612">
        <v>4</v>
      </c>
      <c r="L27" s="1130"/>
      <c r="M27" s="1131"/>
      <c r="N27" s="1131"/>
      <c r="O27" s="1131"/>
      <c r="P27" s="3294"/>
      <c r="Q27" s="1793" t="str">
        <f t="shared" si="11"/>
        <v>人流量</v>
      </c>
      <c r="R27" s="769" t="s">
        <v>17</v>
      </c>
      <c r="S27" s="770">
        <f>F27</f>
        <v>104</v>
      </c>
      <c r="T27" s="769" t="s">
        <v>17</v>
      </c>
      <c r="U27" s="770">
        <f>H27</f>
        <v>104</v>
      </c>
      <c r="V27" s="769" t="s">
        <v>17</v>
      </c>
      <c r="W27" s="770">
        <f>J27</f>
        <v>104</v>
      </c>
      <c r="X27" s="771"/>
      <c r="Y27" s="3227"/>
      <c r="Z27" s="55" t="str">
        <f>Q27</f>
        <v>人流量</v>
      </c>
      <c r="AA27" s="1809">
        <f>D27/F27</f>
        <v>0.96153846153846156</v>
      </c>
      <c r="AB27" s="1809">
        <f>D27/H27</f>
        <v>0.96153846153846156</v>
      </c>
      <c r="AC27" s="1809">
        <f>D27/J27</f>
        <v>0.96153846153846156</v>
      </c>
    </row>
    <row r="28" spans="1:29" ht="15.75" thickBot="1">
      <c r="A28" s="428"/>
      <c r="B28" s="422" t="s">
        <v>2659</v>
      </c>
      <c r="C28" s="616" t="s">
        <v>3352</v>
      </c>
      <c r="D28" s="435">
        <v>100</v>
      </c>
      <c r="E28" s="616" t="s">
        <v>3352</v>
      </c>
      <c r="F28" s="461">
        <f>SUMIF(92:92,E28,93:93)-SUMIF(92:92,C28,93:93)+100</f>
        <v>100</v>
      </c>
      <c r="G28" s="616" t="s">
        <v>3352</v>
      </c>
      <c r="H28" s="435">
        <f>SUMIF(92:92,G28,93:93)-SUMIF(92:92,C28,93:93)+100</f>
        <v>100</v>
      </c>
      <c r="I28" s="616" t="s">
        <v>3352</v>
      </c>
      <c r="J28" s="435">
        <f>SUMIF(92:92,I28,93:93)-SUMIF(92:92,C28,93:93)+100</f>
        <v>100</v>
      </c>
      <c r="K28" s="613"/>
      <c r="L28" s="1138"/>
      <c r="M28" s="1129"/>
      <c r="N28" s="1129"/>
      <c r="O28" s="1129"/>
      <c r="P28" s="3294"/>
      <c r="Q28" s="1808" t="str">
        <f t="shared" si="11"/>
        <v>楼层</v>
      </c>
      <c r="R28" s="773" t="s">
        <v>17</v>
      </c>
      <c r="S28" s="774">
        <f t="shared" ref="S28:S46" si="12">F28</f>
        <v>100</v>
      </c>
      <c r="T28" s="773" t="s">
        <v>17</v>
      </c>
      <c r="U28" s="774">
        <f t="shared" ref="U28:U46" si="13">H28</f>
        <v>100</v>
      </c>
      <c r="V28" s="773" t="s">
        <v>17</v>
      </c>
      <c r="W28" s="774">
        <f t="shared" ref="W28:W46" si="14">J28</f>
        <v>100</v>
      </c>
      <c r="X28" s="1811"/>
      <c r="Y28" s="3227"/>
      <c r="Z28" s="1812" t="str">
        <f t="shared" ref="Z28:Z46" si="15">Q28</f>
        <v>楼层</v>
      </c>
      <c r="AA28" s="1809">
        <f t="shared" si="3"/>
        <v>1</v>
      </c>
      <c r="AB28" s="1809">
        <f t="shared" si="4"/>
        <v>1</v>
      </c>
      <c r="AC28" s="1809">
        <f t="shared" si="5"/>
        <v>1</v>
      </c>
    </row>
    <row r="29" spans="1:29" ht="15" hidden="1">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294"/>
      <c r="Q29" s="1808">
        <f t="shared" si="11"/>
        <v>111</v>
      </c>
      <c r="R29" s="773" t="s">
        <v>17</v>
      </c>
      <c r="S29" s="774">
        <f t="shared" si="12"/>
        <v>100</v>
      </c>
      <c r="T29" s="773" t="s">
        <v>17</v>
      </c>
      <c r="U29" s="774">
        <f t="shared" si="13"/>
        <v>100</v>
      </c>
      <c r="V29" s="773" t="s">
        <v>17</v>
      </c>
      <c r="W29" s="774">
        <f t="shared" si="14"/>
        <v>100</v>
      </c>
      <c r="X29" s="1811"/>
      <c r="Y29" s="3227"/>
      <c r="Z29" s="1812">
        <f t="shared" si="15"/>
        <v>111</v>
      </c>
      <c r="AA29" s="1809">
        <f t="shared" si="3"/>
        <v>1</v>
      </c>
      <c r="AB29" s="1809">
        <f t="shared" si="4"/>
        <v>1</v>
      </c>
      <c r="AC29" s="1809">
        <f t="shared" si="5"/>
        <v>1</v>
      </c>
    </row>
    <row r="30" spans="1:29" ht="15" hidden="1">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27"/>
      <c r="Z30" s="1812">
        <f t="shared" si="15"/>
        <v>111</v>
      </c>
      <c r="AA30" s="1809">
        <f t="shared" si="3"/>
        <v>1</v>
      </c>
      <c r="AB30" s="1809">
        <f t="shared" si="4"/>
        <v>1</v>
      </c>
      <c r="AC30" s="1809">
        <f t="shared" si="5"/>
        <v>1</v>
      </c>
    </row>
    <row r="31" spans="1:29" ht="15.75" hidden="1"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27"/>
      <c r="Z31" s="1812">
        <f t="shared" si="15"/>
        <v>111</v>
      </c>
      <c r="AA31" s="1809">
        <f t="shared" si="3"/>
        <v>1</v>
      </c>
      <c r="AB31" s="1809">
        <f t="shared" si="4"/>
        <v>1</v>
      </c>
      <c r="AC31" s="1809">
        <f t="shared" si="5"/>
        <v>1</v>
      </c>
    </row>
    <row r="32" spans="1:29" ht="15">
      <c r="A32" s="440" t="s">
        <v>2563</v>
      </c>
      <c r="B32" s="71" t="s">
        <v>2660</v>
      </c>
      <c r="C32" s="2613" t="s">
        <v>3259</v>
      </c>
      <c r="D32" s="467">
        <v>100</v>
      </c>
      <c r="E32" s="2613" t="s">
        <v>3259</v>
      </c>
      <c r="F32" s="461">
        <f>SUMIF(100:100,E32,101:101)-SUMIF(100:100,C32,101:101)+100</f>
        <v>100</v>
      </c>
      <c r="G32" s="2613" t="s">
        <v>3259</v>
      </c>
      <c r="H32" s="435">
        <f>SUMIF(100:100,G32,101:101)-SUMIF(100:100,C32,101:101)+100</f>
        <v>100</v>
      </c>
      <c r="I32" s="2613" t="s">
        <v>3259</v>
      </c>
      <c r="J32" s="467">
        <f>SUMIF(100:100,I32,101:101)-SUMIF(100:100,C32,101:101)+100</f>
        <v>100</v>
      </c>
      <c r="K32" s="612">
        <v>1</v>
      </c>
      <c r="L32" s="1138"/>
      <c r="M32" s="1129"/>
      <c r="N32" s="1129"/>
      <c r="O32" s="1129"/>
      <c r="P32" s="3289" t="s">
        <v>2565</v>
      </c>
      <c r="Q32" s="1808" t="str">
        <f t="shared" si="11"/>
        <v>商业类型</v>
      </c>
      <c r="R32" s="773" t="s">
        <v>17</v>
      </c>
      <c r="S32" s="774">
        <f t="shared" si="12"/>
        <v>100</v>
      </c>
      <c r="T32" s="773" t="s">
        <v>17</v>
      </c>
      <c r="U32" s="774">
        <f t="shared" si="13"/>
        <v>100</v>
      </c>
      <c r="V32" s="773" t="s">
        <v>17</v>
      </c>
      <c r="W32" s="774">
        <f t="shared" si="14"/>
        <v>100</v>
      </c>
      <c r="X32" s="1811"/>
      <c r="Y32" s="3229" t="s">
        <v>2565</v>
      </c>
      <c r="Z32" s="1812" t="str">
        <f t="shared" si="15"/>
        <v>商业类型</v>
      </c>
      <c r="AA32" s="1809">
        <f t="shared" si="3"/>
        <v>1</v>
      </c>
      <c r="AB32" s="1809">
        <f t="shared" si="4"/>
        <v>1</v>
      </c>
      <c r="AC32" s="1809">
        <f t="shared" si="5"/>
        <v>1</v>
      </c>
    </row>
    <row r="33" spans="1:29" s="471" customFormat="1" ht="15" hidden="1">
      <c r="A33" s="468"/>
      <c r="B33" s="422" t="s">
        <v>2566</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6"/>
      <c r="M33" s="1139"/>
      <c r="N33" s="1139"/>
      <c r="O33" s="1139"/>
      <c r="P33" s="3290"/>
      <c r="Q33" s="775" t="str">
        <f t="shared" si="11"/>
        <v>项目建筑规模</v>
      </c>
      <c r="R33" s="776" t="s">
        <v>17</v>
      </c>
      <c r="S33" s="777">
        <f t="shared" si="12"/>
        <v>100</v>
      </c>
      <c r="T33" s="776" t="s">
        <v>17</v>
      </c>
      <c r="U33" s="777">
        <f t="shared" si="13"/>
        <v>100</v>
      </c>
      <c r="V33" s="776" t="s">
        <v>17</v>
      </c>
      <c r="W33" s="777">
        <f t="shared" si="14"/>
        <v>100</v>
      </c>
      <c r="X33" s="778"/>
      <c r="Y33" s="3229"/>
      <c r="Z33" s="779" t="str">
        <f t="shared" si="15"/>
        <v>项目建筑规模</v>
      </c>
      <c r="AA33" s="1809">
        <f t="shared" si="3"/>
        <v>1</v>
      </c>
      <c r="AB33" s="1809">
        <f t="shared" si="4"/>
        <v>1</v>
      </c>
      <c r="AC33" s="1809">
        <f t="shared" si="5"/>
        <v>1</v>
      </c>
    </row>
    <row r="34" spans="1:29" ht="15">
      <c r="A34" s="472"/>
      <c r="B34" s="422" t="s">
        <v>2567</v>
      </c>
      <c r="C34" s="2615" t="s">
        <v>3074</v>
      </c>
      <c r="D34" s="435">
        <v>100</v>
      </c>
      <c r="E34" s="2615" t="s">
        <v>3074</v>
      </c>
      <c r="F34" s="461">
        <f>SUMIF(105:105,E34,106:106)-SUMIF(105:105,C34,106:106)+100</f>
        <v>100</v>
      </c>
      <c r="G34" s="2615" t="s">
        <v>3074</v>
      </c>
      <c r="H34" s="435">
        <f>SUMIF(105:105,G34,106:106)-SUMIF(105:105,C34,106:106)+100</f>
        <v>100</v>
      </c>
      <c r="I34" s="2615" t="s">
        <v>3074</v>
      </c>
      <c r="J34" s="435">
        <f>SUMIF(105:105,I34,106:106)-SUMIF(105:105,C34,106:106)+100</f>
        <v>100</v>
      </c>
      <c r="K34" s="612">
        <v>1</v>
      </c>
      <c r="L34" s="1138"/>
      <c r="M34" s="1129"/>
      <c r="N34" s="1129"/>
      <c r="O34" s="1129"/>
      <c r="P34" s="3290"/>
      <c r="Q34" s="1808" t="str">
        <f t="shared" si="11"/>
        <v>建筑结构</v>
      </c>
      <c r="R34" s="773" t="s">
        <v>17</v>
      </c>
      <c r="S34" s="774">
        <f t="shared" si="12"/>
        <v>100</v>
      </c>
      <c r="T34" s="773" t="s">
        <v>17</v>
      </c>
      <c r="U34" s="774">
        <f t="shared" si="13"/>
        <v>100</v>
      </c>
      <c r="V34" s="773" t="s">
        <v>17</v>
      </c>
      <c r="W34" s="774">
        <f t="shared" si="14"/>
        <v>100</v>
      </c>
      <c r="X34" s="1811"/>
      <c r="Y34" s="3229"/>
      <c r="Z34" s="1812" t="str">
        <f t="shared" si="15"/>
        <v>建筑结构</v>
      </c>
      <c r="AA34" s="1809">
        <f t="shared" si="3"/>
        <v>1</v>
      </c>
      <c r="AB34" s="1809">
        <f t="shared" si="4"/>
        <v>1</v>
      </c>
      <c r="AC34" s="1809">
        <f t="shared" si="5"/>
        <v>1</v>
      </c>
    </row>
    <row r="35" spans="1:29" ht="15" hidden="1">
      <c r="A35" s="472"/>
      <c r="B35" s="422" t="s">
        <v>2661</v>
      </c>
      <c r="C35" s="2609"/>
      <c r="D35" s="435">
        <v>100</v>
      </c>
      <c r="E35" s="2609"/>
      <c r="F35" s="461">
        <f>SUMIF(107:107,E35,108:108)-SUMIF(107:107,C35,108:108)+100</f>
        <v>100</v>
      </c>
      <c r="G35" s="2609"/>
      <c r="H35" s="435">
        <f>SUMIF(107:107,G35,108:108)-SUMIF(107:107,C35,108:108)+100</f>
        <v>100</v>
      </c>
      <c r="I35" s="2609"/>
      <c r="J35" s="435">
        <f>SUMIF(107:107,I35,108:108)-SUMIF(107:107,C35,108:108)+100</f>
        <v>100</v>
      </c>
      <c r="K35" s="612">
        <v>1</v>
      </c>
      <c r="L35" s="1138"/>
      <c r="M35" s="1129"/>
      <c r="N35" s="1129"/>
      <c r="O35" s="1129"/>
      <c r="P35" s="3290"/>
      <c r="Q35" s="1808" t="str">
        <f t="shared" si="11"/>
        <v>公共部分装修</v>
      </c>
      <c r="R35" s="773" t="s">
        <v>17</v>
      </c>
      <c r="S35" s="774">
        <f t="shared" si="12"/>
        <v>100</v>
      </c>
      <c r="T35" s="773" t="s">
        <v>17</v>
      </c>
      <c r="U35" s="774">
        <f t="shared" si="13"/>
        <v>100</v>
      </c>
      <c r="V35" s="773" t="s">
        <v>17</v>
      </c>
      <c r="W35" s="774">
        <f t="shared" si="14"/>
        <v>100</v>
      </c>
      <c r="X35" s="1811"/>
      <c r="Y35" s="3229"/>
      <c r="Z35" s="1812" t="str">
        <f t="shared" si="15"/>
        <v>公共部分装修</v>
      </c>
      <c r="AA35" s="1809">
        <f t="shared" si="3"/>
        <v>1</v>
      </c>
      <c r="AB35" s="1809">
        <f t="shared" si="4"/>
        <v>1</v>
      </c>
      <c r="AC35" s="1809">
        <f t="shared" si="5"/>
        <v>1</v>
      </c>
    </row>
    <row r="36" spans="1:29" ht="15">
      <c r="A36" s="472"/>
      <c r="B36" s="422" t="s">
        <v>2662</v>
      </c>
      <c r="C36" s="474">
        <f>'数据-取费表'!N6</f>
        <v>0.93</v>
      </c>
      <c r="D36" s="435">
        <v>100</v>
      </c>
      <c r="E36" s="474">
        <v>0.9</v>
      </c>
      <c r="F36" s="461">
        <f>LOOKUP(E36,110:110,111:111)-LOOKUP(C36,110:110,111:111)+100</f>
        <v>100</v>
      </c>
      <c r="G36" s="474">
        <v>0.9</v>
      </c>
      <c r="H36" s="461">
        <f>LOOKUP(G36,110:110,111:111)-LOOKUP(C36,110:110,111:111)+100</f>
        <v>100</v>
      </c>
      <c r="I36" s="474">
        <v>0.9</v>
      </c>
      <c r="J36" s="435">
        <f>LOOKUP(I36,110:110,111:111)-LOOKUP(C36,110:110,111:111)+100</f>
        <v>100</v>
      </c>
      <c r="K36" s="612">
        <v>1</v>
      </c>
      <c r="L36" s="1138"/>
      <c r="M36" s="1129"/>
      <c r="N36" s="1129"/>
      <c r="O36" s="1129"/>
      <c r="P36" s="3290"/>
      <c r="Q36" s="1808" t="str">
        <f t="shared" si="11"/>
        <v>成新度</v>
      </c>
      <c r="R36" s="773" t="s">
        <v>17</v>
      </c>
      <c r="S36" s="774">
        <f t="shared" si="12"/>
        <v>100</v>
      </c>
      <c r="T36" s="773" t="s">
        <v>17</v>
      </c>
      <c r="U36" s="774">
        <f t="shared" si="13"/>
        <v>100</v>
      </c>
      <c r="V36" s="773" t="s">
        <v>17</v>
      </c>
      <c r="W36" s="774">
        <f t="shared" si="14"/>
        <v>100</v>
      </c>
      <c r="X36" s="1811"/>
      <c r="Y36" s="3229"/>
      <c r="Z36" s="1812" t="str">
        <f t="shared" si="15"/>
        <v>成新度</v>
      </c>
      <c r="AA36" s="1809">
        <f t="shared" si="3"/>
        <v>1</v>
      </c>
      <c r="AB36" s="1809">
        <f t="shared" si="4"/>
        <v>1</v>
      </c>
      <c r="AC36" s="1809">
        <f t="shared" si="5"/>
        <v>1</v>
      </c>
    </row>
    <row r="37" spans="1:29" s="117" customFormat="1" ht="15">
      <c r="A37" s="473"/>
      <c r="B37" s="422" t="s">
        <v>2663</v>
      </c>
      <c r="C37" s="2609" t="s">
        <v>3255</v>
      </c>
      <c r="D37" s="136">
        <v>100</v>
      </c>
      <c r="E37" s="2609" t="s">
        <v>3255</v>
      </c>
      <c r="F37" s="461">
        <f>SUMIF(112:112,E37,113:113)-SUMIF(112:112,C37,113:113)+100</f>
        <v>100</v>
      </c>
      <c r="G37" s="2609" t="s">
        <v>3255</v>
      </c>
      <c r="H37" s="435">
        <f>SUMIF(112:112,G37,113:113)-SUMIF(112:112,C37,113:113)+100</f>
        <v>100</v>
      </c>
      <c r="I37" s="2609" t="s">
        <v>3255</v>
      </c>
      <c r="J37" s="435">
        <f>SUMIF(112:112,I37,113:113)-SUMIF(112:112,C37,113:113)+100</f>
        <v>100</v>
      </c>
      <c r="K37" s="612">
        <v>1</v>
      </c>
      <c r="L37" s="1130"/>
      <c r="M37" s="1131"/>
      <c r="N37" s="1131"/>
      <c r="O37" s="1131"/>
      <c r="P37" s="3290"/>
      <c r="Q37" s="1793" t="str">
        <f t="shared" si="11"/>
        <v>市政基础设施</v>
      </c>
      <c r="R37" s="769" t="s">
        <v>17</v>
      </c>
      <c r="S37" s="770">
        <f t="shared" si="12"/>
        <v>100</v>
      </c>
      <c r="T37" s="769" t="s">
        <v>17</v>
      </c>
      <c r="U37" s="770">
        <f t="shared" si="13"/>
        <v>100</v>
      </c>
      <c r="V37" s="769" t="s">
        <v>17</v>
      </c>
      <c r="W37" s="770">
        <f t="shared" si="14"/>
        <v>100</v>
      </c>
      <c r="X37" s="771"/>
      <c r="Y37" s="3229"/>
      <c r="Z37" s="55" t="str">
        <f t="shared" si="15"/>
        <v>市政基础设施</v>
      </c>
      <c r="AA37" s="772">
        <f t="shared" si="3"/>
        <v>1</v>
      </c>
      <c r="AB37" s="772">
        <f t="shared" si="4"/>
        <v>1</v>
      </c>
      <c r="AC37" s="772">
        <f t="shared" si="5"/>
        <v>1</v>
      </c>
    </row>
    <row r="38" spans="1:29" ht="15" hidden="1">
      <c r="A38" s="472"/>
      <c r="B38" s="422" t="s">
        <v>2664</v>
      </c>
      <c r="C38" s="2609"/>
      <c r="D38" s="435">
        <v>100</v>
      </c>
      <c r="E38" s="2609"/>
      <c r="F38" s="461">
        <f>SUMIF(114:114,E38,115:115)-SUMIF(114:114,C38,115:115)+100</f>
        <v>100</v>
      </c>
      <c r="G38" s="2609"/>
      <c r="H38" s="435">
        <f>SUMIF(114:114,G38,115:115)-SUMIF(114:114,C38,115:115)+100</f>
        <v>100</v>
      </c>
      <c r="I38" s="2609"/>
      <c r="J38" s="435">
        <f>SUMIF(114:114,I38,115:115)-SUMIF(114:114,C38,115:115)+100</f>
        <v>100</v>
      </c>
      <c r="K38" s="612">
        <v>1</v>
      </c>
      <c r="L38" s="1138"/>
      <c r="M38" s="1129"/>
      <c r="N38" s="1129"/>
      <c r="O38" s="1129"/>
      <c r="P38" s="3290" t="s">
        <v>2565</v>
      </c>
      <c r="Q38" s="1808" t="str">
        <f t="shared" si="11"/>
        <v>业态</v>
      </c>
      <c r="R38" s="773" t="s">
        <v>17</v>
      </c>
      <c r="S38" s="774">
        <f t="shared" si="12"/>
        <v>100</v>
      </c>
      <c r="T38" s="773" t="s">
        <v>17</v>
      </c>
      <c r="U38" s="774">
        <f t="shared" si="13"/>
        <v>100</v>
      </c>
      <c r="V38" s="773" t="s">
        <v>17</v>
      </c>
      <c r="W38" s="774">
        <f t="shared" si="14"/>
        <v>100</v>
      </c>
      <c r="X38" s="1811"/>
      <c r="Y38" s="3229" t="s">
        <v>2565</v>
      </c>
      <c r="Z38" s="1812" t="str">
        <f t="shared" si="15"/>
        <v>业态</v>
      </c>
      <c r="AA38" s="1809">
        <f t="shared" si="3"/>
        <v>1</v>
      </c>
      <c r="AB38" s="1809">
        <f t="shared" si="4"/>
        <v>1</v>
      </c>
      <c r="AC38" s="1809">
        <f t="shared" si="5"/>
        <v>1</v>
      </c>
    </row>
    <row r="39" spans="1:29" ht="15" hidden="1">
      <c r="A39" s="472"/>
      <c r="B39" s="422" t="s">
        <v>2665</v>
      </c>
      <c r="C39" s="2609"/>
      <c r="D39" s="435">
        <v>100</v>
      </c>
      <c r="E39" s="2609"/>
      <c r="F39" s="461">
        <f>SUMIF(116:116,E39,117:117)-SUMIF(116:116,C39,117:117)+100</f>
        <v>100</v>
      </c>
      <c r="G39" s="2609"/>
      <c r="H39" s="435">
        <f>SUMIF(116:116,G39,117:117)-SUMIF(116:116,C39,117:117)+100</f>
        <v>100</v>
      </c>
      <c r="I39" s="2609"/>
      <c r="J39" s="435">
        <f>SUMIF(116:116,I39,117:117)-SUMIF(116:116,C39,117:117)+100</f>
        <v>100</v>
      </c>
      <c r="K39" s="612">
        <v>1</v>
      </c>
      <c r="L39" s="1138"/>
      <c r="M39" s="1129"/>
      <c r="N39" s="1129"/>
      <c r="O39" s="1129"/>
      <c r="P39" s="3290"/>
      <c r="Q39" s="1808" t="str">
        <f t="shared" si="11"/>
        <v>层高</v>
      </c>
      <c r="R39" s="773" t="s">
        <v>17</v>
      </c>
      <c r="S39" s="774">
        <f t="shared" si="12"/>
        <v>100</v>
      </c>
      <c r="T39" s="773" t="s">
        <v>17</v>
      </c>
      <c r="U39" s="774">
        <f t="shared" si="13"/>
        <v>100</v>
      </c>
      <c r="V39" s="773" t="s">
        <v>17</v>
      </c>
      <c r="W39" s="774">
        <f t="shared" si="14"/>
        <v>100</v>
      </c>
      <c r="X39" s="1811"/>
      <c r="Y39" s="3229"/>
      <c r="Z39" s="1812" t="str">
        <f t="shared" si="15"/>
        <v>层高</v>
      </c>
      <c r="AA39" s="1809">
        <f t="shared" si="3"/>
        <v>1</v>
      </c>
      <c r="AB39" s="1809">
        <f t="shared" si="4"/>
        <v>1</v>
      </c>
      <c r="AC39" s="1809">
        <f t="shared" si="5"/>
        <v>1</v>
      </c>
    </row>
    <row r="40" spans="1:29" ht="15" hidden="1">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290"/>
      <c r="Q40" s="1808" t="str">
        <f t="shared" si="11"/>
        <v>单套建筑面积</v>
      </c>
      <c r="R40" s="773" t="s">
        <v>17</v>
      </c>
      <c r="S40" s="774">
        <f t="shared" si="12"/>
        <v>100</v>
      </c>
      <c r="T40" s="773" t="s">
        <v>17</v>
      </c>
      <c r="U40" s="774">
        <f t="shared" si="13"/>
        <v>100</v>
      </c>
      <c r="V40" s="773" t="s">
        <v>17</v>
      </c>
      <c r="W40" s="774">
        <f t="shared" si="14"/>
        <v>100</v>
      </c>
      <c r="X40" s="1811"/>
      <c r="Y40" s="3229"/>
      <c r="Z40" s="1812" t="str">
        <f t="shared" si="15"/>
        <v>单套建筑面积</v>
      </c>
      <c r="AA40" s="1809">
        <f t="shared" si="3"/>
        <v>1</v>
      </c>
      <c r="AB40" s="1809">
        <f t="shared" si="4"/>
        <v>1</v>
      </c>
      <c r="AC40" s="1809">
        <f t="shared" si="5"/>
        <v>1</v>
      </c>
    </row>
    <row r="41" spans="1:29" s="471" customFormat="1" ht="15" hidden="1">
      <c r="A41" s="468"/>
      <c r="B41" s="1810"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6"/>
      <c r="M41" s="1139"/>
      <c r="N41" s="1139"/>
      <c r="O41" s="1139"/>
      <c r="P41" s="3290"/>
      <c r="Q41" s="775" t="str">
        <f t="shared" si="11"/>
        <v>进深比</v>
      </c>
      <c r="R41" s="776" t="s">
        <v>17</v>
      </c>
      <c r="S41" s="777">
        <f t="shared" si="12"/>
        <v>100</v>
      </c>
      <c r="T41" s="776" t="s">
        <v>17</v>
      </c>
      <c r="U41" s="777">
        <f t="shared" si="13"/>
        <v>100</v>
      </c>
      <c r="V41" s="776" t="s">
        <v>17</v>
      </c>
      <c r="W41" s="777">
        <f t="shared" si="14"/>
        <v>100</v>
      </c>
      <c r="X41" s="778"/>
      <c r="Y41" s="3229"/>
      <c r="Z41" s="779" t="str">
        <f t="shared" si="15"/>
        <v>进深比</v>
      </c>
      <c r="AA41" s="1809">
        <f t="shared" si="3"/>
        <v>1</v>
      </c>
      <c r="AB41" s="1809">
        <f t="shared" si="4"/>
        <v>1</v>
      </c>
      <c r="AC41" s="1809">
        <f t="shared" si="5"/>
        <v>1</v>
      </c>
    </row>
    <row r="42" spans="1:29" ht="15">
      <c r="A42" s="472"/>
      <c r="B42" s="422" t="s">
        <v>2668</v>
      </c>
      <c r="C42" s="2609" t="s">
        <v>3265</v>
      </c>
      <c r="D42" s="435">
        <v>100</v>
      </c>
      <c r="E42" s="2609" t="s">
        <v>3265</v>
      </c>
      <c r="F42" s="461">
        <f>SUMIF(122:122,E42,123:123)-SUMIF(122:122,C42,123:123)+100</f>
        <v>100</v>
      </c>
      <c r="G42" s="2609" t="s">
        <v>3265</v>
      </c>
      <c r="H42" s="435">
        <f>SUMIF(122:122,G42,123:123)-SUMIF(122:122,C42,123:123)+100</f>
        <v>100</v>
      </c>
      <c r="I42" s="2609" t="s">
        <v>3265</v>
      </c>
      <c r="J42" s="435">
        <f>SUMIF(122:122,I42,123:123)-SUMIF(122:122,C42,123:123)+100</f>
        <v>100</v>
      </c>
      <c r="K42" s="612">
        <v>1</v>
      </c>
      <c r="L42" s="1138"/>
      <c r="M42" s="1129"/>
      <c r="N42" s="1129"/>
      <c r="O42" s="1129"/>
      <c r="P42" s="3290"/>
      <c r="Q42" s="1808" t="str">
        <f t="shared" si="11"/>
        <v>内部装修</v>
      </c>
      <c r="R42" s="773" t="s">
        <v>17</v>
      </c>
      <c r="S42" s="774">
        <f t="shared" si="12"/>
        <v>100</v>
      </c>
      <c r="T42" s="773" t="s">
        <v>17</v>
      </c>
      <c r="U42" s="774">
        <f t="shared" si="13"/>
        <v>100</v>
      </c>
      <c r="V42" s="773" t="s">
        <v>17</v>
      </c>
      <c r="W42" s="774">
        <f t="shared" si="14"/>
        <v>100</v>
      </c>
      <c r="X42" s="1811"/>
      <c r="Y42" s="3229"/>
      <c r="Z42" s="1812" t="str">
        <f t="shared" si="15"/>
        <v>内部装修</v>
      </c>
      <c r="AA42" s="1809">
        <f t="shared" si="3"/>
        <v>1</v>
      </c>
      <c r="AB42" s="1809">
        <f t="shared" si="4"/>
        <v>1</v>
      </c>
      <c r="AC42" s="1809">
        <f t="shared" si="5"/>
        <v>1</v>
      </c>
    </row>
    <row r="43" spans="1:29" ht="16.5" customHeight="1" thickBot="1">
      <c r="A43" s="472"/>
      <c r="B43" s="422" t="s">
        <v>2576</v>
      </c>
      <c r="C43" s="2609" t="s">
        <v>3254</v>
      </c>
      <c r="D43" s="435">
        <v>100</v>
      </c>
      <c r="E43" s="2609" t="s">
        <v>3254</v>
      </c>
      <c r="F43" s="461">
        <f>SUMIF(124:124,E43,125:125)-SUMIF(124:124,C43,125:125)+100</f>
        <v>100</v>
      </c>
      <c r="G43" s="2609" t="s">
        <v>3254</v>
      </c>
      <c r="H43" s="435">
        <f>SUMIF(124:124,G43,125:125)-SUMIF(124:124,C43,125:125)+100</f>
        <v>100</v>
      </c>
      <c r="I43" s="2609" t="s">
        <v>3254</v>
      </c>
      <c r="J43" s="435">
        <f>SUMIF(124:124,I43,125:125)-SUMIF(124:124,C43,125:125)+100</f>
        <v>100</v>
      </c>
      <c r="K43" s="612">
        <v>1</v>
      </c>
      <c r="L43" s="1138"/>
      <c r="M43" s="1129"/>
      <c r="N43" s="1129"/>
      <c r="O43" s="1129"/>
      <c r="P43" s="3290"/>
      <c r="Q43" s="1808" t="str">
        <f t="shared" si="11"/>
        <v>内部装修维护情况</v>
      </c>
      <c r="R43" s="773" t="s">
        <v>17</v>
      </c>
      <c r="S43" s="774">
        <f t="shared" si="12"/>
        <v>100</v>
      </c>
      <c r="T43" s="773" t="s">
        <v>17</v>
      </c>
      <c r="U43" s="774">
        <f t="shared" si="13"/>
        <v>100</v>
      </c>
      <c r="V43" s="773" t="s">
        <v>17</v>
      </c>
      <c r="W43" s="774">
        <f t="shared" si="14"/>
        <v>100</v>
      </c>
      <c r="X43" s="1811"/>
      <c r="Y43" s="3229"/>
      <c r="Z43" s="1812" t="str">
        <f t="shared" si="15"/>
        <v>内部装修维护情况</v>
      </c>
      <c r="AA43" s="1809">
        <f t="shared" si="3"/>
        <v>1</v>
      </c>
      <c r="AB43" s="1809">
        <f t="shared" si="4"/>
        <v>1</v>
      </c>
      <c r="AC43" s="1809">
        <f t="shared" si="5"/>
        <v>1</v>
      </c>
    </row>
    <row r="44" spans="1:29" s="117" customFormat="1" ht="15" hidden="1">
      <c r="A44" s="473"/>
      <c r="B44" s="3017" t="s">
        <v>3349</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290"/>
      <c r="Q44" s="1793" t="str">
        <f t="shared" si="11"/>
        <v>建筑品质</v>
      </c>
      <c r="R44" s="769" t="s">
        <v>17</v>
      </c>
      <c r="S44" s="770">
        <f t="shared" si="12"/>
        <v>100</v>
      </c>
      <c r="T44" s="769" t="s">
        <v>17</v>
      </c>
      <c r="U44" s="770">
        <f t="shared" si="13"/>
        <v>100</v>
      </c>
      <c r="V44" s="769" t="s">
        <v>17</v>
      </c>
      <c r="W44" s="770">
        <f t="shared" si="14"/>
        <v>100</v>
      </c>
      <c r="X44" s="771"/>
      <c r="Y44" s="3229"/>
      <c r="Z44" s="55" t="str">
        <f t="shared" si="15"/>
        <v>建筑品质</v>
      </c>
      <c r="AA44" s="772">
        <f t="shared" si="3"/>
        <v>1</v>
      </c>
      <c r="AB44" s="772">
        <f t="shared" si="4"/>
        <v>1</v>
      </c>
      <c r="AC44" s="772">
        <f t="shared" si="5"/>
        <v>1</v>
      </c>
    </row>
    <row r="45" spans="1:29" ht="15" hidden="1">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290"/>
      <c r="Q45" s="1808">
        <f t="shared" si="11"/>
        <v>111</v>
      </c>
      <c r="R45" s="773" t="s">
        <v>17</v>
      </c>
      <c r="S45" s="774">
        <f t="shared" si="12"/>
        <v>100</v>
      </c>
      <c r="T45" s="773" t="s">
        <v>17</v>
      </c>
      <c r="U45" s="774">
        <f t="shared" si="13"/>
        <v>100</v>
      </c>
      <c r="V45" s="773" t="s">
        <v>17</v>
      </c>
      <c r="W45" s="774">
        <f t="shared" si="14"/>
        <v>100</v>
      </c>
      <c r="X45" s="1811"/>
      <c r="Y45" s="3229"/>
      <c r="Z45" s="1812">
        <f t="shared" si="15"/>
        <v>111</v>
      </c>
      <c r="AA45" s="1809">
        <f t="shared" si="3"/>
        <v>1</v>
      </c>
      <c r="AB45" s="1809">
        <f t="shared" si="4"/>
        <v>1</v>
      </c>
      <c r="AC45" s="1809">
        <f t="shared" si="5"/>
        <v>1</v>
      </c>
    </row>
    <row r="46" spans="1:29" ht="15.75" hidden="1" thickBot="1">
      <c r="A46" s="478"/>
      <c r="B46" s="2598">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291"/>
      <c r="Q46" s="1808">
        <f t="shared" si="11"/>
        <v>111</v>
      </c>
      <c r="R46" s="773" t="s">
        <v>17</v>
      </c>
      <c r="S46" s="774">
        <f t="shared" si="12"/>
        <v>100</v>
      </c>
      <c r="T46" s="773" t="s">
        <v>17</v>
      </c>
      <c r="U46" s="774">
        <f t="shared" si="13"/>
        <v>100</v>
      </c>
      <c r="V46" s="773" t="s">
        <v>17</v>
      </c>
      <c r="W46" s="774">
        <f t="shared" si="14"/>
        <v>100</v>
      </c>
      <c r="X46" s="1811"/>
      <c r="Y46" s="3292"/>
      <c r="Z46" s="1812">
        <f t="shared" si="15"/>
        <v>111</v>
      </c>
      <c r="AA46" s="1809">
        <f t="shared" si="3"/>
        <v>1</v>
      </c>
      <c r="AB46" s="1809">
        <f t="shared" si="4"/>
        <v>1</v>
      </c>
      <c r="AC46" s="1809">
        <f t="shared" si="5"/>
        <v>1</v>
      </c>
    </row>
    <row r="47" spans="1:29" ht="15">
      <c r="A47" s="479" t="s">
        <v>2577</v>
      </c>
      <c r="B47" s="480"/>
      <c r="C47" s="1405" t="s">
        <v>1</v>
      </c>
      <c r="D47" s="1406"/>
      <c r="E47" s="1407">
        <v>17000</v>
      </c>
      <c r="F47" s="1408"/>
      <c r="G47" s="1409">
        <v>16000</v>
      </c>
      <c r="H47" s="1410"/>
      <c r="I47" s="1407">
        <v>15000</v>
      </c>
      <c r="J47" s="1410"/>
      <c r="K47" s="782"/>
      <c r="L47" s="1141"/>
      <c r="M47" s="1142"/>
      <c r="N47" s="1129"/>
      <c r="O47" s="1142"/>
      <c r="P47" s="3224" t="str">
        <f>A47</f>
        <v>成交单价（元/平方米）</v>
      </c>
      <c r="Q47" s="3224"/>
      <c r="R47" s="3230">
        <f>E47</f>
        <v>17000</v>
      </c>
      <c r="S47" s="3230"/>
      <c r="T47" s="3230">
        <f>G47</f>
        <v>16000</v>
      </c>
      <c r="U47" s="3230"/>
      <c r="V47" s="3230">
        <f>I47</f>
        <v>15000</v>
      </c>
      <c r="W47" s="3230"/>
      <c r="X47" s="758"/>
      <c r="Y47" s="780"/>
      <c r="Z47" s="758"/>
      <c r="AA47" s="758"/>
      <c r="AB47" s="758"/>
      <c r="AC47" s="758"/>
    </row>
    <row r="48" spans="1:29" ht="15.75" thickBot="1">
      <c r="A48" s="486" t="s">
        <v>2669</v>
      </c>
      <c r="B48" s="487"/>
      <c r="C48" s="1411">
        <f>R49</f>
        <v>14793</v>
      </c>
      <c r="D48" s="1412"/>
      <c r="E48" s="1413">
        <f>R48</f>
        <v>15717</v>
      </c>
      <c r="F48" s="1413"/>
      <c r="G48" s="1411">
        <f>T48</f>
        <v>14793</v>
      </c>
      <c r="H48" s="1412"/>
      <c r="I48" s="1413">
        <f>V48</f>
        <v>13868</v>
      </c>
      <c r="J48" s="1412"/>
      <c r="K48" s="783"/>
      <c r="L48" s="1141"/>
      <c r="M48" s="1142"/>
      <c r="N48" s="1129"/>
      <c r="O48" s="1142"/>
      <c r="P48" s="3224" t="str">
        <f>A48</f>
        <v>比较价值（元/平方米）</v>
      </c>
      <c r="Q48" s="3224"/>
      <c r="R48" s="3288">
        <f>IF(F1="售价",ROUND(PRODUCT(R47,AA7:AA46),0),ROUND(PRODUCT(R47,AA7:AA46),1))</f>
        <v>15717</v>
      </c>
      <c r="S48" s="3288"/>
      <c r="T48" s="3288">
        <f>IF(F1="售价",ROUND(PRODUCT(T47,AB7:AB46),0),ROUND(PRODUCT(T47,AB7:AB46),1))</f>
        <v>14793</v>
      </c>
      <c r="U48" s="3288"/>
      <c r="V48" s="3288">
        <f>IF(F1="售价",ROUND(PRODUCT(V47,AC7:AC46),0),ROUND(PRODUCT(V47,AC7:AC46),1))</f>
        <v>13868</v>
      </c>
      <c r="W48" s="3288"/>
      <c r="X48" s="758"/>
      <c r="Y48" s="758"/>
      <c r="Z48" s="758"/>
      <c r="AA48" s="758"/>
      <c r="AB48" s="758"/>
      <c r="AC48" s="758"/>
    </row>
    <row r="49" spans="1:29" ht="15.75" thickBot="1">
      <c r="A49" s="492" t="s">
        <v>2670</v>
      </c>
      <c r="B49" s="493"/>
      <c r="C49" s="1415">
        <f>R49</f>
        <v>14793</v>
      </c>
      <c r="D49" s="1415"/>
      <c r="E49" s="1415"/>
      <c r="F49" s="1415"/>
      <c r="G49" s="1415"/>
      <c r="H49" s="1415"/>
      <c r="I49" s="1415"/>
      <c r="J49" s="1415"/>
      <c r="K49" s="784"/>
      <c r="L49" s="1141"/>
      <c r="M49" s="1142"/>
      <c r="N49" s="1129"/>
      <c r="O49" s="1142"/>
      <c r="P49" s="3218" t="str">
        <f>A49</f>
        <v>估价对象XX用房的比较价值（楼面单价，元/平方米）</v>
      </c>
      <c r="Q49" s="3219"/>
      <c r="R49" s="3287">
        <f>IF(F1="售价",ROUND(AVERAGE(R48:V48),0),ROUND(AVERAGE(R48:V48),1))</f>
        <v>14793</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c r="P50" s="675"/>
      <c r="Q50" s="758"/>
      <c r="R50" s="758"/>
      <c r="S50" s="758"/>
      <c r="T50" s="758"/>
      <c r="U50" s="758"/>
      <c r="V50" s="758"/>
      <c r="W50" s="758"/>
      <c r="X50" s="758"/>
      <c r="Y50" s="758"/>
      <c r="Z50" s="758"/>
      <c r="AA50" s="758"/>
      <c r="AB50" s="758"/>
      <c r="AC50" s="758"/>
    </row>
    <row r="51" spans="1:29">
      <c r="A51" s="1142"/>
      <c r="B51" s="1142"/>
      <c r="C51" s="1142"/>
      <c r="D51" s="1142"/>
      <c r="E51" s="1142"/>
      <c r="F51" s="1142"/>
      <c r="G51" s="1142"/>
      <c r="H51" s="1142"/>
      <c r="I51" s="1142"/>
      <c r="J51" s="1142"/>
      <c r="K51" s="1103"/>
      <c r="L51" s="1104"/>
      <c r="M51" s="1142"/>
      <c r="N51" s="1142"/>
      <c r="O51" s="1142"/>
      <c r="P51" s="675"/>
      <c r="Q51" s="758"/>
      <c r="R51" s="758"/>
      <c r="S51" s="758"/>
      <c r="T51" s="758"/>
      <c r="U51" s="758"/>
      <c r="V51" s="758"/>
      <c r="W51" s="758"/>
      <c r="X51" s="758"/>
      <c r="Y51" s="758"/>
      <c r="Z51" s="758"/>
      <c r="AA51" s="758"/>
      <c r="AB51" s="758"/>
      <c r="AC51" s="758"/>
    </row>
    <row r="52" spans="1:29" ht="13.5" customHeight="1">
      <c r="A52" s="1142"/>
      <c r="B52" s="1142"/>
      <c r="C52" s="497" t="s">
        <v>2671</v>
      </c>
      <c r="D52" s="498"/>
      <c r="E52" s="499">
        <f>IF(E47&lt;E48,E48/E47-1,E47/E48-1)</f>
        <v>8.1631354584208227E-2</v>
      </c>
      <c r="F52" s="500" t="str">
        <f>IF(OR(E52&gt;=0.3,E52&lt;=-0.3),"超过30%","")</f>
        <v/>
      </c>
      <c r="G52" s="499">
        <f>IF(G47&lt;G48,G48/G47-1,G47/G48-1)</f>
        <v>8.1592645170012856E-2</v>
      </c>
      <c r="H52" s="500" t="str">
        <f>IF(OR(G52&gt;=0.3,G52&lt;=-0.3),"超过30%","")</f>
        <v/>
      </c>
      <c r="I52" s="499">
        <f>IF(I47&lt;I48,I48/I47-1,I47/I48-1)</f>
        <v>8.1626766657052263E-2</v>
      </c>
      <c r="J52" s="500" t="str">
        <f>IF(OR(I52&gt;=0.3,I52&lt;=-0.3),"超过30%","")</f>
        <v/>
      </c>
      <c r="K52" s="1103"/>
      <c r="L52" s="1104"/>
      <c r="M52" s="1142"/>
      <c r="N52" s="1142"/>
      <c r="O52" s="1142"/>
      <c r="P52" s="675"/>
      <c r="Q52" s="758"/>
      <c r="R52" s="758"/>
      <c r="S52" s="758"/>
      <c r="T52" s="758"/>
      <c r="U52" s="758"/>
      <c r="V52" s="758"/>
      <c r="W52" s="758"/>
      <c r="X52" s="758"/>
      <c r="Y52" s="758"/>
      <c r="Z52" s="758"/>
      <c r="AA52" s="758"/>
      <c r="AB52" s="758"/>
      <c r="AC52" s="758"/>
    </row>
    <row r="53" spans="1:29" ht="13.5" customHeight="1">
      <c r="A53" s="1142"/>
      <c r="B53" s="1142"/>
      <c r="C53" s="497" t="s">
        <v>2672</v>
      </c>
      <c r="D53" s="501"/>
      <c r="E53" s="499">
        <f>IF(E48&lt;G48,G48/E48-1,E48/G48-1)</f>
        <v>6.2461975258568225E-2</v>
      </c>
      <c r="F53" s="500" t="str">
        <f>IF(OR(E53&gt;=0.2,E53&lt;=-0.2),"超过20%","")</f>
        <v/>
      </c>
      <c r="G53" s="499">
        <f>IF(G48&lt;I48,I48/G48-1,G48/I48-1)</f>
        <v>6.6700317277184951E-2</v>
      </c>
      <c r="H53" s="500" t="str">
        <f>IF(OR(G53&gt;=0.2,G53&lt;=-0.2),"超过20%","")</f>
        <v/>
      </c>
      <c r="I53" s="499">
        <f>IF(I48&lt;E48,E48/I48-1,I48/E48-1)</f>
        <v>0.13332852610325929</v>
      </c>
      <c r="J53" s="500" t="str">
        <f>IF(OR(I53&gt;=0.2,I53&lt;=-0.2),"超过20%","")</f>
        <v/>
      </c>
      <c r="K53" s="1103"/>
      <c r="L53" s="1104"/>
      <c r="M53" s="1142"/>
      <c r="N53" s="1142"/>
      <c r="O53" s="1142"/>
      <c r="P53" s="675"/>
      <c r="Q53" s="758"/>
      <c r="R53" s="758"/>
      <c r="S53" s="758"/>
      <c r="T53" s="758"/>
      <c r="U53" s="758"/>
      <c r="V53" s="758"/>
      <c r="W53" s="758"/>
      <c r="X53" s="758"/>
      <c r="Y53" s="758"/>
      <c r="Z53" s="758"/>
      <c r="AA53" s="758"/>
      <c r="AB53" s="758"/>
      <c r="AC53" s="758"/>
    </row>
    <row r="54" spans="1:29" s="502" customFormat="1" ht="13.5" customHeight="1">
      <c r="A54" s="1143"/>
      <c r="B54" s="1143"/>
      <c r="C54" s="497" t="s">
        <v>2673</v>
      </c>
      <c r="D54" s="501"/>
      <c r="E54" s="499">
        <f>IF(E47&lt;G47,G47/E47-1,E47/G47-1)</f>
        <v>6.25E-2</v>
      </c>
      <c r="F54" s="500" t="str">
        <f>IF(OR(E54&gt;=0.3,E54&lt;=-0.3),"超过30%","")</f>
        <v/>
      </c>
      <c r="G54" s="499">
        <f>IF(G47&lt;I47,I47/G47-1,G47/I47-1)</f>
        <v>6.6666666666666652E-2</v>
      </c>
      <c r="H54" s="500" t="str">
        <f>IF(OR(G54&gt;=0.3,G54&lt;=-0.3),"超过30%","")</f>
        <v/>
      </c>
      <c r="I54" s="499">
        <f>IF(I47&lt;E47,E47/I47-1,I47/E47-1)</f>
        <v>0.1333333333333333</v>
      </c>
      <c r="J54" s="500" t="str">
        <f>IF(OR(I54&gt;=0.3,I54&lt;=-0.3),"超过30%","")</f>
        <v/>
      </c>
      <c r="K54" s="1146"/>
      <c r="L54" s="1147"/>
      <c r="M54" s="1143"/>
      <c r="N54" s="1143"/>
      <c r="O54" s="1143"/>
      <c r="P54" s="2662"/>
      <c r="Q54" s="759"/>
      <c r="R54" s="759"/>
      <c r="S54" s="759"/>
      <c r="T54" s="759"/>
      <c r="U54" s="759"/>
      <c r="V54" s="759"/>
      <c r="W54" s="759"/>
      <c r="X54" s="759"/>
      <c r="Y54" s="759"/>
      <c r="Z54" s="759"/>
      <c r="AA54" s="759"/>
      <c r="AB54" s="759"/>
      <c r="AC54" s="759"/>
    </row>
    <row r="55" spans="1:29" s="502" customFormat="1">
      <c r="A55" s="1143"/>
      <c r="B55" s="1144"/>
      <c r="C55" s="1148"/>
      <c r="D55" s="1143"/>
      <c r="E55" s="1143"/>
      <c r="F55" s="1143"/>
      <c r="G55" s="1143"/>
      <c r="H55" s="1143"/>
      <c r="I55" s="1143"/>
      <c r="J55" s="1143"/>
      <c r="K55" s="1146"/>
      <c r="L55" s="1147"/>
      <c r="M55" s="1143"/>
      <c r="N55" s="1143"/>
      <c r="O55" s="1143"/>
      <c r="P55" s="2662"/>
      <c r="Q55" s="759"/>
      <c r="R55" s="759"/>
      <c r="S55" s="759"/>
      <c r="T55" s="759"/>
      <c r="U55" s="759"/>
      <c r="V55" s="759"/>
      <c r="W55" s="759"/>
      <c r="X55" s="759"/>
      <c r="Y55" s="759"/>
      <c r="Z55" s="759"/>
      <c r="AA55" s="759"/>
      <c r="AB55" s="759"/>
      <c r="AC55" s="759"/>
    </row>
    <row r="56" spans="1:29">
      <c r="A56" s="1142"/>
      <c r="B56" s="1144"/>
      <c r="C56" s="1148"/>
      <c r="D56" s="1142"/>
      <c r="E56" s="1142"/>
      <c r="F56" s="1142"/>
      <c r="G56" s="1142"/>
      <c r="H56" s="1142"/>
      <c r="I56" s="1142"/>
      <c r="J56" s="1142"/>
      <c r="K56" s="1103"/>
      <c r="L56" s="1104"/>
      <c r="M56" s="1142"/>
      <c r="N56" s="1142"/>
      <c r="O56" s="1142"/>
      <c r="P56" s="675"/>
      <c r="Q56" s="758"/>
      <c r="R56" s="758"/>
      <c r="S56" s="758"/>
      <c r="T56" s="758"/>
      <c r="U56" s="758"/>
      <c r="V56" s="758"/>
      <c r="W56" s="758"/>
      <c r="X56" s="758"/>
      <c r="Y56" s="758"/>
      <c r="Z56" s="758"/>
      <c r="AA56" s="758"/>
      <c r="AB56" s="758"/>
      <c r="AC56" s="758"/>
    </row>
    <row r="57" spans="1:29" ht="21.75" thickBot="1">
      <c r="A57" s="762" t="s">
        <v>2674</v>
      </c>
      <c r="B57" s="758"/>
      <c r="C57" s="763"/>
      <c r="D57" s="763"/>
      <c r="E57" s="763"/>
      <c r="F57" s="764"/>
      <c r="G57" s="764"/>
      <c r="H57" s="763"/>
      <c r="I57" s="763"/>
      <c r="J57" s="763"/>
      <c r="K57" s="765"/>
      <c r="L57" s="1159"/>
      <c r="M57" s="1157"/>
      <c r="N57" s="1157"/>
      <c r="O57" s="1157"/>
      <c r="P57" s="2663"/>
      <c r="Q57" s="2664"/>
      <c r="R57" s="758"/>
      <c r="S57" s="758"/>
      <c r="T57" s="758"/>
      <c r="U57" s="758"/>
      <c r="V57" s="758"/>
      <c r="W57" s="758"/>
      <c r="X57" s="758"/>
      <c r="Y57" s="758"/>
      <c r="Z57" s="758"/>
      <c r="AA57" s="758"/>
      <c r="AB57" s="758"/>
      <c r="AC57" s="758"/>
    </row>
    <row r="58" spans="1:29" s="508" customFormat="1" ht="15">
      <c r="A58" s="505" t="s">
        <v>2548</v>
      </c>
      <c r="B58" s="506"/>
      <c r="C58" s="1572" t="str">
        <f>YEAR(C7)&amp;"-"&amp;MONTH(C7)</f>
        <v>2019-9</v>
      </c>
      <c r="D58" s="1573">
        <f>EDATE(C58,-1)</f>
        <v>43678</v>
      </c>
      <c r="E58" s="1573">
        <f t="shared" ref="E58:N58" si="16">EDATE(D58,-1)</f>
        <v>43647</v>
      </c>
      <c r="F58" s="1573">
        <f t="shared" si="16"/>
        <v>43617</v>
      </c>
      <c r="G58" s="1573">
        <f t="shared" si="16"/>
        <v>43586</v>
      </c>
      <c r="H58" s="1573">
        <f t="shared" si="16"/>
        <v>43556</v>
      </c>
      <c r="I58" s="1573">
        <f t="shared" si="16"/>
        <v>43525</v>
      </c>
      <c r="J58" s="1573">
        <f t="shared" si="16"/>
        <v>43497</v>
      </c>
      <c r="K58" s="1573">
        <f t="shared" si="16"/>
        <v>43466</v>
      </c>
      <c r="L58" s="1573">
        <f t="shared" si="16"/>
        <v>43435</v>
      </c>
      <c r="M58" s="1573">
        <f t="shared" si="16"/>
        <v>43405</v>
      </c>
      <c r="N58" s="1573">
        <f t="shared" si="16"/>
        <v>43374</v>
      </c>
      <c r="O58" s="1573">
        <f>EDATE(N58,-1)</f>
        <v>43344</v>
      </c>
      <c r="P58" s="1568"/>
    </row>
    <row r="59" spans="1:29" s="117" customFormat="1" ht="15">
      <c r="A59" s="509"/>
      <c r="B59" s="510"/>
      <c r="C59" s="1571">
        <v>100</v>
      </c>
      <c r="D59" s="512">
        <f>C59-0.5</f>
        <v>99.5</v>
      </c>
      <c r="E59" s="512">
        <f t="shared" ref="E59:N59" si="17">D59-0.5</f>
        <v>99</v>
      </c>
      <c r="F59" s="512">
        <f t="shared" si="17"/>
        <v>98.5</v>
      </c>
      <c r="G59" s="512">
        <f t="shared" si="17"/>
        <v>98</v>
      </c>
      <c r="H59" s="512">
        <f t="shared" si="17"/>
        <v>97.5</v>
      </c>
      <c r="I59" s="512">
        <f t="shared" si="17"/>
        <v>97</v>
      </c>
      <c r="J59" s="512">
        <f t="shared" si="17"/>
        <v>96.5</v>
      </c>
      <c r="K59" s="512">
        <f t="shared" si="17"/>
        <v>96</v>
      </c>
      <c r="L59" s="512">
        <f t="shared" si="17"/>
        <v>95.5</v>
      </c>
      <c r="M59" s="512">
        <f t="shared" si="17"/>
        <v>95</v>
      </c>
      <c r="N59" s="512">
        <f t="shared" si="17"/>
        <v>94.5</v>
      </c>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2550</v>
      </c>
      <c r="B61" s="510"/>
      <c r="C61" s="522" t="s">
        <v>2652</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t="str">
        <f>C9</f>
        <v>商业</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1"/>
      <c r="O66" s="1151"/>
      <c r="P66" s="2626"/>
      <c r="Q66" s="504"/>
    </row>
    <row r="67" spans="1:17" ht="15.75" hidden="1" thickTop="1">
      <c r="A67" s="534"/>
      <c r="B67" s="546" t="s">
        <v>2558</v>
      </c>
      <c r="C67" s="547" t="str">
        <f>C68&amp;"（含）"&amp;"-"&amp;D68</f>
        <v>0（含）-1</v>
      </c>
      <c r="D67" s="547" t="str">
        <f t="shared" ref="D67:L67" si="18">D68&amp;"（含）"&amp;"-"&amp;E68</f>
        <v>1（含）-2</v>
      </c>
      <c r="E67" s="547" t="str">
        <f t="shared" si="18"/>
        <v>2（含）-3</v>
      </c>
      <c r="F67" s="547" t="str">
        <f t="shared" si="18"/>
        <v>3（含）-</v>
      </c>
      <c r="G67" s="547" t="str">
        <f t="shared" si="18"/>
        <v>（含）-</v>
      </c>
      <c r="H67" s="547" t="str">
        <f t="shared" si="18"/>
        <v>（含）-</v>
      </c>
      <c r="I67" s="547" t="str">
        <f t="shared" si="18"/>
        <v>（含）-</v>
      </c>
      <c r="J67" s="547" t="str">
        <f t="shared" si="18"/>
        <v>（含）-</v>
      </c>
      <c r="K67" s="547" t="str">
        <f t="shared" si="18"/>
        <v>（含）-</v>
      </c>
      <c r="L67" s="547" t="str">
        <f t="shared" si="18"/>
        <v>（含）-</v>
      </c>
      <c r="M67" s="448" t="str">
        <f>M68&amp;"（含）"&amp;"-"&amp;P68</f>
        <v>（含）-</v>
      </c>
      <c r="N67" s="1151"/>
      <c r="O67" s="1151"/>
      <c r="P67" s="2626"/>
      <c r="Q67" s="504"/>
    </row>
    <row r="68" spans="1:17" ht="15" hidden="1">
      <c r="A68" s="534"/>
      <c r="B68" s="548"/>
      <c r="C68" s="549">
        <v>0</v>
      </c>
      <c r="D68" s="549">
        <v>1</v>
      </c>
      <c r="E68" s="549">
        <v>2</v>
      </c>
      <c r="F68" s="549">
        <v>3</v>
      </c>
      <c r="G68" s="549"/>
      <c r="H68" s="549"/>
      <c r="I68" s="549"/>
      <c r="J68" s="549"/>
      <c r="K68" s="550"/>
      <c r="L68" s="551"/>
      <c r="M68" s="552"/>
      <c r="N68" s="1150"/>
      <c r="O68" s="1150"/>
      <c r="P68" s="2626"/>
      <c r="Q68" s="504"/>
    </row>
    <row r="69" spans="1:17" ht="15.75" hidden="1" thickBot="1">
      <c r="A69" s="534"/>
      <c r="B69" s="535"/>
      <c r="C69" s="544">
        <v>100</v>
      </c>
      <c r="D69" s="544">
        <f t="shared" ref="D69:M69" si="19">C69-$K11</f>
        <v>100</v>
      </c>
      <c r="E69" s="544">
        <f t="shared" si="19"/>
        <v>100</v>
      </c>
      <c r="F69" s="544">
        <f t="shared" si="19"/>
        <v>100</v>
      </c>
      <c r="G69" s="544">
        <f t="shared" si="19"/>
        <v>100</v>
      </c>
      <c r="H69" s="544">
        <f t="shared" si="19"/>
        <v>100</v>
      </c>
      <c r="I69" s="544">
        <f t="shared" si="19"/>
        <v>100</v>
      </c>
      <c r="J69" s="544">
        <f t="shared" si="19"/>
        <v>100</v>
      </c>
      <c r="K69" s="544">
        <f t="shared" si="19"/>
        <v>100</v>
      </c>
      <c r="L69" s="544">
        <f t="shared" si="19"/>
        <v>100</v>
      </c>
      <c r="M69" s="545">
        <f t="shared" si="19"/>
        <v>100</v>
      </c>
      <c r="N69" s="1151"/>
      <c r="O69" s="1151"/>
      <c r="P69" s="2626"/>
      <c r="Q69" s="504"/>
    </row>
    <row r="70" spans="1:17" s="471" customFormat="1" ht="15.75" hidden="1" thickTop="1">
      <c r="A70" s="553"/>
      <c r="B70" s="538">
        <f>B12</f>
        <v>111</v>
      </c>
      <c r="C70" s="554"/>
      <c r="D70" s="554"/>
      <c r="E70" s="554"/>
      <c r="F70" s="554"/>
      <c r="G70" s="554"/>
      <c r="H70" s="555"/>
      <c r="I70" s="555"/>
      <c r="J70" s="555"/>
      <c r="K70" s="555"/>
      <c r="L70" s="556"/>
      <c r="M70" s="557"/>
      <c r="N70" s="1152"/>
      <c r="O70" s="1152"/>
      <c r="P70" s="2627"/>
      <c r="Q70" s="559"/>
    </row>
    <row r="71" spans="1:17" s="471" customFormat="1" ht="15.75" hidden="1" thickBot="1">
      <c r="A71" s="553"/>
      <c r="B71" s="543"/>
      <c r="C71" s="560"/>
      <c r="D71" s="536"/>
      <c r="E71" s="536"/>
      <c r="F71" s="536"/>
      <c r="G71" s="536"/>
      <c r="H71" s="536"/>
      <c r="I71" s="536"/>
      <c r="J71" s="536"/>
      <c r="K71" s="536"/>
      <c r="L71" s="536"/>
      <c r="M71" s="537"/>
      <c r="N71" s="1151"/>
      <c r="O71" s="1151"/>
      <c r="P71" s="2627"/>
      <c r="Q71" s="559"/>
    </row>
    <row r="72" spans="1:17" s="471" customFormat="1" ht="15.75" hidden="1" thickTop="1">
      <c r="A72" s="553"/>
      <c r="B72" s="538">
        <f>B13</f>
        <v>111</v>
      </c>
      <c r="C72" s="554"/>
      <c r="D72" s="554"/>
      <c r="E72" s="554"/>
      <c r="F72" s="554"/>
      <c r="G72" s="554"/>
      <c r="H72" s="555"/>
      <c r="I72" s="555"/>
      <c r="J72" s="555"/>
      <c r="K72" s="555"/>
      <c r="L72" s="556"/>
      <c r="M72" s="557"/>
      <c r="N72" s="1152"/>
      <c r="O72" s="1152"/>
      <c r="P72" s="2628"/>
      <c r="Q72" s="561"/>
    </row>
    <row r="73" spans="1:17" s="471" customFormat="1" ht="15.75" hidden="1" thickBot="1">
      <c r="A73" s="553"/>
      <c r="B73" s="543"/>
      <c r="C73" s="560"/>
      <c r="D73" s="536"/>
      <c r="E73" s="536"/>
      <c r="F73" s="536"/>
      <c r="G73" s="560"/>
      <c r="H73" s="562"/>
      <c r="I73" s="562"/>
      <c r="J73" s="562"/>
      <c r="K73" s="562"/>
      <c r="L73" s="562"/>
      <c r="M73" s="563"/>
      <c r="N73" s="1152"/>
      <c r="O73" s="1152"/>
      <c r="P73" s="2627"/>
      <c r="Q73" s="559"/>
    </row>
    <row r="74" spans="1:17" s="471" customFormat="1" ht="15.75" hidden="1" thickTop="1">
      <c r="A74" s="553"/>
      <c r="B74" s="546">
        <f>B14</f>
        <v>111</v>
      </c>
      <c r="C74" s="554"/>
      <c r="D74" s="554"/>
      <c r="E74" s="554"/>
      <c r="F74" s="554"/>
      <c r="G74" s="523"/>
      <c r="H74" s="564"/>
      <c r="I74" s="564"/>
      <c r="J74" s="564"/>
      <c r="K74" s="564"/>
      <c r="L74" s="565"/>
      <c r="M74" s="566"/>
      <c r="N74" s="1152"/>
      <c r="O74" s="1152"/>
      <c r="P74" s="2629"/>
      <c r="Q74" s="559"/>
    </row>
    <row r="75" spans="1:17" s="471" customFormat="1" ht="15.75" hidden="1" thickBot="1">
      <c r="A75" s="568"/>
      <c r="B75" s="569"/>
      <c r="C75" s="570"/>
      <c r="D75" s="570"/>
      <c r="E75" s="570"/>
      <c r="F75" s="570"/>
      <c r="G75" s="570"/>
      <c r="H75" s="571"/>
      <c r="I75" s="571"/>
      <c r="J75" s="571"/>
      <c r="K75" s="571"/>
      <c r="L75" s="571"/>
      <c r="M75" s="572"/>
      <c r="N75" s="1152"/>
      <c r="O75" s="1152"/>
      <c r="P75" s="2627"/>
      <c r="Q75" s="559"/>
    </row>
    <row r="76" spans="1:17" ht="15" thickTop="1">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96</v>
      </c>
      <c r="E77" s="544">
        <f>D77-$K15</f>
        <v>92</v>
      </c>
      <c r="F77" s="544">
        <f>E77-$K15</f>
        <v>88</v>
      </c>
      <c r="G77" s="544">
        <f>F77-$K15</f>
        <v>84</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1"/>
      <c r="O81" s="1151"/>
      <c r="P81" s="2626"/>
      <c r="Q81" s="504"/>
    </row>
    <row r="82" spans="1:17" ht="15.75" thickTop="1">
      <c r="A82" s="534"/>
      <c r="B82" s="546" t="s">
        <v>2655</v>
      </c>
      <c r="C82" s="660" t="s">
        <v>2675</v>
      </c>
      <c r="D82" s="660" t="s">
        <v>2676</v>
      </c>
      <c r="E82" s="660" t="s">
        <v>2677</v>
      </c>
      <c r="F82" s="660" t="s">
        <v>2678</v>
      </c>
      <c r="G82" s="660" t="s">
        <v>2679</v>
      </c>
      <c r="H82" s="539"/>
      <c r="I82" s="539"/>
      <c r="J82" s="539"/>
      <c r="K82" s="539"/>
      <c r="L82" s="539"/>
      <c r="M82" s="1380"/>
      <c r="N82" s="1151"/>
      <c r="O82" s="1151"/>
      <c r="P82" s="2626"/>
      <c r="Q82" s="504"/>
    </row>
    <row r="83" spans="1:17" ht="15.75" thickBot="1">
      <c r="A83" s="534"/>
      <c r="B83" s="546"/>
      <c r="C83" s="544">
        <v>100</v>
      </c>
      <c r="D83" s="544">
        <f>C83-$K21</f>
        <v>99</v>
      </c>
      <c r="E83" s="544">
        <f t="shared" ref="E83:G83" si="20">D83-$K21</f>
        <v>98</v>
      </c>
      <c r="F83" s="544">
        <f t="shared" si="20"/>
        <v>97</v>
      </c>
      <c r="G83" s="544">
        <f t="shared" si="20"/>
        <v>96</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1"/>
      <c r="O85" s="1151"/>
      <c r="P85" s="2626"/>
      <c r="Q85" s="504"/>
    </row>
    <row r="86" spans="1:17" s="117" customFormat="1" ht="15.75" thickTop="1">
      <c r="A86" s="579"/>
      <c r="B86" s="538" t="s">
        <v>2680</v>
      </c>
      <c r="C86" s="3000" t="s">
        <v>3354</v>
      </c>
      <c r="D86" s="3000" t="s">
        <v>3256</v>
      </c>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1">C87-$K25</f>
        <v>99</v>
      </c>
      <c r="E87" s="544">
        <f t="shared" si="21"/>
        <v>98</v>
      </c>
      <c r="F87" s="544">
        <f t="shared" si="21"/>
        <v>97</v>
      </c>
      <c r="G87" s="544">
        <f t="shared" si="21"/>
        <v>96</v>
      </c>
      <c r="H87" s="544">
        <f t="shared" si="21"/>
        <v>95</v>
      </c>
      <c r="I87" s="544">
        <f t="shared" si="21"/>
        <v>94</v>
      </c>
      <c r="J87" s="544">
        <f t="shared" si="21"/>
        <v>93</v>
      </c>
      <c r="K87" s="544">
        <f t="shared" si="21"/>
        <v>92</v>
      </c>
      <c r="L87" s="544">
        <f t="shared" si="21"/>
        <v>91</v>
      </c>
      <c r="M87" s="544">
        <f t="shared" si="21"/>
        <v>90</v>
      </c>
      <c r="N87" s="1151"/>
      <c r="O87" s="1151"/>
      <c r="P87" s="2626"/>
      <c r="Q87" s="504"/>
    </row>
    <row r="88" spans="1:17" s="117" customFormat="1" ht="15.75" hidden="1" thickTop="1">
      <c r="A88" s="579"/>
      <c r="B88" s="538" t="str">
        <f>B26</f>
        <v>平面位置/可视性</v>
      </c>
      <c r="C88" s="554"/>
      <c r="D88" s="554"/>
      <c r="E88" s="554"/>
      <c r="F88" s="2631"/>
      <c r="G88" s="554"/>
      <c r="H88" s="554"/>
      <c r="I88" s="554"/>
      <c r="J88" s="554"/>
      <c r="K88" s="554"/>
      <c r="L88" s="554"/>
      <c r="M88" s="581"/>
      <c r="N88" s="1149"/>
      <c r="O88" s="1149"/>
      <c r="P88" s="2626"/>
      <c r="Q88" s="504"/>
    </row>
    <row r="89" spans="1:17" s="117" customFormat="1" ht="15.75" hidden="1" thickBot="1">
      <c r="A89" s="579"/>
      <c r="B89" s="543"/>
      <c r="C89" s="560"/>
      <c r="D89" s="536"/>
      <c r="E89" s="536"/>
      <c r="F89" s="536"/>
      <c r="G89" s="536"/>
      <c r="H89" s="536"/>
      <c r="I89" s="536"/>
      <c r="J89" s="536"/>
      <c r="K89" s="536"/>
      <c r="L89" s="536"/>
      <c r="M89" s="536"/>
      <c r="N89" s="1151"/>
      <c r="O89" s="1151"/>
      <c r="P89" s="2626"/>
      <c r="Q89" s="504"/>
    </row>
    <row r="90" spans="1:17" s="471" customFormat="1" ht="15.75" thickTop="1">
      <c r="A90" s="553"/>
      <c r="B90" s="538" t="str">
        <f>B27</f>
        <v>人流量</v>
      </c>
      <c r="C90" s="3000" t="s">
        <v>3257</v>
      </c>
      <c r="D90" s="3000" t="s">
        <v>3258</v>
      </c>
      <c r="E90" s="554"/>
      <c r="F90" s="554"/>
      <c r="G90" s="554"/>
      <c r="H90" s="555"/>
      <c r="I90" s="555"/>
      <c r="J90" s="555"/>
      <c r="K90" s="555"/>
      <c r="L90" s="556"/>
      <c r="M90" s="557"/>
      <c r="N90" s="1152"/>
      <c r="O90" s="1152"/>
      <c r="P90" s="2627"/>
      <c r="Q90" s="559"/>
    </row>
    <row r="91" spans="1:17" s="471" customFormat="1" ht="15.75" thickBot="1">
      <c r="A91" s="553"/>
      <c r="B91" s="543"/>
      <c r="C91" s="582">
        <v>100</v>
      </c>
      <c r="D91" s="544">
        <f>C91-$K27</f>
        <v>96</v>
      </c>
      <c r="E91" s="544">
        <f t="shared" ref="E91:M91" si="22">D91-$K27</f>
        <v>92</v>
      </c>
      <c r="F91" s="544">
        <f t="shared" si="22"/>
        <v>88</v>
      </c>
      <c r="G91" s="544">
        <f t="shared" si="22"/>
        <v>84</v>
      </c>
      <c r="H91" s="544">
        <f t="shared" si="22"/>
        <v>80</v>
      </c>
      <c r="I91" s="544">
        <f t="shared" si="22"/>
        <v>76</v>
      </c>
      <c r="J91" s="544">
        <f t="shared" si="22"/>
        <v>72</v>
      </c>
      <c r="K91" s="544">
        <f t="shared" si="22"/>
        <v>68</v>
      </c>
      <c r="L91" s="544">
        <f t="shared" si="22"/>
        <v>64</v>
      </c>
      <c r="M91" s="544">
        <f t="shared" si="22"/>
        <v>60</v>
      </c>
      <c r="N91" s="1152"/>
      <c r="O91" s="1152"/>
      <c r="P91" s="2627"/>
      <c r="Q91" s="559"/>
    </row>
    <row r="92" spans="1:17" ht="15.75" thickTop="1">
      <c r="A92" s="534"/>
      <c r="B92" s="538" t="str">
        <f>B28</f>
        <v>楼层</v>
      </c>
      <c r="C92" s="554" t="s">
        <v>3351</v>
      </c>
      <c r="D92" s="554"/>
      <c r="E92" s="554"/>
      <c r="F92" s="554"/>
      <c r="G92" s="554"/>
      <c r="H92" s="554"/>
      <c r="I92" s="554"/>
      <c r="J92" s="554"/>
      <c r="K92" s="554"/>
      <c r="L92" s="580"/>
      <c r="M92" s="581"/>
      <c r="N92" s="1150"/>
      <c r="O92" s="1150"/>
      <c r="P92" s="2626"/>
      <c r="Q92" s="504"/>
    </row>
    <row r="93" spans="1:17" ht="15.75" thickBot="1">
      <c r="A93" s="534"/>
      <c r="B93" s="543"/>
      <c r="C93" s="536">
        <v>100</v>
      </c>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36"/>
      <c r="E95" s="536"/>
      <c r="F95" s="536"/>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60"/>
      <c r="D97" s="536"/>
      <c r="E97" s="536"/>
      <c r="F97" s="536"/>
      <c r="G97" s="536"/>
      <c r="H97" s="536"/>
      <c r="I97" s="536"/>
      <c r="J97" s="536"/>
      <c r="K97" s="536"/>
      <c r="L97" s="536"/>
      <c r="M97" s="537"/>
      <c r="N97" s="1151"/>
      <c r="O97" s="1151"/>
      <c r="P97" s="2626"/>
      <c r="Q97" s="504"/>
    </row>
    <row r="98" spans="1:17" ht="15.75" thickTop="1">
      <c r="A98" s="534"/>
      <c r="B98" s="546">
        <f>B31</f>
        <v>111</v>
      </c>
      <c r="C98" s="554"/>
      <c r="D98" s="554"/>
      <c r="E98" s="554"/>
      <c r="F98" s="554"/>
      <c r="G98" s="587"/>
      <c r="H98" s="587"/>
      <c r="I98" s="587"/>
      <c r="J98" s="587"/>
      <c r="K98" s="588"/>
      <c r="L98" s="589"/>
      <c r="M98" s="590"/>
      <c r="N98" s="1150"/>
      <c r="O98" s="1150"/>
      <c r="P98" s="2626"/>
      <c r="Q98" s="504"/>
    </row>
    <row r="99" spans="1:17" ht="15.75" thickBot="1">
      <c r="A99" s="2632"/>
      <c r="B99" s="569"/>
      <c r="C99" s="570"/>
      <c r="D99" s="570"/>
      <c r="E99" s="570"/>
      <c r="F99" s="570"/>
      <c r="G99" s="591"/>
      <c r="H99" s="591"/>
      <c r="I99" s="591"/>
      <c r="J99" s="591"/>
      <c r="K99" s="591"/>
      <c r="L99" s="591"/>
      <c r="M99" s="592"/>
      <c r="N99" s="1151"/>
      <c r="O99" s="1151"/>
      <c r="P99" s="2626"/>
      <c r="Q99" s="504"/>
    </row>
    <row r="100" spans="1:17">
      <c r="A100" s="527" t="s">
        <v>2563</v>
      </c>
      <c r="B100" s="528" t="s">
        <v>2681</v>
      </c>
      <c r="C100" s="3001" t="s">
        <v>3260</v>
      </c>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3">C101-$K32</f>
        <v>99</v>
      </c>
      <c r="E101" s="544">
        <f t="shared" si="23"/>
        <v>98</v>
      </c>
      <c r="F101" s="544">
        <f t="shared" si="23"/>
        <v>97</v>
      </c>
      <c r="G101" s="544">
        <f t="shared" si="23"/>
        <v>96</v>
      </c>
      <c r="H101" s="544">
        <f t="shared" si="23"/>
        <v>95</v>
      </c>
      <c r="I101" s="544">
        <f t="shared" si="23"/>
        <v>94</v>
      </c>
      <c r="J101" s="544">
        <f t="shared" si="23"/>
        <v>93</v>
      </c>
      <c r="K101" s="544">
        <f t="shared" si="23"/>
        <v>92</v>
      </c>
      <c r="L101" s="544">
        <f t="shared" si="23"/>
        <v>91</v>
      </c>
      <c r="M101" s="545">
        <f t="shared" si="23"/>
        <v>90</v>
      </c>
      <c r="N101" s="1151"/>
      <c r="O101" s="1151"/>
      <c r="P101" s="2626"/>
      <c r="Q101" s="504"/>
    </row>
    <row r="102" spans="1:17" ht="15.75" thickTop="1">
      <c r="A102" s="534"/>
      <c r="B102" s="538" t="s">
        <v>2613</v>
      </c>
      <c r="C102" s="578" t="str">
        <f>C103&amp;"(含)"&amp;"-"&amp;D103</f>
        <v>0(含)-100</v>
      </c>
      <c r="D102" s="578" t="str">
        <f t="shared" ref="D102:L102" si="24">D103&amp;"(含)"&amp;"-"&amp;E103</f>
        <v>100(含)-200</v>
      </c>
      <c r="E102" s="578" t="str">
        <f t="shared" si="24"/>
        <v>200(含)-500</v>
      </c>
      <c r="F102" s="578" t="str">
        <f t="shared" si="24"/>
        <v>500(含)-</v>
      </c>
      <c r="G102" s="578" t="str">
        <f t="shared" si="24"/>
        <v>(含)-</v>
      </c>
      <c r="H102" s="578" t="str">
        <f t="shared" si="24"/>
        <v>(含)-</v>
      </c>
      <c r="I102" s="578" t="str">
        <f t="shared" si="24"/>
        <v>(含)-</v>
      </c>
      <c r="J102" s="578" t="str">
        <f t="shared" si="24"/>
        <v>(含)-</v>
      </c>
      <c r="K102" s="578" t="str">
        <f t="shared" si="24"/>
        <v>(含)-</v>
      </c>
      <c r="L102" s="578" t="str">
        <f t="shared" si="24"/>
        <v>(含)-</v>
      </c>
      <c r="M102" s="622" t="str">
        <f>M103&amp;"(含)"&amp;"-"&amp;P103</f>
        <v>(含)-</v>
      </c>
      <c r="N102" s="1149"/>
      <c r="O102" s="1149"/>
      <c r="P102" s="2626"/>
      <c r="Q102" s="504"/>
    </row>
    <row r="103" spans="1:17" s="471" customFormat="1">
      <c r="A103" s="593"/>
      <c r="B103" s="594"/>
      <c r="C103" s="595">
        <v>0</v>
      </c>
      <c r="D103" s="595">
        <v>100</v>
      </c>
      <c r="E103" s="595">
        <v>200</v>
      </c>
      <c r="F103" s="595">
        <v>500</v>
      </c>
      <c r="G103" s="595"/>
      <c r="H103" s="595"/>
      <c r="I103" s="595"/>
      <c r="J103" s="596"/>
      <c r="K103" s="596"/>
      <c r="L103" s="597"/>
      <c r="M103" s="598"/>
      <c r="N103" s="1152"/>
      <c r="O103" s="1152"/>
      <c r="P103" s="2627"/>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1"/>
      <c r="O104" s="1151"/>
      <c r="P104" s="2627"/>
      <c r="Q104" s="559"/>
    </row>
    <row r="105" spans="1:17" ht="15" thickTop="1">
      <c r="A105" s="599"/>
      <c r="B105" s="538" t="s">
        <v>2614</v>
      </c>
      <c r="C105" s="3000" t="s">
        <v>3261</v>
      </c>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5">C106-$K34</f>
        <v>99</v>
      </c>
      <c r="E106" s="544">
        <f t="shared" si="25"/>
        <v>98</v>
      </c>
      <c r="F106" s="544">
        <f t="shared" si="25"/>
        <v>97</v>
      </c>
      <c r="G106" s="544">
        <f t="shared" si="25"/>
        <v>96</v>
      </c>
      <c r="H106" s="544">
        <f t="shared" si="25"/>
        <v>95</v>
      </c>
      <c r="I106" s="544">
        <f t="shared" si="25"/>
        <v>94</v>
      </c>
      <c r="J106" s="544">
        <f t="shared" si="25"/>
        <v>93</v>
      </c>
      <c r="K106" s="544">
        <f t="shared" si="25"/>
        <v>92</v>
      </c>
      <c r="L106" s="544">
        <f t="shared" si="25"/>
        <v>91</v>
      </c>
      <c r="M106" s="545">
        <f t="shared" si="25"/>
        <v>90</v>
      </c>
      <c r="N106" s="1151"/>
      <c r="O106" s="1151"/>
      <c r="P106" s="2626"/>
      <c r="Q106" s="504"/>
    </row>
    <row r="107" spans="1:17" ht="15" thickTop="1">
      <c r="A107" s="599"/>
      <c r="B107" s="538" t="s">
        <v>2616</v>
      </c>
      <c r="C107" s="3000" t="s">
        <v>3262</v>
      </c>
      <c r="D107" s="3000" t="s">
        <v>3263</v>
      </c>
      <c r="E107" s="3000" t="s">
        <v>3264</v>
      </c>
      <c r="F107" s="3002" t="s">
        <v>3266</v>
      </c>
      <c r="G107" s="583"/>
      <c r="H107" s="583"/>
      <c r="I107" s="583"/>
      <c r="J107" s="583"/>
      <c r="K107" s="584"/>
      <c r="L107" s="585"/>
      <c r="M107" s="586"/>
      <c r="N107" s="1150"/>
      <c r="O107" s="1150"/>
      <c r="P107" s="2626"/>
      <c r="Q107" s="504"/>
    </row>
    <row r="108" spans="1:17" ht="15.75" thickBot="1">
      <c r="A108" s="534"/>
      <c r="B108" s="543"/>
      <c r="C108" s="544">
        <v>100</v>
      </c>
      <c r="D108" s="544">
        <f t="shared" ref="D108:M108" si="26">C108-$K35</f>
        <v>99</v>
      </c>
      <c r="E108" s="544">
        <f t="shared" si="26"/>
        <v>98</v>
      </c>
      <c r="F108" s="544">
        <f t="shared" si="26"/>
        <v>97</v>
      </c>
      <c r="G108" s="544">
        <f t="shared" si="26"/>
        <v>96</v>
      </c>
      <c r="H108" s="544">
        <f t="shared" si="26"/>
        <v>95</v>
      </c>
      <c r="I108" s="544">
        <f t="shared" si="26"/>
        <v>94</v>
      </c>
      <c r="J108" s="544">
        <f t="shared" si="26"/>
        <v>93</v>
      </c>
      <c r="K108" s="544">
        <f t="shared" si="26"/>
        <v>92</v>
      </c>
      <c r="L108" s="544">
        <f t="shared" si="26"/>
        <v>91</v>
      </c>
      <c r="M108" s="545">
        <f t="shared" si="26"/>
        <v>90</v>
      </c>
      <c r="N108" s="1151"/>
      <c r="O108" s="1151"/>
      <c r="P108" s="2626"/>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26"/>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26"/>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1"/>
      <c r="O111" s="1151"/>
      <c r="P111" s="2626"/>
      <c r="Q111" s="504"/>
    </row>
    <row r="112" spans="1:17" s="471" customFormat="1" ht="15" thickTop="1">
      <c r="A112" s="593"/>
      <c r="B112" s="538" t="s">
        <v>2618</v>
      </c>
      <c r="C112" s="3003" t="s">
        <v>2675</v>
      </c>
      <c r="D112" s="3003" t="s">
        <v>2676</v>
      </c>
      <c r="E112" s="3003" t="s">
        <v>2677</v>
      </c>
      <c r="F112" s="3003" t="s">
        <v>2678</v>
      </c>
      <c r="G112" s="3003" t="s">
        <v>2679</v>
      </c>
      <c r="H112" s="583"/>
      <c r="I112" s="583"/>
      <c r="J112" s="583"/>
      <c r="K112" s="584"/>
      <c r="L112" s="585"/>
      <c r="M112" s="586"/>
      <c r="N112" s="1152"/>
      <c r="O112" s="1152"/>
      <c r="P112" s="2627"/>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2"/>
      <c r="O113" s="1152"/>
      <c r="P113" s="2627"/>
      <c r="Q113" s="559"/>
    </row>
    <row r="114" spans="1:17" ht="15" hidden="1" thickTop="1">
      <c r="A114" s="599"/>
      <c r="B114" s="538" t="s">
        <v>2682</v>
      </c>
      <c r="C114" s="554"/>
      <c r="D114" s="554"/>
      <c r="E114" s="583"/>
      <c r="F114" s="583"/>
      <c r="G114" s="583"/>
      <c r="H114" s="583"/>
      <c r="I114" s="583"/>
      <c r="J114" s="583"/>
      <c r="K114" s="584"/>
      <c r="L114" s="585"/>
      <c r="M114" s="586"/>
      <c r="N114" s="1150"/>
      <c r="O114" s="1150"/>
      <c r="P114" s="2626"/>
      <c r="Q114" s="504"/>
    </row>
    <row r="115" spans="1:17" ht="15.75" hidden="1" thickBot="1">
      <c r="A115" s="534"/>
      <c r="B115" s="543"/>
      <c r="C115" s="544">
        <v>100</v>
      </c>
      <c r="D115" s="544">
        <f t="shared" ref="D115:M115" si="29">C115-$K38</f>
        <v>99</v>
      </c>
      <c r="E115" s="544">
        <f t="shared" si="29"/>
        <v>98</v>
      </c>
      <c r="F115" s="544">
        <f t="shared" si="29"/>
        <v>97</v>
      </c>
      <c r="G115" s="544">
        <f t="shared" si="29"/>
        <v>96</v>
      </c>
      <c r="H115" s="544">
        <f t="shared" si="29"/>
        <v>95</v>
      </c>
      <c r="I115" s="544">
        <f t="shared" si="29"/>
        <v>94</v>
      </c>
      <c r="J115" s="544">
        <f t="shared" si="29"/>
        <v>93</v>
      </c>
      <c r="K115" s="544">
        <f t="shared" si="29"/>
        <v>92</v>
      </c>
      <c r="L115" s="544">
        <f t="shared" si="29"/>
        <v>91</v>
      </c>
      <c r="M115" s="545">
        <f t="shared" si="29"/>
        <v>90</v>
      </c>
      <c r="N115" s="1151"/>
      <c r="O115" s="1151"/>
      <c r="P115" s="2626"/>
      <c r="Q115" s="504"/>
    </row>
    <row r="116" spans="1:17" ht="15" hidden="1" thickTop="1">
      <c r="A116" s="599"/>
      <c r="B116" s="538" t="s">
        <v>2683</v>
      </c>
      <c r="C116" s="554"/>
      <c r="D116" s="554"/>
      <c r="E116" s="554"/>
      <c r="F116" s="554"/>
      <c r="G116" s="554"/>
      <c r="H116" s="583"/>
      <c r="I116" s="583"/>
      <c r="J116" s="583"/>
      <c r="K116" s="584"/>
      <c r="L116" s="585"/>
      <c r="M116" s="586"/>
      <c r="N116" s="1150"/>
      <c r="O116" s="1150"/>
      <c r="P116" s="2626"/>
      <c r="Q116" s="504"/>
    </row>
    <row r="117" spans="1:17" ht="15.75" hidden="1" thickBot="1">
      <c r="A117" s="534"/>
      <c r="B117" s="543"/>
      <c r="C117" s="544">
        <v>100</v>
      </c>
      <c r="D117" s="544">
        <f>C117-$K39</f>
        <v>99</v>
      </c>
      <c r="E117" s="544">
        <f>D117-$K39</f>
        <v>98</v>
      </c>
      <c r="F117" s="544">
        <f>E117-$K39</f>
        <v>97</v>
      </c>
      <c r="G117" s="544">
        <f>F117-$K39</f>
        <v>96</v>
      </c>
      <c r="H117" s="544"/>
      <c r="I117" s="544"/>
      <c r="J117" s="544"/>
      <c r="K117" s="544"/>
      <c r="L117" s="544"/>
      <c r="M117" s="545"/>
      <c r="N117" s="1151"/>
      <c r="O117" s="1151"/>
      <c r="P117" s="2626"/>
      <c r="Q117" s="504"/>
    </row>
    <row r="118" spans="1:17" ht="15" hidden="1" thickTop="1">
      <c r="A118" s="599"/>
      <c r="B118" s="538" t="s">
        <v>2684</v>
      </c>
      <c r="C118" s="627"/>
      <c r="D118" s="627"/>
      <c r="E118" s="627"/>
      <c r="F118" s="627"/>
      <c r="G118" s="627"/>
      <c r="H118" s="555"/>
      <c r="I118" s="555"/>
      <c r="J118" s="555"/>
      <c r="K118" s="555"/>
      <c r="L118" s="556"/>
      <c r="M118" s="557"/>
      <c r="N118" s="1150"/>
      <c r="O118" s="1150"/>
      <c r="P118" s="2626"/>
      <c r="Q118" s="504"/>
    </row>
    <row r="119" spans="1:17" ht="15.75" hidden="1" thickBot="1">
      <c r="A119" s="534"/>
      <c r="B119" s="543"/>
      <c r="C119" s="560"/>
      <c r="D119" s="536"/>
      <c r="E119" s="536"/>
      <c r="F119" s="536"/>
      <c r="G119" s="536"/>
      <c r="H119" s="536"/>
      <c r="I119" s="536"/>
      <c r="J119" s="536"/>
      <c r="K119" s="536"/>
      <c r="L119" s="536"/>
      <c r="M119" s="537"/>
      <c r="N119" s="1151"/>
      <c r="O119" s="1151"/>
      <c r="P119" s="2626"/>
      <c r="Q119" s="504"/>
    </row>
    <row r="120" spans="1:17" s="471" customFormat="1" ht="15" hidden="1" thickTop="1">
      <c r="A120" s="593"/>
      <c r="B120" s="538" t="s">
        <v>2685</v>
      </c>
      <c r="C120" s="583"/>
      <c r="D120" s="583"/>
      <c r="E120" s="583"/>
      <c r="F120" s="583"/>
      <c r="G120" s="555"/>
      <c r="H120" s="555"/>
      <c r="I120" s="555"/>
      <c r="J120" s="555"/>
      <c r="K120" s="555"/>
      <c r="L120" s="556"/>
      <c r="M120" s="557"/>
      <c r="N120" s="1152"/>
      <c r="O120" s="1152"/>
      <c r="P120" s="2627"/>
      <c r="Q120" s="559"/>
    </row>
    <row r="121" spans="1:17" s="471" customFormat="1" ht="15.75" hidden="1" thickBot="1">
      <c r="A121" s="553"/>
      <c r="B121" s="535"/>
      <c r="C121" s="582">
        <v>100</v>
      </c>
      <c r="D121" s="544">
        <f>C121-$K41</f>
        <v>99</v>
      </c>
      <c r="E121" s="544">
        <f t="shared" ref="E121:M121" si="30">D121-$K41</f>
        <v>98</v>
      </c>
      <c r="F121" s="544">
        <f t="shared" si="30"/>
        <v>97</v>
      </c>
      <c r="G121" s="544">
        <f t="shared" si="30"/>
        <v>96</v>
      </c>
      <c r="H121" s="544">
        <f t="shared" si="30"/>
        <v>95</v>
      </c>
      <c r="I121" s="544">
        <f t="shared" si="30"/>
        <v>94</v>
      </c>
      <c r="J121" s="544">
        <f t="shared" si="30"/>
        <v>93</v>
      </c>
      <c r="K121" s="544">
        <f t="shared" si="30"/>
        <v>92</v>
      </c>
      <c r="L121" s="544">
        <f t="shared" si="30"/>
        <v>91</v>
      </c>
      <c r="M121" s="545">
        <f t="shared" si="30"/>
        <v>90</v>
      </c>
      <c r="N121" s="1152"/>
      <c r="O121" s="1152"/>
      <c r="P121" s="2627"/>
      <c r="Q121" s="559"/>
    </row>
    <row r="122" spans="1:17" ht="15" thickTop="1">
      <c r="A122" s="599"/>
      <c r="B122" s="538" t="s">
        <v>2620</v>
      </c>
      <c r="C122" s="3000" t="s">
        <v>3262</v>
      </c>
      <c r="D122" s="3000" t="s">
        <v>3263</v>
      </c>
      <c r="E122" s="3000" t="s">
        <v>3264</v>
      </c>
      <c r="F122" s="3002" t="s">
        <v>3266</v>
      </c>
      <c r="G122" s="583"/>
      <c r="H122" s="583"/>
      <c r="I122" s="583"/>
      <c r="J122" s="583"/>
      <c r="K122" s="584"/>
      <c r="L122" s="585"/>
      <c r="M122" s="586"/>
      <c r="N122" s="1150"/>
      <c r="O122" s="1150"/>
      <c r="P122" s="2626"/>
      <c r="Q122" s="504"/>
    </row>
    <row r="123" spans="1:17" ht="15.75" thickBot="1">
      <c r="A123" s="534"/>
      <c r="B123" s="543"/>
      <c r="C123" s="544">
        <v>100</v>
      </c>
      <c r="D123" s="544">
        <f t="shared" ref="D123:M123" si="31">C123-$K42</f>
        <v>99</v>
      </c>
      <c r="E123" s="544">
        <f t="shared" si="31"/>
        <v>98</v>
      </c>
      <c r="F123" s="544">
        <f t="shared" si="31"/>
        <v>97</v>
      </c>
      <c r="G123" s="544">
        <f t="shared" si="31"/>
        <v>96</v>
      </c>
      <c r="H123" s="544">
        <f t="shared" si="31"/>
        <v>95</v>
      </c>
      <c r="I123" s="544">
        <f t="shared" si="31"/>
        <v>94</v>
      </c>
      <c r="J123" s="544">
        <f t="shared" si="31"/>
        <v>93</v>
      </c>
      <c r="K123" s="544">
        <f t="shared" si="31"/>
        <v>92</v>
      </c>
      <c r="L123" s="544">
        <f t="shared" si="31"/>
        <v>91</v>
      </c>
      <c r="M123" s="545">
        <f t="shared" si="31"/>
        <v>90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1"/>
      <c r="O125" s="1151"/>
      <c r="P125" s="2626"/>
      <c r="Q125" s="504"/>
    </row>
    <row r="126" spans="1:17" s="471" customFormat="1" ht="15" hidden="1" thickTop="1">
      <c r="A126" s="593"/>
      <c r="B126" s="538" t="str">
        <f>B44</f>
        <v>建筑品质</v>
      </c>
      <c r="C126" s="554"/>
      <c r="D126" s="554"/>
      <c r="E126" s="554"/>
      <c r="F126" s="554"/>
      <c r="G126" s="554"/>
      <c r="H126" s="555"/>
      <c r="I126" s="555"/>
      <c r="J126" s="555"/>
      <c r="K126" s="555"/>
      <c r="L126" s="556"/>
      <c r="M126" s="557"/>
      <c r="N126" s="1152"/>
      <c r="O126" s="1152"/>
      <c r="P126" s="2627"/>
      <c r="Q126" s="559"/>
    </row>
    <row r="127" spans="1:17" s="471" customFormat="1" ht="15.75" hidden="1" thickBot="1">
      <c r="A127" s="553"/>
      <c r="B127" s="543"/>
      <c r="C127" s="560"/>
      <c r="D127" s="536"/>
      <c r="E127" s="536"/>
      <c r="F127" s="536"/>
      <c r="G127" s="560"/>
      <c r="H127" s="562"/>
      <c r="I127" s="562"/>
      <c r="J127" s="562"/>
      <c r="K127" s="562"/>
      <c r="L127" s="562"/>
      <c r="M127" s="563"/>
      <c r="N127" s="1152"/>
      <c r="O127" s="1152"/>
      <c r="P127" s="2627"/>
      <c r="Q127" s="559"/>
    </row>
    <row r="128" spans="1:17" ht="15" hidden="1" thickTop="1">
      <c r="A128" s="599"/>
      <c r="B128" s="538">
        <f>B45</f>
        <v>111</v>
      </c>
      <c r="C128" s="554"/>
      <c r="D128" s="554"/>
      <c r="E128" s="554"/>
      <c r="F128" s="554"/>
      <c r="G128" s="583"/>
      <c r="H128" s="583"/>
      <c r="I128" s="583"/>
      <c r="J128" s="583"/>
      <c r="K128" s="584"/>
      <c r="L128" s="585"/>
      <c r="M128" s="586"/>
      <c r="N128" s="1150"/>
      <c r="O128" s="1150"/>
      <c r="P128" s="2626"/>
      <c r="Q128" s="504"/>
    </row>
    <row r="129" spans="1:17" ht="15.75" hidden="1" thickBot="1">
      <c r="A129" s="534"/>
      <c r="B129" s="543"/>
      <c r="C129" s="560"/>
      <c r="D129" s="536"/>
      <c r="E129" s="536"/>
      <c r="F129" s="536"/>
      <c r="G129" s="536"/>
      <c r="H129" s="536"/>
      <c r="I129" s="536"/>
      <c r="J129" s="536"/>
      <c r="K129" s="536"/>
      <c r="L129" s="536"/>
      <c r="M129" s="537"/>
      <c r="N129" s="1151"/>
      <c r="O129" s="1151"/>
      <c r="P129" s="2626"/>
      <c r="Q129" s="504"/>
    </row>
    <row r="130" spans="1:17" ht="15" hidden="1" thickTop="1">
      <c r="A130" s="599"/>
      <c r="B130" s="546">
        <f>B46</f>
        <v>111</v>
      </c>
      <c r="C130" s="554"/>
      <c r="D130" s="554"/>
      <c r="E130" s="554"/>
      <c r="F130" s="554"/>
      <c r="G130" s="587"/>
      <c r="H130" s="587"/>
      <c r="I130" s="587"/>
      <c r="J130" s="587"/>
      <c r="K130" s="523"/>
      <c r="L130" s="524"/>
      <c r="M130" s="590"/>
      <c r="N130" s="1150"/>
      <c r="O130" s="1150"/>
      <c r="P130" s="2626"/>
      <c r="Q130" s="504"/>
    </row>
    <row r="131" spans="1:17" ht="15.75" hidden="1" thickBot="1">
      <c r="A131" s="2632"/>
      <c r="B131" s="569"/>
      <c r="C131" s="570"/>
      <c r="D131" s="570"/>
      <c r="E131" s="570"/>
      <c r="F131" s="570"/>
      <c r="G131" s="591"/>
      <c r="H131" s="591"/>
      <c r="I131" s="591"/>
      <c r="J131" s="591"/>
      <c r="K131" s="591"/>
      <c r="L131" s="591"/>
      <c r="M131" s="592"/>
      <c r="N131" s="1151"/>
      <c r="O131" s="1151"/>
      <c r="P131" s="2626"/>
      <c r="Q131" s="504"/>
    </row>
    <row r="132" spans="1:17"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2686</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IF(C2="——",ROUND(C50*D3/10000,0),ROUND(C50*D3/10000,0)-D2)</f>
        <v>#DIV/0!</v>
      </c>
      <c r="C2" s="2582"/>
      <c r="D2" s="1363"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IF(C2="——",C50,ROUND(B2*10000/D3,0))</f>
        <v>#DIV/0!</v>
      </c>
      <c r="C3" s="400" t="s">
        <v>2644</v>
      </c>
      <c r="D3" s="399">
        <f>IF(D1="",'数据-汇总表'!E3,SUMIF('数据-汇总表'!$C19:$C33,D1,'数据-汇总表'!$E19:$E33))</f>
        <v>3992.9400000000005</v>
      </c>
      <c r="E3" s="2659"/>
      <c r="F3" s="1124"/>
      <c r="G3" s="1123"/>
      <c r="H3" s="1123"/>
      <c r="I3" s="1123"/>
      <c r="J3" s="1123"/>
      <c r="K3" s="1125"/>
      <c r="L3" s="1126"/>
      <c r="M3" s="1127"/>
      <c r="N3" s="1127"/>
      <c r="O3" s="1127"/>
      <c r="P3" s="767"/>
      <c r="Q3" s="767"/>
      <c r="R3" s="767"/>
      <c r="S3" s="767"/>
      <c r="T3" s="767"/>
      <c r="U3" s="767"/>
      <c r="V3" s="767"/>
      <c r="W3" s="767"/>
      <c r="X3" s="767"/>
      <c r="Y3" s="767"/>
      <c r="Z3" s="767"/>
      <c r="AA3" s="767"/>
      <c r="AB3" s="767"/>
      <c r="AC3" s="768"/>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303" t="s">
        <v>2651</v>
      </c>
      <c r="Q4" s="3304"/>
      <c r="R4" s="3307" t="s">
        <v>2647</v>
      </c>
      <c r="S4" s="3308"/>
      <c r="T4" s="3307" t="s">
        <v>2648</v>
      </c>
      <c r="U4" s="3308"/>
      <c r="V4" s="3309" t="s">
        <v>2649</v>
      </c>
      <c r="W4" s="3309"/>
      <c r="X4" s="2666"/>
      <c r="Y4" s="3307" t="s">
        <v>2651</v>
      </c>
      <c r="Z4" s="3308"/>
      <c r="AA4" s="3311" t="s">
        <v>2647</v>
      </c>
      <c r="AB4" s="3311" t="s">
        <v>2648</v>
      </c>
      <c r="AC4" s="3300" t="s">
        <v>2649</v>
      </c>
    </row>
    <row r="5" spans="1:29" ht="15">
      <c r="A5" s="404"/>
      <c r="B5" s="405"/>
      <c r="C5" s="3251" t="s">
        <v>2542</v>
      </c>
      <c r="D5" s="3252"/>
      <c r="E5" s="3258" t="s">
        <v>2543</v>
      </c>
      <c r="F5" s="3259"/>
      <c r="G5" s="3251" t="s">
        <v>2544</v>
      </c>
      <c r="H5" s="3252"/>
      <c r="I5" s="3251" t="s">
        <v>2545</v>
      </c>
      <c r="J5" s="3252"/>
      <c r="K5" s="610"/>
      <c r="L5" s="1128"/>
      <c r="M5" s="1129"/>
      <c r="N5" s="1129"/>
      <c r="O5" s="1129"/>
      <c r="P5" s="3305"/>
      <c r="Q5" s="3240"/>
      <c r="R5" s="3245"/>
      <c r="S5" s="3246"/>
      <c r="T5" s="3245"/>
      <c r="U5" s="3246"/>
      <c r="V5" s="3230"/>
      <c r="W5" s="3230"/>
      <c r="X5" s="1811"/>
      <c r="Y5" s="3245"/>
      <c r="Z5" s="3246"/>
      <c r="AA5" s="3232"/>
      <c r="AB5" s="3232"/>
      <c r="AC5" s="3301"/>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306"/>
      <c r="Q6" s="3242"/>
      <c r="R6" s="3245"/>
      <c r="S6" s="3246"/>
      <c r="T6" s="3247"/>
      <c r="U6" s="3248"/>
      <c r="V6" s="3230"/>
      <c r="W6" s="3230"/>
      <c r="X6" s="1811"/>
      <c r="Y6" s="3247"/>
      <c r="Z6" s="3248"/>
      <c r="AA6" s="3233"/>
      <c r="AB6" s="3233"/>
      <c r="AC6" s="3302"/>
    </row>
    <row r="7" spans="1:29" s="117" customFormat="1" ht="15.75" thickBot="1">
      <c r="A7" s="408" t="s">
        <v>2548</v>
      </c>
      <c r="B7" s="409"/>
      <c r="C7" s="410">
        <f>'数据-取费表'!B2</f>
        <v>43711</v>
      </c>
      <c r="D7" s="411">
        <v>100</v>
      </c>
      <c r="E7" s="412"/>
      <c r="F7" s="413">
        <f>SUMIF(59:59,YEAR(E7)&amp;"-"&amp;MONTH(E7),60:60)</f>
        <v>0</v>
      </c>
      <c r="G7" s="412"/>
      <c r="H7" s="411">
        <f>SUMIF(59:59,YEAR(G7)&amp;"-"&amp;MONTH(G7),60:60)</f>
        <v>0</v>
      </c>
      <c r="I7" s="412"/>
      <c r="J7" s="411">
        <f>SUMIF(59:59,YEAR(I7)&amp;"-"&amp;MONTH(I7),60:60)</f>
        <v>0</v>
      </c>
      <c r="K7" s="611"/>
      <c r="L7" s="1130"/>
      <c r="M7" s="1131"/>
      <c r="N7" s="1131"/>
      <c r="O7" s="1131"/>
      <c r="P7" s="3310"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2667"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310" t="s">
        <v>2552</v>
      </c>
      <c r="Q8" s="3254"/>
      <c r="R8" s="769" t="s">
        <v>17</v>
      </c>
      <c r="S8" s="770">
        <f t="shared" si="0"/>
        <v>0</v>
      </c>
      <c r="T8" s="769" t="s">
        <v>17</v>
      </c>
      <c r="U8" s="770">
        <f t="shared" si="1"/>
        <v>0</v>
      </c>
      <c r="V8" s="769" t="s">
        <v>17</v>
      </c>
      <c r="W8" s="770">
        <f t="shared" si="2"/>
        <v>0</v>
      </c>
      <c r="X8" s="771"/>
      <c r="Y8" s="3253" t="s">
        <v>2552</v>
      </c>
      <c r="Z8" s="3254"/>
      <c r="AA8" s="772" t="e">
        <f t="shared" ref="AA8:AA47" si="3">D8/F8</f>
        <v>#DIV/0!</v>
      </c>
      <c r="AB8" s="772" t="e">
        <f t="shared" ref="AB8:AB47" si="4">D8/H8</f>
        <v>#DIV/0!</v>
      </c>
      <c r="AC8" s="2667"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2667">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2667">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223"/>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2667" t="e">
        <f t="shared" si="5"/>
        <v>#N/A</v>
      </c>
    </row>
    <row r="12" spans="1:29" s="117" customFormat="1" ht="15">
      <c r="A12" s="431"/>
      <c r="B12" s="2596">
        <v>111</v>
      </c>
      <c r="C12" s="432"/>
      <c r="D12" s="433">
        <v>100</v>
      </c>
      <c r="E12" s="432"/>
      <c r="F12" s="136">
        <f>SUMIF(71:71,E12,72:72)-SUMIF(71:71,C12,72:72)+100</f>
        <v>100</v>
      </c>
      <c r="G12" s="2668"/>
      <c r="H12" s="136">
        <f>SUMIF(71:71,G12,72:72)-SUMIF(71:71,C12,72:72)+100</f>
        <v>100</v>
      </c>
      <c r="I12" s="432"/>
      <c r="J12" s="136">
        <f>SUMIF(71:71,I12,72:72)-SUMIF(71:71,C12,72:72)+100</f>
        <v>100</v>
      </c>
      <c r="K12" s="613"/>
      <c r="L12" s="1130"/>
      <c r="M12" s="1131"/>
      <c r="N12" s="1131"/>
      <c r="O12" s="1131"/>
      <c r="P12" s="3223"/>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2667">
        <f>D12/J12</f>
        <v>1</v>
      </c>
    </row>
    <row r="13" spans="1:29" ht="15">
      <c r="A13" s="428"/>
      <c r="B13" s="2596">
        <v>111</v>
      </c>
      <c r="C13" s="434"/>
      <c r="D13" s="435">
        <v>100</v>
      </c>
      <c r="E13" s="432"/>
      <c r="F13" s="136">
        <f>SUMIF(73:73,E13,74:74)-SUMIF(73:73,C13,74:74)+100</f>
        <v>100</v>
      </c>
      <c r="G13" s="2668"/>
      <c r="H13" s="435">
        <f>SUMIF(73:73,G13,74:74)-SUMIF(73:73,C13,74:74)+100</f>
        <v>100</v>
      </c>
      <c r="I13" s="432"/>
      <c r="J13" s="435">
        <f>SUMIF(73:73,I13,74:74)-SUMIF(73:73,C13,74:74)+100</f>
        <v>100</v>
      </c>
      <c r="K13" s="613"/>
      <c r="L13" s="1138"/>
      <c r="M13" s="1129"/>
      <c r="N13" s="1129"/>
      <c r="O13" s="1129"/>
      <c r="P13" s="3223"/>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2667">
        <f t="shared" si="5"/>
        <v>1</v>
      </c>
    </row>
    <row r="14" spans="1:29" ht="15.75" thickBot="1">
      <c r="A14" s="436"/>
      <c r="B14" s="2598">
        <v>111</v>
      </c>
      <c r="C14" s="437"/>
      <c r="D14" s="438">
        <v>100</v>
      </c>
      <c r="E14" s="628"/>
      <c r="F14" s="438">
        <f>SUMIF(75:75,E14,76:76)-SUMIF(75:75,C14,76:76)+100</f>
        <v>100</v>
      </c>
      <c r="G14" s="2668"/>
      <c r="H14" s="438">
        <f>SUMIF(75:75,G14,76:76)-SUMIF(75:75,C14,76:76)+100</f>
        <v>100</v>
      </c>
      <c r="I14" s="432"/>
      <c r="J14" s="438">
        <f>SUMIF(75:75,I14,76:76)-SUMIF(75:75,C14,76:76)+100</f>
        <v>100</v>
      </c>
      <c r="K14" s="613"/>
      <c r="L14" s="1138"/>
      <c r="M14" s="1129"/>
      <c r="N14" s="1129"/>
      <c r="O14" s="1129"/>
      <c r="P14" s="3223"/>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2667">
        <f t="shared" si="5"/>
        <v>1</v>
      </c>
    </row>
    <row r="15" spans="1:29" ht="71.25">
      <c r="A15" s="440" t="s">
        <v>2559</v>
      </c>
      <c r="B15" s="629" t="s">
        <v>2687</v>
      </c>
      <c r="C15" s="2669"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293" t="s">
        <v>2560</v>
      </c>
      <c r="Q15" s="1808" t="str">
        <f t="shared" si="6"/>
        <v>办公集聚程度</v>
      </c>
      <c r="R15" s="773" t="s">
        <v>17</v>
      </c>
      <c r="S15" s="774">
        <f t="shared" si="0"/>
        <v>100</v>
      </c>
      <c r="T15" s="773" t="s">
        <v>17</v>
      </c>
      <c r="U15" s="774">
        <f t="shared" si="1"/>
        <v>100</v>
      </c>
      <c r="V15" s="773" t="s">
        <v>17</v>
      </c>
      <c r="W15" s="774">
        <f t="shared" si="2"/>
        <v>100</v>
      </c>
      <c r="X15" s="1811"/>
      <c r="Y15" s="3226" t="s">
        <v>2560</v>
      </c>
      <c r="Z15" s="1812" t="str">
        <f t="shared" si="7"/>
        <v>办公集聚程度</v>
      </c>
      <c r="AA15" s="1809">
        <f t="shared" si="3"/>
        <v>1</v>
      </c>
      <c r="AB15" s="1809">
        <f t="shared" si="4"/>
        <v>1</v>
      </c>
      <c r="AC15" s="2670">
        <f t="shared" si="5"/>
        <v>1</v>
      </c>
    </row>
    <row r="16" spans="1:29" ht="15">
      <c r="A16" s="428"/>
      <c r="B16" s="630"/>
      <c r="C16" s="2607"/>
      <c r="D16" s="448"/>
      <c r="E16" s="447"/>
      <c r="F16" s="448"/>
      <c r="G16" s="2607"/>
      <c r="H16" s="450"/>
      <c r="I16" s="447"/>
      <c r="J16" s="448"/>
      <c r="K16" s="615"/>
      <c r="L16" s="1138"/>
      <c r="M16" s="1129"/>
      <c r="N16" s="1129"/>
      <c r="O16" s="1129"/>
      <c r="P16" s="3294"/>
      <c r="Q16" s="1808"/>
      <c r="R16" s="773"/>
      <c r="S16" s="774"/>
      <c r="T16" s="773"/>
      <c r="U16" s="774"/>
      <c r="V16" s="773"/>
      <c r="W16" s="774"/>
      <c r="X16" s="1811"/>
      <c r="Y16" s="3227"/>
      <c r="Z16" s="1812"/>
      <c r="AA16" s="1809">
        <v>1</v>
      </c>
      <c r="AB16" s="1809">
        <v>1</v>
      </c>
      <c r="AC16" s="2670">
        <v>1</v>
      </c>
    </row>
    <row r="17" spans="1:29" ht="71.25">
      <c r="A17" s="428"/>
      <c r="B17" s="631" t="s">
        <v>2096</v>
      </c>
      <c r="C17" s="2671"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294"/>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2670">
        <f t="shared" si="5"/>
        <v>1</v>
      </c>
    </row>
    <row r="18" spans="1:29" ht="15">
      <c r="A18" s="428"/>
      <c r="B18" s="632"/>
      <c r="C18" s="2672"/>
      <c r="D18" s="450"/>
      <c r="E18" s="2605"/>
      <c r="F18" s="450"/>
      <c r="G18" s="2606"/>
      <c r="H18" s="448"/>
      <c r="I18" s="2606"/>
      <c r="J18" s="448"/>
      <c r="K18" s="615"/>
      <c r="L18" s="1138"/>
      <c r="M18" s="1129"/>
      <c r="N18" s="1129"/>
      <c r="O18" s="1129"/>
      <c r="P18" s="3294"/>
      <c r="Q18" s="1808"/>
      <c r="R18" s="773"/>
      <c r="S18" s="774"/>
      <c r="T18" s="773"/>
      <c r="U18" s="774"/>
      <c r="V18" s="773"/>
      <c r="W18" s="774"/>
      <c r="X18" s="1811"/>
      <c r="Y18" s="3227"/>
      <c r="Z18" s="1812"/>
      <c r="AA18" s="1809">
        <v>1</v>
      </c>
      <c r="AB18" s="1809">
        <v>1</v>
      </c>
      <c r="AC18" s="2670">
        <v>1</v>
      </c>
    </row>
    <row r="19" spans="1:29" ht="42.75">
      <c r="A19" s="428"/>
      <c r="B19" s="631" t="s">
        <v>2688</v>
      </c>
      <c r="C19" s="2671"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2670">
        <f t="shared" si="5"/>
        <v>1</v>
      </c>
    </row>
    <row r="20" spans="1:29" ht="15">
      <c r="A20" s="428"/>
      <c r="B20" s="632"/>
      <c r="C20" s="2607"/>
      <c r="D20" s="448"/>
      <c r="E20" s="2600"/>
      <c r="F20" s="448"/>
      <c r="G20" s="2601"/>
      <c r="H20" s="448"/>
      <c r="I20" s="2601"/>
      <c r="J20" s="448"/>
      <c r="K20" s="615"/>
      <c r="L20" s="1138"/>
      <c r="M20" s="1129"/>
      <c r="N20" s="1129"/>
      <c r="O20" s="1129"/>
      <c r="P20" s="3294"/>
      <c r="Q20" s="1808"/>
      <c r="R20" s="773"/>
      <c r="S20" s="774"/>
      <c r="T20" s="773"/>
      <c r="U20" s="774"/>
      <c r="V20" s="773"/>
      <c r="W20" s="774"/>
      <c r="X20" s="1811"/>
      <c r="Y20" s="3227"/>
      <c r="Z20" s="1812"/>
      <c r="AA20" s="1809">
        <v>1</v>
      </c>
      <c r="AB20" s="1809">
        <v>1</v>
      </c>
      <c r="AC20" s="2670">
        <v>1</v>
      </c>
    </row>
    <row r="21" spans="1:29" ht="28.5">
      <c r="A21" s="428"/>
      <c r="B21" s="633" t="s">
        <v>2689</v>
      </c>
      <c r="C21" s="2671"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2670">
        <f t="shared" ref="AC21" si="10">D21/J21</f>
        <v>1</v>
      </c>
    </row>
    <row r="22" spans="1:29" ht="15">
      <c r="A22" s="428"/>
      <c r="B22" s="633"/>
      <c r="C22" s="2672"/>
      <c r="D22" s="448"/>
      <c r="E22" s="447"/>
      <c r="F22" s="448"/>
      <c r="G22" s="2607"/>
      <c r="H22" s="448"/>
      <c r="I22" s="2607"/>
      <c r="J22" s="448"/>
      <c r="K22" s="1381"/>
      <c r="L22" s="1138"/>
      <c r="M22" s="1129"/>
      <c r="N22" s="1129"/>
      <c r="O22" s="1129"/>
      <c r="P22" s="3294"/>
      <c r="Q22" s="1808"/>
      <c r="R22" s="773"/>
      <c r="S22" s="774"/>
      <c r="T22" s="773"/>
      <c r="U22" s="774"/>
      <c r="V22" s="773"/>
      <c r="W22" s="774"/>
      <c r="X22" s="1811"/>
      <c r="Y22" s="3227"/>
      <c r="Z22" s="1812"/>
      <c r="AA22" s="1809">
        <v>1</v>
      </c>
      <c r="AB22" s="1809">
        <v>1</v>
      </c>
      <c r="AC22" s="2670">
        <v>1</v>
      </c>
    </row>
    <row r="23" spans="1:29" ht="42.75">
      <c r="A23" s="428"/>
      <c r="B23" s="631" t="s">
        <v>2690</v>
      </c>
      <c r="C23" s="2671"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294"/>
      <c r="Q23" s="1808" t="str">
        <f>B23</f>
        <v>环境质量</v>
      </c>
      <c r="R23" s="773" t="s">
        <v>17</v>
      </c>
      <c r="S23" s="774">
        <f>F23</f>
        <v>100</v>
      </c>
      <c r="T23" s="773" t="s">
        <v>17</v>
      </c>
      <c r="U23" s="774">
        <f>H23</f>
        <v>100</v>
      </c>
      <c r="V23" s="773" t="s">
        <v>17</v>
      </c>
      <c r="W23" s="774">
        <f>J23</f>
        <v>100</v>
      </c>
      <c r="X23" s="1811"/>
      <c r="Y23" s="3227"/>
      <c r="Z23" s="1812" t="str">
        <f>Q23</f>
        <v>环境质量</v>
      </c>
      <c r="AA23" s="1809">
        <f t="shared" si="3"/>
        <v>1</v>
      </c>
      <c r="AB23" s="1809">
        <f t="shared" si="4"/>
        <v>1</v>
      </c>
      <c r="AC23" s="2670">
        <f t="shared" si="5"/>
        <v>1</v>
      </c>
    </row>
    <row r="24" spans="1:29" ht="15">
      <c r="A24" s="428"/>
      <c r="B24" s="633"/>
      <c r="C24" s="2607"/>
      <c r="D24" s="448"/>
      <c r="E24" s="2600"/>
      <c r="F24" s="448"/>
      <c r="G24" s="2601"/>
      <c r="H24" s="448"/>
      <c r="I24" s="2601"/>
      <c r="J24" s="448"/>
      <c r="K24" s="615"/>
      <c r="L24" s="1138"/>
      <c r="M24" s="1129"/>
      <c r="N24" s="1129"/>
      <c r="O24" s="1129"/>
      <c r="P24" s="3294"/>
      <c r="Q24" s="1808"/>
      <c r="R24" s="773"/>
      <c r="S24" s="774"/>
      <c r="T24" s="773"/>
      <c r="U24" s="774"/>
      <c r="V24" s="773"/>
      <c r="W24" s="774"/>
      <c r="X24" s="1811"/>
      <c r="Y24" s="3227"/>
      <c r="Z24" s="1812"/>
      <c r="AA24" s="1809">
        <v>1</v>
      </c>
      <c r="AB24" s="1809">
        <v>1</v>
      </c>
      <c r="AC24" s="2670">
        <v>1</v>
      </c>
    </row>
    <row r="25" spans="1:29" ht="27">
      <c r="A25" s="404"/>
      <c r="B25" s="631" t="s">
        <v>2691</v>
      </c>
      <c r="C25" s="2611"/>
      <c r="D25" s="435">
        <v>100</v>
      </c>
      <c r="E25" s="434"/>
      <c r="F25" s="435">
        <f>SUMIF(87:87,E26,88:88)-SUMIF(87:87,C26,88:88)+100</f>
        <v>100</v>
      </c>
      <c r="G25" s="2611"/>
      <c r="H25" s="435">
        <f>SUMIF(87:87,G26,88:88)-SUMIF(87:87,C26,88:88)+100</f>
        <v>100</v>
      </c>
      <c r="I25" s="434"/>
      <c r="J25" s="435">
        <f>SUMIF(87:87,I26,88:88)-SUMIF(87:87,C26,88:88)+100</f>
        <v>100</v>
      </c>
      <c r="K25" s="614"/>
      <c r="L25" s="1138"/>
      <c r="M25" s="1129"/>
      <c r="N25" s="1129"/>
      <c r="O25" s="1129"/>
      <c r="P25" s="3294"/>
      <c r="Q25" s="1808" t="str">
        <f>B25</f>
        <v>毗邻道路的类型与等级</v>
      </c>
      <c r="R25" s="773" t="s">
        <v>17</v>
      </c>
      <c r="S25" s="774">
        <f>F25</f>
        <v>100</v>
      </c>
      <c r="T25" s="773" t="s">
        <v>17</v>
      </c>
      <c r="U25" s="774">
        <f>H25</f>
        <v>100</v>
      </c>
      <c r="V25" s="773" t="s">
        <v>17</v>
      </c>
      <c r="W25" s="774">
        <f>J25</f>
        <v>100</v>
      </c>
      <c r="X25" s="1811"/>
      <c r="Y25" s="3227"/>
      <c r="Z25" s="1812" t="str">
        <f>Q25</f>
        <v>毗邻道路的类型与等级</v>
      </c>
      <c r="AA25" s="1809">
        <f t="shared" si="3"/>
        <v>1</v>
      </c>
      <c r="AB25" s="1809">
        <f t="shared" si="4"/>
        <v>1</v>
      </c>
      <c r="AC25" s="2670">
        <f t="shared" si="5"/>
        <v>1</v>
      </c>
    </row>
    <row r="26" spans="1:29" ht="15">
      <c r="A26" s="404"/>
      <c r="B26" s="632"/>
      <c r="C26" s="634"/>
      <c r="D26" s="435"/>
      <c r="E26" s="616"/>
      <c r="F26" s="435"/>
      <c r="G26" s="634"/>
      <c r="H26" s="435"/>
      <c r="I26" s="616"/>
      <c r="J26" s="435"/>
      <c r="K26" s="615"/>
      <c r="L26" s="1138"/>
      <c r="M26" s="1129"/>
      <c r="N26" s="1129"/>
      <c r="O26" s="1129"/>
      <c r="P26" s="3294"/>
      <c r="Q26" s="1808"/>
      <c r="R26" s="773"/>
      <c r="S26" s="774"/>
      <c r="T26" s="773"/>
      <c r="U26" s="774"/>
      <c r="V26" s="773"/>
      <c r="W26" s="774"/>
      <c r="X26" s="1811"/>
      <c r="Y26" s="3227"/>
      <c r="Z26" s="1812"/>
      <c r="AA26" s="1809">
        <v>1</v>
      </c>
      <c r="AB26" s="1809">
        <v>1</v>
      </c>
      <c r="AC26" s="2670">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294"/>
      <c r="Q27" s="1808" t="str">
        <f t="shared" ref="Q27:Q47" si="11">B27</f>
        <v>楼层</v>
      </c>
      <c r="R27" s="773" t="s">
        <v>17</v>
      </c>
      <c r="S27" s="774">
        <f>F27</f>
        <v>100</v>
      </c>
      <c r="T27" s="773" t="s">
        <v>17</v>
      </c>
      <c r="U27" s="774">
        <f>H27</f>
        <v>100</v>
      </c>
      <c r="V27" s="773" t="s">
        <v>17</v>
      </c>
      <c r="W27" s="774">
        <f>J27</f>
        <v>100</v>
      </c>
      <c r="X27" s="1811"/>
      <c r="Y27" s="3227"/>
      <c r="Z27" s="1812" t="str">
        <f>Q27</f>
        <v>楼层</v>
      </c>
      <c r="AA27" s="1809">
        <f t="shared" si="3"/>
        <v>1</v>
      </c>
      <c r="AB27" s="1809">
        <f t="shared" si="4"/>
        <v>1</v>
      </c>
      <c r="AC27" s="2670">
        <f t="shared" si="5"/>
        <v>1</v>
      </c>
    </row>
    <row r="28" spans="1:29" s="117" customFormat="1" ht="15">
      <c r="A28" s="431"/>
      <c r="B28" s="631" t="s">
        <v>2692</v>
      </c>
      <c r="C28" s="2673"/>
      <c r="D28" s="462">
        <v>100</v>
      </c>
      <c r="E28" s="2661"/>
      <c r="F28" s="462">
        <f>SUMIF(91:91,E28,92:92)-SUMIF(91:91,C28,92:92)+100</f>
        <v>100</v>
      </c>
      <c r="G28" s="2673"/>
      <c r="H28" s="462">
        <f>SUMIF(91:91,G28,92:92)-SUMIF(91:91,C28,92:92)+100</f>
        <v>100</v>
      </c>
      <c r="I28" s="2661"/>
      <c r="J28" s="462">
        <f>SUMIF(91:91,I28,92:92)-SUMIF(91:91,C28,92:92)+100</f>
        <v>100</v>
      </c>
      <c r="K28" s="612"/>
      <c r="L28" s="1130"/>
      <c r="M28" s="1131"/>
      <c r="N28" s="1131"/>
      <c r="O28" s="1131"/>
      <c r="P28" s="3294"/>
      <c r="Q28" s="1793" t="str">
        <f t="shared" si="11"/>
        <v>朝向</v>
      </c>
      <c r="R28" s="769" t="s">
        <v>17</v>
      </c>
      <c r="S28" s="770">
        <f>F28</f>
        <v>100</v>
      </c>
      <c r="T28" s="769" t="s">
        <v>17</v>
      </c>
      <c r="U28" s="770">
        <f>H28</f>
        <v>100</v>
      </c>
      <c r="V28" s="769" t="s">
        <v>17</v>
      </c>
      <c r="W28" s="770">
        <f>J28</f>
        <v>100</v>
      </c>
      <c r="X28" s="771"/>
      <c r="Y28" s="3227"/>
      <c r="Z28" s="55" t="str">
        <f>Q28</f>
        <v>朝向</v>
      </c>
      <c r="AA28" s="1809">
        <f>D28/F28</f>
        <v>1</v>
      </c>
      <c r="AB28" s="1809">
        <f>D28/H28</f>
        <v>1</v>
      </c>
      <c r="AC28" s="2670">
        <f>D28/J28</f>
        <v>1</v>
      </c>
    </row>
    <row r="29" spans="1:29" ht="15">
      <c r="A29" s="428"/>
      <c r="B29" s="2674">
        <v>111</v>
      </c>
      <c r="C29" s="2611"/>
      <c r="D29" s="435">
        <v>100</v>
      </c>
      <c r="E29" s="432"/>
      <c r="F29" s="435">
        <f>SUMIF(93:93,E29,94:94)-SUMIF(93:93,C29,94:94)+100</f>
        <v>100</v>
      </c>
      <c r="G29" s="2668"/>
      <c r="H29" s="435">
        <f>SUMIF(93:93,G29,94:94)-SUMIF(93:93,C29,94:94)+100</f>
        <v>100</v>
      </c>
      <c r="I29" s="432"/>
      <c r="J29" s="435">
        <f>SUMIF(93:93,I29,94:94)-SUMIF(93:93,C29,94:94)+100</f>
        <v>100</v>
      </c>
      <c r="K29" s="613"/>
      <c r="L29" s="1138"/>
      <c r="M29" s="1129"/>
      <c r="N29" s="1129"/>
      <c r="O29" s="1129"/>
      <c r="P29" s="3294"/>
      <c r="Q29" s="1808">
        <f t="shared" si="11"/>
        <v>111</v>
      </c>
      <c r="R29" s="773" t="s">
        <v>17</v>
      </c>
      <c r="S29" s="774">
        <f t="shared" ref="S29:S47" si="12">F29</f>
        <v>100</v>
      </c>
      <c r="T29" s="773" t="s">
        <v>17</v>
      </c>
      <c r="U29" s="774">
        <f t="shared" ref="U29:U47" si="13">H29</f>
        <v>100</v>
      </c>
      <c r="V29" s="773" t="s">
        <v>17</v>
      </c>
      <c r="W29" s="774">
        <f t="shared" ref="W29:W47" si="14">J29</f>
        <v>100</v>
      </c>
      <c r="X29" s="1811"/>
      <c r="Y29" s="3227"/>
      <c r="Z29" s="1812">
        <f t="shared" ref="Z29:Z47" si="15">Q29</f>
        <v>111</v>
      </c>
      <c r="AA29" s="1809">
        <f t="shared" si="3"/>
        <v>1</v>
      </c>
      <c r="AB29" s="1809">
        <f t="shared" si="4"/>
        <v>1</v>
      </c>
      <c r="AC29" s="2670">
        <f t="shared" si="5"/>
        <v>1</v>
      </c>
    </row>
    <row r="30" spans="1:29" ht="15">
      <c r="A30" s="428"/>
      <c r="B30" s="2674">
        <v>111</v>
      </c>
      <c r="C30" s="2611"/>
      <c r="D30" s="435">
        <v>100</v>
      </c>
      <c r="E30" s="432"/>
      <c r="F30" s="435">
        <f>SUMIF(95:95,E30,96:96)-SUMIF(95:95,C30,96:96)+100</f>
        <v>100</v>
      </c>
      <c r="G30" s="2668"/>
      <c r="H30" s="435">
        <f>SUMIF(95:95,G30,96:96)-SUMIF(95:95,C30,96:96)+100</f>
        <v>100</v>
      </c>
      <c r="I30" s="432"/>
      <c r="J30" s="435">
        <f>SUMIF(95:95,I30,96:96)-SUMIF(95:95,C30,96:96)+100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27"/>
      <c r="Z30" s="1812">
        <f t="shared" si="15"/>
        <v>111</v>
      </c>
      <c r="AA30" s="1809">
        <f t="shared" si="3"/>
        <v>1</v>
      </c>
      <c r="AB30" s="1809">
        <f t="shared" si="4"/>
        <v>1</v>
      </c>
      <c r="AC30" s="2670">
        <f t="shared" si="5"/>
        <v>1</v>
      </c>
    </row>
    <row r="31" spans="1:29" ht="15">
      <c r="A31" s="428"/>
      <c r="B31" s="2674">
        <v>111</v>
      </c>
      <c r="C31" s="2611"/>
      <c r="D31" s="435">
        <v>100</v>
      </c>
      <c r="E31" s="432"/>
      <c r="F31" s="435">
        <f>SUMIF(97:97,E31,98:98)-SUMIF(97:97,C31,98:98)+100</f>
        <v>100</v>
      </c>
      <c r="G31" s="2668"/>
      <c r="H31" s="435">
        <f>SUMIF(97:97,G31,98:98)-SUMIF(97:97,C31,98:98)+100</f>
        <v>100</v>
      </c>
      <c r="I31" s="432"/>
      <c r="J31" s="435">
        <f>SUMIF(97:97,I31,98:98)-SUMIF(97:97,C31,98:98)+100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27"/>
      <c r="Z31" s="1812">
        <f t="shared" si="15"/>
        <v>111</v>
      </c>
      <c r="AA31" s="1809">
        <f t="shared" si="3"/>
        <v>1</v>
      </c>
      <c r="AB31" s="1809">
        <f t="shared" si="4"/>
        <v>1</v>
      </c>
      <c r="AC31" s="2670">
        <f t="shared" si="5"/>
        <v>1</v>
      </c>
    </row>
    <row r="32" spans="1:29" ht="15.75" thickBot="1">
      <c r="A32" s="436"/>
      <c r="B32" s="635">
        <v>111</v>
      </c>
      <c r="C32" s="2612"/>
      <c r="D32" s="438">
        <v>100</v>
      </c>
      <c r="E32" s="628"/>
      <c r="F32" s="438">
        <f>SUMIF(99:99,E32,100:100)-SUMIF(99:99,C32,100:100)+100</f>
        <v>100</v>
      </c>
      <c r="G32" s="2668"/>
      <c r="H32" s="438">
        <f>SUMIF(99:99,G32,100:100)-SUMIF(99:99,C32,100:100)+100</f>
        <v>100</v>
      </c>
      <c r="I32" s="432"/>
      <c r="J32" s="438">
        <f>SUMIF(99:99,I32,100:100)-SUMIF(99:99,C32,100:100)+100</f>
        <v>100</v>
      </c>
      <c r="K32" s="613"/>
      <c r="L32" s="1138"/>
      <c r="M32" s="1129"/>
      <c r="N32" s="1129"/>
      <c r="O32" s="1129"/>
      <c r="P32" s="3294"/>
      <c r="Q32" s="1808">
        <f t="shared" si="11"/>
        <v>111</v>
      </c>
      <c r="R32" s="773" t="s">
        <v>17</v>
      </c>
      <c r="S32" s="774">
        <f t="shared" si="12"/>
        <v>100</v>
      </c>
      <c r="T32" s="773" t="s">
        <v>17</v>
      </c>
      <c r="U32" s="774">
        <f t="shared" si="13"/>
        <v>100</v>
      </c>
      <c r="V32" s="773" t="s">
        <v>17</v>
      </c>
      <c r="W32" s="774">
        <f t="shared" si="14"/>
        <v>100</v>
      </c>
      <c r="X32" s="1811"/>
      <c r="Y32" s="3227"/>
      <c r="Z32" s="1812">
        <f t="shared" si="15"/>
        <v>111</v>
      </c>
      <c r="AA32" s="1809">
        <f t="shared" si="3"/>
        <v>1</v>
      </c>
      <c r="AB32" s="1809">
        <f t="shared" si="4"/>
        <v>1</v>
      </c>
      <c r="AC32" s="2670">
        <f t="shared" si="5"/>
        <v>1</v>
      </c>
    </row>
    <row r="33" spans="1:29" ht="15">
      <c r="A33" s="440" t="s">
        <v>2563</v>
      </c>
      <c r="B33" s="71" t="s">
        <v>2693</v>
      </c>
      <c r="C33" s="2675"/>
      <c r="D33" s="467">
        <v>100</v>
      </c>
      <c r="E33" s="2675"/>
      <c r="F33" s="461">
        <f>SUMIF(101:101,E33,102:102)-SUMIF(101:101,C33,102:102)+100</f>
        <v>100</v>
      </c>
      <c r="G33" s="2675"/>
      <c r="H33" s="435">
        <f>SUMIF(101:101,G33,102:102)-SUMIF(101:101,C33,102:102)+100</f>
        <v>100</v>
      </c>
      <c r="I33" s="2675"/>
      <c r="J33" s="467">
        <f>SUMIF(101:101,I33,102:102)-SUMIF(101:101,C33,102:102)+100</f>
        <v>100</v>
      </c>
      <c r="K33" s="612"/>
      <c r="L33" s="1138"/>
      <c r="M33" s="1129"/>
      <c r="N33" s="1129"/>
      <c r="O33" s="1129"/>
      <c r="P33" s="3289" t="s">
        <v>2565</v>
      </c>
      <c r="Q33" s="1808" t="str">
        <f t="shared" si="11"/>
        <v>建筑类型</v>
      </c>
      <c r="R33" s="773" t="s">
        <v>17</v>
      </c>
      <c r="S33" s="774">
        <f t="shared" si="12"/>
        <v>100</v>
      </c>
      <c r="T33" s="773" t="s">
        <v>17</v>
      </c>
      <c r="U33" s="774">
        <f t="shared" si="13"/>
        <v>100</v>
      </c>
      <c r="V33" s="773" t="s">
        <v>17</v>
      </c>
      <c r="W33" s="774">
        <f t="shared" si="14"/>
        <v>100</v>
      </c>
      <c r="X33" s="1811"/>
      <c r="Y33" s="3229" t="s">
        <v>2565</v>
      </c>
      <c r="Z33" s="1812" t="str">
        <f t="shared" si="15"/>
        <v>建筑类型</v>
      </c>
      <c r="AA33" s="1809">
        <f t="shared" si="3"/>
        <v>1</v>
      </c>
      <c r="AB33" s="1809">
        <f t="shared" si="4"/>
        <v>1</v>
      </c>
      <c r="AC33" s="2670">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290"/>
      <c r="Q34" s="775" t="str">
        <f t="shared" si="11"/>
        <v>项目建筑规模</v>
      </c>
      <c r="R34" s="776" t="s">
        <v>17</v>
      </c>
      <c r="S34" s="777" t="e">
        <f t="shared" si="12"/>
        <v>#N/A</v>
      </c>
      <c r="T34" s="776" t="s">
        <v>17</v>
      </c>
      <c r="U34" s="777" t="e">
        <f t="shared" si="13"/>
        <v>#N/A</v>
      </c>
      <c r="V34" s="776" t="s">
        <v>17</v>
      </c>
      <c r="W34" s="777" t="e">
        <f t="shared" si="14"/>
        <v>#N/A</v>
      </c>
      <c r="X34" s="778"/>
      <c r="Y34" s="3229"/>
      <c r="Z34" s="779" t="str">
        <f t="shared" si="15"/>
        <v>项目建筑规模</v>
      </c>
      <c r="AA34" s="1809" t="e">
        <f t="shared" si="3"/>
        <v>#N/A</v>
      </c>
      <c r="AB34" s="1809" t="e">
        <f t="shared" si="4"/>
        <v>#N/A</v>
      </c>
      <c r="AC34" s="2670"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290"/>
      <c r="Q35" s="1808" t="str">
        <f t="shared" si="11"/>
        <v>建筑结构</v>
      </c>
      <c r="R35" s="773" t="s">
        <v>17</v>
      </c>
      <c r="S35" s="774">
        <f t="shared" si="12"/>
        <v>100</v>
      </c>
      <c r="T35" s="773" t="s">
        <v>17</v>
      </c>
      <c r="U35" s="774">
        <f t="shared" si="13"/>
        <v>100</v>
      </c>
      <c r="V35" s="773" t="s">
        <v>17</v>
      </c>
      <c r="W35" s="774">
        <f t="shared" si="14"/>
        <v>100</v>
      </c>
      <c r="X35" s="1811"/>
      <c r="Y35" s="3229"/>
      <c r="Z35" s="1812" t="str">
        <f t="shared" si="15"/>
        <v>建筑结构</v>
      </c>
      <c r="AA35" s="1809">
        <f t="shared" si="3"/>
        <v>1</v>
      </c>
      <c r="AB35" s="1809">
        <f t="shared" si="4"/>
        <v>1</v>
      </c>
      <c r="AC35" s="2670">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290"/>
      <c r="Q36" s="1808" t="str">
        <f t="shared" si="11"/>
        <v>公共部分装修</v>
      </c>
      <c r="R36" s="773" t="s">
        <v>17</v>
      </c>
      <c r="S36" s="774">
        <f t="shared" si="12"/>
        <v>100</v>
      </c>
      <c r="T36" s="773" t="s">
        <v>17</v>
      </c>
      <c r="U36" s="774">
        <f t="shared" si="13"/>
        <v>100</v>
      </c>
      <c r="V36" s="773" t="s">
        <v>17</v>
      </c>
      <c r="W36" s="774">
        <f t="shared" si="14"/>
        <v>100</v>
      </c>
      <c r="X36" s="1811"/>
      <c r="Y36" s="3229"/>
      <c r="Z36" s="1812" t="str">
        <f t="shared" si="15"/>
        <v>公共部分装修</v>
      </c>
      <c r="AA36" s="1809">
        <f t="shared" si="3"/>
        <v>1</v>
      </c>
      <c r="AB36" s="1809">
        <f t="shared" si="4"/>
        <v>1</v>
      </c>
      <c r="AC36" s="2670">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290"/>
      <c r="Q37" s="1808" t="str">
        <f t="shared" si="11"/>
        <v>成新度</v>
      </c>
      <c r="R37" s="773" t="s">
        <v>17</v>
      </c>
      <c r="S37" s="774" t="e">
        <f t="shared" si="12"/>
        <v>#N/A</v>
      </c>
      <c r="T37" s="773" t="s">
        <v>17</v>
      </c>
      <c r="U37" s="774" t="e">
        <f t="shared" si="13"/>
        <v>#N/A</v>
      </c>
      <c r="V37" s="773" t="s">
        <v>17</v>
      </c>
      <c r="W37" s="774" t="e">
        <f t="shared" si="14"/>
        <v>#N/A</v>
      </c>
      <c r="X37" s="1811"/>
      <c r="Y37" s="3229"/>
      <c r="Z37" s="1812" t="str">
        <f t="shared" si="15"/>
        <v>成新度</v>
      </c>
      <c r="AA37" s="1809" t="e">
        <f t="shared" si="3"/>
        <v>#N/A</v>
      </c>
      <c r="AB37" s="1809" t="e">
        <f t="shared" si="4"/>
        <v>#N/A</v>
      </c>
      <c r="AC37" s="2670"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290"/>
      <c r="Q38" s="1793" t="str">
        <f t="shared" si="11"/>
        <v>写字楼等级</v>
      </c>
      <c r="R38" s="769" t="s">
        <v>17</v>
      </c>
      <c r="S38" s="770">
        <f t="shared" si="12"/>
        <v>100</v>
      </c>
      <c r="T38" s="769" t="s">
        <v>17</v>
      </c>
      <c r="U38" s="770">
        <f t="shared" si="13"/>
        <v>100</v>
      </c>
      <c r="V38" s="769" t="s">
        <v>17</v>
      </c>
      <c r="W38" s="770">
        <f t="shared" si="14"/>
        <v>100</v>
      </c>
      <c r="X38" s="771"/>
      <c r="Y38" s="3229"/>
      <c r="Z38" s="55" t="str">
        <f t="shared" si="15"/>
        <v>写字楼等级</v>
      </c>
      <c r="AA38" s="772">
        <f t="shared" si="3"/>
        <v>1</v>
      </c>
      <c r="AB38" s="772">
        <f t="shared" si="4"/>
        <v>1</v>
      </c>
      <c r="AC38" s="2667">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290" t="s">
        <v>2565</v>
      </c>
      <c r="Q39" s="1808" t="str">
        <f t="shared" si="11"/>
        <v>物业管理</v>
      </c>
      <c r="R39" s="773" t="s">
        <v>17</v>
      </c>
      <c r="S39" s="774">
        <f t="shared" si="12"/>
        <v>100</v>
      </c>
      <c r="T39" s="773" t="s">
        <v>17</v>
      </c>
      <c r="U39" s="774">
        <f t="shared" si="13"/>
        <v>100</v>
      </c>
      <c r="V39" s="773" t="s">
        <v>17</v>
      </c>
      <c r="W39" s="774">
        <f t="shared" si="14"/>
        <v>100</v>
      </c>
      <c r="X39" s="1811"/>
      <c r="Y39" s="3229" t="s">
        <v>2565</v>
      </c>
      <c r="Z39" s="1812" t="str">
        <f t="shared" si="15"/>
        <v>物业管理</v>
      </c>
      <c r="AA39" s="1809">
        <f t="shared" si="3"/>
        <v>1</v>
      </c>
      <c r="AB39" s="1809">
        <f t="shared" si="4"/>
        <v>1</v>
      </c>
      <c r="AC39" s="2670">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290"/>
      <c r="Q40" s="1808" t="str">
        <f t="shared" si="11"/>
        <v>市政基础设施</v>
      </c>
      <c r="R40" s="773" t="s">
        <v>17</v>
      </c>
      <c r="S40" s="774">
        <f t="shared" si="12"/>
        <v>100</v>
      </c>
      <c r="T40" s="773" t="s">
        <v>17</v>
      </c>
      <c r="U40" s="774">
        <f t="shared" si="13"/>
        <v>100</v>
      </c>
      <c r="V40" s="773" t="s">
        <v>17</v>
      </c>
      <c r="W40" s="774">
        <f t="shared" si="14"/>
        <v>100</v>
      </c>
      <c r="X40" s="1811"/>
      <c r="Y40" s="3229"/>
      <c r="Z40" s="1812" t="str">
        <f t="shared" si="15"/>
        <v>市政基础设施</v>
      </c>
      <c r="AA40" s="1809">
        <f t="shared" si="3"/>
        <v>1</v>
      </c>
      <c r="AB40" s="1809">
        <f t="shared" si="4"/>
        <v>1</v>
      </c>
      <c r="AC40" s="2670">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290"/>
      <c r="Q41" s="1808" t="str">
        <f t="shared" si="11"/>
        <v>层高</v>
      </c>
      <c r="R41" s="773" t="s">
        <v>17</v>
      </c>
      <c r="S41" s="774">
        <f t="shared" si="12"/>
        <v>100</v>
      </c>
      <c r="T41" s="773" t="s">
        <v>17</v>
      </c>
      <c r="U41" s="774">
        <f t="shared" si="13"/>
        <v>100</v>
      </c>
      <c r="V41" s="773" t="s">
        <v>17</v>
      </c>
      <c r="W41" s="774">
        <f t="shared" si="14"/>
        <v>100</v>
      </c>
      <c r="X41" s="1811"/>
      <c r="Y41" s="3229"/>
      <c r="Z41" s="1812" t="str">
        <f t="shared" si="15"/>
        <v>层高</v>
      </c>
      <c r="AA41" s="1809">
        <f t="shared" si="3"/>
        <v>1</v>
      </c>
      <c r="AB41" s="1809">
        <f t="shared" si="4"/>
        <v>1</v>
      </c>
      <c r="AC41" s="2670">
        <f t="shared" si="5"/>
        <v>1</v>
      </c>
    </row>
    <row r="42" spans="1:29" s="471" customFormat="1" ht="15">
      <c r="A42" s="468"/>
      <c r="B42" s="1810"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290"/>
      <c r="Q42" s="775" t="str">
        <f t="shared" si="11"/>
        <v>单套建筑面积</v>
      </c>
      <c r="R42" s="776" t="s">
        <v>17</v>
      </c>
      <c r="S42" s="777">
        <f t="shared" si="12"/>
        <v>100</v>
      </c>
      <c r="T42" s="776" t="s">
        <v>17</v>
      </c>
      <c r="U42" s="777">
        <f t="shared" si="13"/>
        <v>100</v>
      </c>
      <c r="V42" s="776" t="s">
        <v>17</v>
      </c>
      <c r="W42" s="777">
        <f t="shared" si="14"/>
        <v>100</v>
      </c>
      <c r="X42" s="778"/>
      <c r="Y42" s="3229"/>
      <c r="Z42" s="779" t="str">
        <f t="shared" si="15"/>
        <v>单套建筑面积</v>
      </c>
      <c r="AA42" s="1809">
        <f t="shared" si="3"/>
        <v>1</v>
      </c>
      <c r="AB42" s="1809">
        <f t="shared" si="4"/>
        <v>1</v>
      </c>
      <c r="AC42" s="2670">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290"/>
      <c r="Q43" s="1808" t="str">
        <f t="shared" si="11"/>
        <v>内部装修</v>
      </c>
      <c r="R43" s="773" t="s">
        <v>17</v>
      </c>
      <c r="S43" s="774">
        <f t="shared" si="12"/>
        <v>100</v>
      </c>
      <c r="T43" s="773" t="s">
        <v>17</v>
      </c>
      <c r="U43" s="774">
        <f t="shared" si="13"/>
        <v>100</v>
      </c>
      <c r="V43" s="773" t="s">
        <v>17</v>
      </c>
      <c r="W43" s="774">
        <f t="shared" si="14"/>
        <v>100</v>
      </c>
      <c r="X43" s="1811"/>
      <c r="Y43" s="3229"/>
      <c r="Z43" s="1812" t="str">
        <f t="shared" si="15"/>
        <v>内部装修</v>
      </c>
      <c r="AA43" s="1809">
        <f t="shared" si="3"/>
        <v>1</v>
      </c>
      <c r="AB43" s="1809">
        <f t="shared" si="4"/>
        <v>1</v>
      </c>
      <c r="AC43" s="2670">
        <f t="shared" si="5"/>
        <v>1</v>
      </c>
    </row>
    <row r="44" spans="1:29" ht="15">
      <c r="A44" s="472"/>
      <c r="B44" s="422" t="s">
        <v>2576</v>
      </c>
      <c r="C44" s="460"/>
      <c r="D44" s="435">
        <v>100</v>
      </c>
      <c r="E44" s="2609"/>
      <c r="F44" s="461">
        <f>SUMIF(125:125,E44,126:126)-SUMIF(125:125,C44,126:126)+100</f>
        <v>100</v>
      </c>
      <c r="G44" s="2609"/>
      <c r="H44" s="435">
        <f>SUMIF(125:125,G44,126:126)-SUMIF(125:125,C44,126:126)+100</f>
        <v>100</v>
      </c>
      <c r="I44" s="2609"/>
      <c r="J44" s="435">
        <f>SUMIF(125:125,I44,126:126)-SUMIF(125:125,C44,126:126)+100</f>
        <v>100</v>
      </c>
      <c r="K44" s="612"/>
      <c r="L44" s="1138"/>
      <c r="M44" s="1129"/>
      <c r="N44" s="1129"/>
      <c r="O44" s="1129"/>
      <c r="P44" s="3290"/>
      <c r="Q44" s="1808" t="str">
        <f t="shared" si="11"/>
        <v>内部装修维护情况</v>
      </c>
      <c r="R44" s="773" t="s">
        <v>17</v>
      </c>
      <c r="S44" s="774">
        <f t="shared" si="12"/>
        <v>100</v>
      </c>
      <c r="T44" s="773" t="s">
        <v>17</v>
      </c>
      <c r="U44" s="774">
        <f t="shared" si="13"/>
        <v>100</v>
      </c>
      <c r="V44" s="773" t="s">
        <v>17</v>
      </c>
      <c r="W44" s="774">
        <f t="shared" si="14"/>
        <v>100</v>
      </c>
      <c r="X44" s="1811"/>
      <c r="Y44" s="3229"/>
      <c r="Z44" s="1812" t="str">
        <f t="shared" si="15"/>
        <v>内部装修维护情况</v>
      </c>
      <c r="AA44" s="1809">
        <f t="shared" si="3"/>
        <v>1</v>
      </c>
      <c r="AB44" s="1809">
        <f t="shared" si="4"/>
        <v>1</v>
      </c>
      <c r="AC44" s="2670">
        <f t="shared" si="5"/>
        <v>1</v>
      </c>
    </row>
    <row r="45" spans="1:29" s="117" customFormat="1" ht="15">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290"/>
      <c r="Q45" s="1793">
        <f t="shared" si="11"/>
        <v>111</v>
      </c>
      <c r="R45" s="769" t="s">
        <v>17</v>
      </c>
      <c r="S45" s="770">
        <f t="shared" si="12"/>
        <v>100</v>
      </c>
      <c r="T45" s="769" t="s">
        <v>17</v>
      </c>
      <c r="U45" s="770">
        <f t="shared" si="13"/>
        <v>100</v>
      </c>
      <c r="V45" s="769" t="s">
        <v>17</v>
      </c>
      <c r="W45" s="770">
        <f t="shared" si="14"/>
        <v>100</v>
      </c>
      <c r="X45" s="771"/>
      <c r="Y45" s="3229"/>
      <c r="Z45" s="55">
        <f t="shared" si="15"/>
        <v>111</v>
      </c>
      <c r="AA45" s="772">
        <f t="shared" si="3"/>
        <v>1</v>
      </c>
      <c r="AB45" s="772">
        <f t="shared" si="4"/>
        <v>1</v>
      </c>
      <c r="AC45" s="2667">
        <f t="shared" si="5"/>
        <v>1</v>
      </c>
    </row>
    <row r="46" spans="1:29" ht="15">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290"/>
      <c r="Q46" s="1808">
        <f t="shared" si="11"/>
        <v>111</v>
      </c>
      <c r="R46" s="773" t="s">
        <v>17</v>
      </c>
      <c r="S46" s="774">
        <f t="shared" si="12"/>
        <v>100</v>
      </c>
      <c r="T46" s="773" t="s">
        <v>17</v>
      </c>
      <c r="U46" s="774">
        <f t="shared" si="13"/>
        <v>100</v>
      </c>
      <c r="V46" s="773" t="s">
        <v>17</v>
      </c>
      <c r="W46" s="774">
        <f t="shared" si="14"/>
        <v>100</v>
      </c>
      <c r="X46" s="1811"/>
      <c r="Y46" s="3229"/>
      <c r="Z46" s="1812">
        <f t="shared" si="15"/>
        <v>111</v>
      </c>
      <c r="AA46" s="1809">
        <f t="shared" si="3"/>
        <v>1</v>
      </c>
      <c r="AB46" s="1809">
        <f t="shared" si="4"/>
        <v>1</v>
      </c>
      <c r="AC46" s="2670">
        <f t="shared" si="5"/>
        <v>1</v>
      </c>
    </row>
    <row r="47" spans="1:29" ht="15.75" thickBot="1">
      <c r="A47" s="478"/>
      <c r="B47" s="2598">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291"/>
      <c r="Q47" s="1808">
        <f t="shared" si="11"/>
        <v>111</v>
      </c>
      <c r="R47" s="773" t="s">
        <v>17</v>
      </c>
      <c r="S47" s="774">
        <f t="shared" si="12"/>
        <v>100</v>
      </c>
      <c r="T47" s="773" t="s">
        <v>17</v>
      </c>
      <c r="U47" s="774">
        <f t="shared" si="13"/>
        <v>100</v>
      </c>
      <c r="V47" s="773" t="s">
        <v>17</v>
      </c>
      <c r="W47" s="774">
        <f t="shared" si="14"/>
        <v>100</v>
      </c>
      <c r="X47" s="1811"/>
      <c r="Y47" s="3292"/>
      <c r="Z47" s="1812">
        <f t="shared" si="15"/>
        <v>111</v>
      </c>
      <c r="AA47" s="1809">
        <f t="shared" si="3"/>
        <v>1</v>
      </c>
      <c r="AB47" s="1809">
        <f t="shared" si="4"/>
        <v>1</v>
      </c>
      <c r="AC47" s="2670">
        <f t="shared" si="5"/>
        <v>1</v>
      </c>
    </row>
    <row r="48" spans="1:29" ht="15">
      <c r="A48" s="479" t="s">
        <v>2577</v>
      </c>
      <c r="B48" s="480"/>
      <c r="C48" s="1405" t="s">
        <v>1</v>
      </c>
      <c r="D48" s="1406"/>
      <c r="E48" s="1407"/>
      <c r="F48" s="1408"/>
      <c r="G48" s="1409"/>
      <c r="H48" s="1410"/>
      <c r="I48" s="1407"/>
      <c r="J48" s="485"/>
      <c r="K48" s="782"/>
      <c r="L48" s="1141"/>
      <c r="M48" s="1129"/>
      <c r="N48" s="1129"/>
      <c r="O48" s="1129"/>
      <c r="P48" s="3223" t="str">
        <f>A48</f>
        <v>成交单价（元/平方米）</v>
      </c>
      <c r="Q48" s="3224"/>
      <c r="R48" s="3288">
        <f>E48</f>
        <v>0</v>
      </c>
      <c r="S48" s="3288"/>
      <c r="T48" s="3288">
        <f>G48</f>
        <v>0</v>
      </c>
      <c r="U48" s="3288"/>
      <c r="V48" s="3288">
        <f>I48</f>
        <v>0</v>
      </c>
      <c r="W48" s="3288"/>
      <c r="X48" s="446"/>
      <c r="Y48" s="780"/>
      <c r="Z48" s="446"/>
      <c r="AA48" s="446"/>
      <c r="AB48" s="446"/>
      <c r="AC48" s="630"/>
    </row>
    <row r="49" spans="1:29" ht="15.75" thickBot="1">
      <c r="A49" s="486" t="s">
        <v>2669</v>
      </c>
      <c r="B49" s="487"/>
      <c r="C49" s="1411" t="e">
        <f>R50</f>
        <v>#DIV/0!</v>
      </c>
      <c r="D49" s="1412"/>
      <c r="E49" s="1413" t="e">
        <f>R49</f>
        <v>#DIV/0!</v>
      </c>
      <c r="F49" s="1413"/>
      <c r="G49" s="1411" t="e">
        <f>T49</f>
        <v>#DIV/0!</v>
      </c>
      <c r="H49" s="1412"/>
      <c r="I49" s="1413" t="e">
        <f>V49</f>
        <v>#DIV/0!</v>
      </c>
      <c r="J49" s="489"/>
      <c r="K49" s="783"/>
      <c r="L49" s="1141"/>
      <c r="M49" s="1129"/>
      <c r="N49" s="1129"/>
      <c r="O49" s="1129"/>
      <c r="P49" s="3223" t="str">
        <f>A49</f>
        <v>比较价值（元/平方米）</v>
      </c>
      <c r="Q49" s="3224"/>
      <c r="R49" s="3288" t="e">
        <f>IF(F1="售价",ROUND(PRODUCT(R48,AA7:AA47),0),ROUND(PRODUCT(R48,AA7:AA47),1))</f>
        <v>#DIV/0!</v>
      </c>
      <c r="S49" s="3288"/>
      <c r="T49" s="3288" t="e">
        <f>IF(F1="售价",ROUND(PRODUCT(T48,AB7:AB47),0),ROUND(PRODUCT(T48,AB7:AB47),1))</f>
        <v>#DIV/0!</v>
      </c>
      <c r="U49" s="3288"/>
      <c r="V49" s="3288" t="e">
        <f>IF(F1="售价",ROUND(PRODUCT(V48,AC7:AC47),0),ROUND(PRODUCT(V48,AC7:AC47),1))</f>
        <v>#DIV/0!</v>
      </c>
      <c r="W49" s="3288"/>
      <c r="X49" s="446"/>
      <c r="Y49" s="446"/>
      <c r="Z49" s="446"/>
      <c r="AA49" s="446"/>
      <c r="AB49" s="446"/>
      <c r="AC49" s="630"/>
    </row>
    <row r="50" spans="1:29" ht="15.75" thickBot="1">
      <c r="A50" s="492" t="s">
        <v>2670</v>
      </c>
      <c r="B50" s="493"/>
      <c r="C50" s="1415" t="e">
        <f>R50</f>
        <v>#DIV/0!</v>
      </c>
      <c r="D50" s="1415"/>
      <c r="E50" s="1415"/>
      <c r="F50" s="1415"/>
      <c r="G50" s="1415"/>
      <c r="H50" s="1415"/>
      <c r="I50" s="1415"/>
      <c r="J50" s="494"/>
      <c r="K50" s="784"/>
      <c r="L50" s="1141"/>
      <c r="M50" s="1129"/>
      <c r="N50" s="1129"/>
      <c r="O50" s="1129"/>
      <c r="P50" s="3297" t="str">
        <f>A50</f>
        <v>估价对象XX用房的比较价值（楼面单价，元/平方米）</v>
      </c>
      <c r="Q50" s="3298"/>
      <c r="R50" s="3299" t="e">
        <f>IF(F1="售价",ROUND(AVERAGE(R49:V49),0),ROUND(AVERAGE(R49:V49),1))</f>
        <v>#DIV/0!</v>
      </c>
      <c r="S50" s="3299"/>
      <c r="T50" s="3299"/>
      <c r="U50" s="3299"/>
      <c r="V50" s="3299"/>
      <c r="W50" s="3299"/>
      <c r="X50" s="2650"/>
      <c r="Y50" s="2650"/>
      <c r="Z50" s="2650"/>
      <c r="AA50" s="2650"/>
      <c r="AB50" s="2650"/>
      <c r="AC50" s="2651"/>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2"/>
      <c r="N53" s="1142"/>
      <c r="O53" s="1142"/>
    </row>
    <row r="54" spans="1:29" ht="13.5" customHeight="1">
      <c r="A54" s="1142"/>
      <c r="B54" s="1142"/>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2"/>
      <c r="N54" s="1142"/>
      <c r="O54" s="1142"/>
    </row>
    <row r="55" spans="1:29" s="502" customFormat="1" ht="13.5" customHeight="1">
      <c r="A55" s="1143"/>
      <c r="B55" s="1143"/>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76"/>
    </row>
    <row r="56" spans="1:29" s="502" customFormat="1">
      <c r="A56" s="1143"/>
      <c r="B56" s="1144"/>
      <c r="C56" s="1148"/>
      <c r="D56" s="1143"/>
      <c r="E56" s="1143"/>
      <c r="F56" s="1143"/>
      <c r="G56" s="1143"/>
      <c r="H56" s="1143"/>
      <c r="I56" s="1143"/>
      <c r="J56" s="1143"/>
      <c r="K56" s="1146"/>
      <c r="L56" s="1147"/>
      <c r="M56" s="1143"/>
      <c r="N56" s="1143"/>
      <c r="O56" s="1143"/>
      <c r="P56" s="2676"/>
    </row>
    <row r="57" spans="1:29">
      <c r="A57" s="1142"/>
      <c r="B57" s="1144"/>
      <c r="C57" s="1148"/>
      <c r="D57" s="1142"/>
      <c r="E57" s="1142"/>
      <c r="F57" s="1142"/>
      <c r="G57" s="1142"/>
      <c r="H57" s="1142"/>
      <c r="I57" s="1142"/>
      <c r="J57" s="1142"/>
      <c r="K57" s="1103"/>
      <c r="L57" s="1104"/>
      <c r="M57" s="1142"/>
      <c r="N57" s="1142"/>
      <c r="O57" s="1142"/>
    </row>
    <row r="58" spans="1:29" ht="21.75" thickBot="1">
      <c r="A58" s="762" t="s">
        <v>2674</v>
      </c>
      <c r="B58" s="758"/>
      <c r="C58" s="763"/>
      <c r="D58" s="763"/>
      <c r="E58" s="763"/>
      <c r="F58" s="764"/>
      <c r="G58" s="764"/>
      <c r="H58" s="763"/>
      <c r="I58" s="763"/>
      <c r="J58" s="763"/>
      <c r="K58" s="765"/>
      <c r="L58" s="1159"/>
      <c r="M58" s="1157"/>
      <c r="N58" s="1157"/>
      <c r="O58" s="1157"/>
      <c r="P58" s="2677"/>
      <c r="Q58" s="504"/>
    </row>
    <row r="59" spans="1:29" s="508" customFormat="1" ht="15">
      <c r="A59" s="505" t="s">
        <v>2548</v>
      </c>
      <c r="B59" s="506"/>
      <c r="C59" s="1572" t="str">
        <f>YEAR(C7)&amp;"-"&amp;MONTH(C7)</f>
        <v>2019-9</v>
      </c>
      <c r="D59" s="1573">
        <f>EDATE(C59,-1)</f>
        <v>43678</v>
      </c>
      <c r="E59" s="1573">
        <f>EDATE(D59,-1)</f>
        <v>43647</v>
      </c>
      <c r="F59" s="1573">
        <f t="shared" ref="F59:O59" si="16">EDATE(E59,-1)</f>
        <v>43617</v>
      </c>
      <c r="G59" s="1573">
        <f t="shared" si="16"/>
        <v>43586</v>
      </c>
      <c r="H59" s="1573">
        <f t="shared" si="16"/>
        <v>43556</v>
      </c>
      <c r="I59" s="1573">
        <f t="shared" si="16"/>
        <v>43525</v>
      </c>
      <c r="J59" s="1573">
        <f t="shared" si="16"/>
        <v>43497</v>
      </c>
      <c r="K59" s="1573">
        <f t="shared" si="16"/>
        <v>43466</v>
      </c>
      <c r="L59" s="1573">
        <f t="shared" si="16"/>
        <v>43435</v>
      </c>
      <c r="M59" s="1573">
        <f t="shared" si="16"/>
        <v>43405</v>
      </c>
      <c r="N59" s="1573">
        <f t="shared" si="16"/>
        <v>43374</v>
      </c>
      <c r="O59" s="1573">
        <f t="shared" si="16"/>
        <v>43344</v>
      </c>
      <c r="P59" s="1569"/>
    </row>
    <row r="60" spans="1:29" s="117" customFormat="1" ht="15">
      <c r="A60" s="509"/>
      <c r="B60" s="510"/>
      <c r="C60" s="1571">
        <v>100</v>
      </c>
      <c r="D60" s="512"/>
      <c r="E60" s="512"/>
      <c r="F60" s="512"/>
      <c r="G60" s="512"/>
      <c r="H60" s="512"/>
      <c r="I60" s="512"/>
      <c r="J60" s="512"/>
      <c r="K60" s="512"/>
      <c r="L60" s="512"/>
      <c r="M60" s="513"/>
      <c r="N60" s="512"/>
      <c r="O60" s="513"/>
      <c r="P60" s="2678"/>
    </row>
    <row r="61" spans="1:29" s="117" customFormat="1" ht="15.75" thickBot="1">
      <c r="A61" s="515" t="s">
        <v>2585</v>
      </c>
      <c r="B61" s="516"/>
      <c r="C61" s="517"/>
      <c r="D61" s="518"/>
      <c r="E61" s="518"/>
      <c r="F61" s="518"/>
      <c r="G61" s="518"/>
      <c r="H61" s="518"/>
      <c r="I61" s="518"/>
      <c r="J61" s="518"/>
      <c r="K61" s="518"/>
      <c r="L61" s="518"/>
      <c r="M61" s="519"/>
      <c r="N61" s="518"/>
      <c r="O61" s="519"/>
      <c r="P61" s="2678"/>
      <c r="Q61" s="504"/>
    </row>
    <row r="62" spans="1:29" s="117" customFormat="1" ht="15">
      <c r="A62" s="521" t="s">
        <v>2550</v>
      </c>
      <c r="B62" s="510"/>
      <c r="C62" s="522" t="s">
        <v>2652</v>
      </c>
      <c r="D62" s="523"/>
      <c r="E62" s="523"/>
      <c r="F62" s="523"/>
      <c r="G62" s="523"/>
      <c r="H62" s="523"/>
      <c r="I62" s="523"/>
      <c r="J62" s="523"/>
      <c r="K62" s="523"/>
      <c r="L62" s="524"/>
      <c r="M62" s="525"/>
      <c r="N62" s="1149"/>
      <c r="O62" s="1149"/>
      <c r="P62" s="2679"/>
      <c r="Q62" s="504"/>
    </row>
    <row r="63" spans="1:29" s="117" customFormat="1" ht="15.75" thickBot="1">
      <c r="A63" s="521"/>
      <c r="B63" s="510"/>
      <c r="C63" s="511">
        <v>100</v>
      </c>
      <c r="D63" s="512"/>
      <c r="E63" s="512"/>
      <c r="F63" s="512"/>
      <c r="G63" s="512"/>
      <c r="H63" s="512"/>
      <c r="I63" s="512"/>
      <c r="J63" s="512"/>
      <c r="K63" s="512"/>
      <c r="L63" s="512"/>
      <c r="M63" s="514"/>
      <c r="N63" s="1149"/>
      <c r="O63" s="1149"/>
      <c r="P63" s="2678"/>
      <c r="Q63" s="504"/>
    </row>
    <row r="64" spans="1:29">
      <c r="A64" s="527" t="s">
        <v>2588</v>
      </c>
      <c r="B64" s="528" t="s">
        <v>2554</v>
      </c>
      <c r="C64" s="529">
        <f>C9</f>
        <v>0</v>
      </c>
      <c r="D64" s="530"/>
      <c r="E64" s="530"/>
      <c r="F64" s="530"/>
      <c r="G64" s="530"/>
      <c r="H64" s="530"/>
      <c r="I64" s="530"/>
      <c r="J64" s="530"/>
      <c r="K64" s="531"/>
      <c r="L64" s="532"/>
      <c r="M64" s="533"/>
      <c r="N64" s="1150"/>
      <c r="O64" s="1150"/>
      <c r="P64" s="2680"/>
      <c r="Q64" s="504"/>
    </row>
    <row r="65" spans="1:17" ht="15.75" thickBot="1">
      <c r="A65" s="534"/>
      <c r="B65" s="535"/>
      <c r="C65" s="536">
        <v>100</v>
      </c>
      <c r="D65" s="536"/>
      <c r="E65" s="536"/>
      <c r="F65" s="536"/>
      <c r="G65" s="536"/>
      <c r="H65" s="536"/>
      <c r="I65" s="536"/>
      <c r="J65" s="536"/>
      <c r="K65" s="536"/>
      <c r="L65" s="536"/>
      <c r="M65" s="537"/>
      <c r="N65" s="1151"/>
      <c r="O65" s="1151"/>
      <c r="P65" s="2680"/>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0"/>
      <c r="O66" s="1150"/>
      <c r="P66" s="2680"/>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80"/>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80"/>
      <c r="Q68" s="504"/>
    </row>
    <row r="69" spans="1:17" ht="15">
      <c r="A69" s="534"/>
      <c r="B69" s="548"/>
      <c r="C69" s="549"/>
      <c r="D69" s="549"/>
      <c r="E69" s="549"/>
      <c r="F69" s="549"/>
      <c r="G69" s="549"/>
      <c r="H69" s="549"/>
      <c r="I69" s="549"/>
      <c r="J69" s="549"/>
      <c r="K69" s="550"/>
      <c r="L69" s="551"/>
      <c r="M69" s="552"/>
      <c r="N69" s="1150"/>
      <c r="O69" s="1150"/>
      <c r="P69" s="2680"/>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80"/>
      <c r="Q70" s="504"/>
    </row>
    <row r="71" spans="1:17" s="471" customFormat="1" ht="15.75" thickTop="1">
      <c r="A71" s="553"/>
      <c r="B71" s="538">
        <f>B12</f>
        <v>111</v>
      </c>
      <c r="C71" s="554"/>
      <c r="D71" s="554"/>
      <c r="E71" s="554"/>
      <c r="F71" s="554"/>
      <c r="G71" s="554"/>
      <c r="H71" s="555"/>
      <c r="I71" s="555"/>
      <c r="J71" s="555"/>
      <c r="K71" s="555"/>
      <c r="L71" s="556"/>
      <c r="M71" s="557"/>
      <c r="N71" s="1152"/>
      <c r="O71" s="1152"/>
      <c r="P71" s="2681"/>
      <c r="Q71" s="559"/>
    </row>
    <row r="72" spans="1:17" s="471" customFormat="1" ht="15.75" thickBot="1">
      <c r="A72" s="553"/>
      <c r="B72" s="543"/>
      <c r="C72" s="560"/>
      <c r="D72" s="536"/>
      <c r="E72" s="536"/>
      <c r="F72" s="536"/>
      <c r="G72" s="536"/>
      <c r="H72" s="536"/>
      <c r="I72" s="536"/>
      <c r="J72" s="536"/>
      <c r="K72" s="536"/>
      <c r="L72" s="536"/>
      <c r="M72" s="537"/>
      <c r="N72" s="1151"/>
      <c r="O72" s="1151"/>
      <c r="P72" s="2681"/>
      <c r="Q72" s="559"/>
    </row>
    <row r="73" spans="1:17" s="471" customFormat="1" ht="15.75" thickTop="1">
      <c r="A73" s="553"/>
      <c r="B73" s="538">
        <f>B13</f>
        <v>111</v>
      </c>
      <c r="C73" s="554"/>
      <c r="D73" s="554"/>
      <c r="E73" s="554"/>
      <c r="F73" s="554"/>
      <c r="G73" s="554"/>
      <c r="H73" s="555"/>
      <c r="I73" s="555"/>
      <c r="J73" s="555"/>
      <c r="K73" s="555"/>
      <c r="L73" s="556"/>
      <c r="M73" s="557"/>
      <c r="N73" s="1152"/>
      <c r="O73" s="1152"/>
      <c r="P73" s="2682"/>
      <c r="Q73" s="561"/>
    </row>
    <row r="74" spans="1:17" s="471" customFormat="1" ht="15.75" thickBot="1">
      <c r="A74" s="553"/>
      <c r="B74" s="543"/>
      <c r="C74" s="560"/>
      <c r="D74" s="560"/>
      <c r="E74" s="560"/>
      <c r="F74" s="560"/>
      <c r="G74" s="560"/>
      <c r="H74" s="562"/>
      <c r="I74" s="562"/>
      <c r="J74" s="562"/>
      <c r="K74" s="562"/>
      <c r="L74" s="562"/>
      <c r="M74" s="563"/>
      <c r="N74" s="1152"/>
      <c r="O74" s="1152"/>
      <c r="P74" s="2681"/>
      <c r="Q74" s="559"/>
    </row>
    <row r="75" spans="1:17" s="471" customFormat="1" ht="15.75" thickTop="1">
      <c r="A75" s="553"/>
      <c r="B75" s="546">
        <f>B14</f>
        <v>111</v>
      </c>
      <c r="C75" s="523"/>
      <c r="D75" s="523"/>
      <c r="E75" s="523"/>
      <c r="F75" s="523"/>
      <c r="G75" s="523"/>
      <c r="H75" s="564"/>
      <c r="I75" s="564"/>
      <c r="J75" s="564"/>
      <c r="K75" s="564"/>
      <c r="L75" s="565"/>
      <c r="M75" s="566"/>
      <c r="N75" s="1152"/>
      <c r="O75" s="1152"/>
      <c r="P75" s="2683"/>
      <c r="Q75" s="559"/>
    </row>
    <row r="76" spans="1:17" s="471" customFormat="1" ht="15.75" thickBot="1">
      <c r="A76" s="568"/>
      <c r="B76" s="569"/>
      <c r="C76" s="570"/>
      <c r="D76" s="570"/>
      <c r="E76" s="570"/>
      <c r="F76" s="570"/>
      <c r="G76" s="570"/>
      <c r="H76" s="571"/>
      <c r="I76" s="571"/>
      <c r="J76" s="571"/>
      <c r="K76" s="571"/>
      <c r="L76" s="571"/>
      <c r="M76" s="572"/>
      <c r="N76" s="1152"/>
      <c r="O76" s="1152"/>
      <c r="P76" s="2681"/>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0"/>
      <c r="O77" s="1150"/>
      <c r="P77" s="2684"/>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80"/>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0"/>
      <c r="O79" s="1150"/>
      <c r="P79" s="2680"/>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80"/>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0"/>
      <c r="O81" s="1150"/>
      <c r="P81" s="2680"/>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80"/>
      <c r="Q82" s="504"/>
    </row>
    <row r="83" spans="1:17" ht="15.75" thickTop="1">
      <c r="A83" s="534"/>
      <c r="B83" s="546" t="s">
        <v>2689</v>
      </c>
      <c r="C83" s="660" t="s">
        <v>2675</v>
      </c>
      <c r="D83" s="660" t="s">
        <v>2676</v>
      </c>
      <c r="E83" s="660" t="s">
        <v>2677</v>
      </c>
      <c r="F83" s="660" t="s">
        <v>2678</v>
      </c>
      <c r="G83" s="660" t="s">
        <v>2679</v>
      </c>
      <c r="H83" s="539"/>
      <c r="I83" s="539"/>
      <c r="J83" s="539"/>
      <c r="K83" s="539"/>
      <c r="L83" s="539"/>
      <c r="M83" s="1380"/>
      <c r="N83" s="1151"/>
      <c r="O83" s="1151"/>
      <c r="P83" s="2680"/>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80"/>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0"/>
      <c r="O85" s="1150"/>
      <c r="P85" s="2680"/>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80"/>
      <c r="Q86" s="504"/>
    </row>
    <row r="87" spans="1:17" s="117" customFormat="1" ht="27.75" thickTop="1">
      <c r="A87" s="579"/>
      <c r="B87" s="538" t="s">
        <v>2699</v>
      </c>
      <c r="C87" s="554"/>
      <c r="D87" s="554"/>
      <c r="E87" s="554"/>
      <c r="F87" s="554"/>
      <c r="G87" s="554"/>
      <c r="H87" s="554"/>
      <c r="I87" s="554"/>
      <c r="J87" s="554"/>
      <c r="K87" s="554"/>
      <c r="L87" s="580"/>
      <c r="M87" s="581"/>
      <c r="N87" s="1149"/>
      <c r="O87" s="1149"/>
      <c r="P87" s="2680"/>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80"/>
      <c r="Q88" s="504"/>
    </row>
    <row r="89" spans="1:17" s="117" customFormat="1" ht="15.75" thickTop="1">
      <c r="A89" s="579"/>
      <c r="B89" s="538" t="str">
        <f>B27</f>
        <v>楼层</v>
      </c>
      <c r="C89" s="554"/>
      <c r="D89" s="554"/>
      <c r="E89" s="554"/>
      <c r="F89" s="2631"/>
      <c r="G89" s="554"/>
      <c r="H89" s="554"/>
      <c r="I89" s="554"/>
      <c r="J89" s="554"/>
      <c r="K89" s="554"/>
      <c r="L89" s="554"/>
      <c r="M89" s="581"/>
      <c r="N89" s="1149"/>
      <c r="O89" s="1149"/>
      <c r="P89" s="2680"/>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80"/>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81"/>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81"/>
      <c r="Q92" s="559"/>
    </row>
    <row r="93" spans="1:17" ht="15.75" thickTop="1">
      <c r="A93" s="534"/>
      <c r="B93" s="538">
        <f>B29</f>
        <v>111</v>
      </c>
      <c r="C93" s="554"/>
      <c r="D93" s="554"/>
      <c r="E93" s="554"/>
      <c r="F93" s="554"/>
      <c r="G93" s="554"/>
      <c r="H93" s="554"/>
      <c r="I93" s="554"/>
      <c r="J93" s="554"/>
      <c r="K93" s="554"/>
      <c r="L93" s="580"/>
      <c r="M93" s="581"/>
      <c r="N93" s="1150"/>
      <c r="O93" s="1150"/>
      <c r="P93" s="2680"/>
      <c r="Q93" s="504"/>
    </row>
    <row r="94" spans="1:17" ht="15.75" thickBot="1">
      <c r="A94" s="534"/>
      <c r="B94" s="543"/>
      <c r="C94" s="560"/>
      <c r="D94" s="536"/>
      <c r="E94" s="536"/>
      <c r="F94" s="536"/>
      <c r="G94" s="536"/>
      <c r="H94" s="536"/>
      <c r="I94" s="536"/>
      <c r="J94" s="536"/>
      <c r="K94" s="536"/>
      <c r="L94" s="536"/>
      <c r="M94" s="537"/>
      <c r="N94" s="1151"/>
      <c r="O94" s="1151"/>
      <c r="P94" s="2680"/>
      <c r="Q94" s="504"/>
    </row>
    <row r="95" spans="1:17" ht="15.75" thickTop="1">
      <c r="A95" s="534"/>
      <c r="B95" s="538">
        <f>B30</f>
        <v>111</v>
      </c>
      <c r="C95" s="554"/>
      <c r="D95" s="554"/>
      <c r="E95" s="554"/>
      <c r="F95" s="554"/>
      <c r="G95" s="583"/>
      <c r="H95" s="583"/>
      <c r="I95" s="583"/>
      <c r="J95" s="583"/>
      <c r="K95" s="584"/>
      <c r="L95" s="585"/>
      <c r="M95" s="586"/>
      <c r="N95" s="1150"/>
      <c r="O95" s="1150"/>
      <c r="P95" s="2680"/>
      <c r="Q95" s="504"/>
    </row>
    <row r="96" spans="1:17" ht="15.75" thickBot="1">
      <c r="A96" s="534"/>
      <c r="B96" s="543"/>
      <c r="C96" s="560"/>
      <c r="D96" s="560"/>
      <c r="E96" s="560"/>
      <c r="F96" s="560"/>
      <c r="G96" s="536"/>
      <c r="H96" s="536"/>
      <c r="I96" s="536"/>
      <c r="J96" s="536"/>
      <c r="K96" s="536"/>
      <c r="L96" s="536"/>
      <c r="M96" s="537"/>
      <c r="N96" s="1151"/>
      <c r="O96" s="1151"/>
      <c r="P96" s="2680"/>
      <c r="Q96" s="504"/>
    </row>
    <row r="97" spans="1:17" ht="15.75" thickTop="1">
      <c r="A97" s="534"/>
      <c r="B97" s="538">
        <f>B31</f>
        <v>111</v>
      </c>
      <c r="C97" s="554"/>
      <c r="D97" s="554"/>
      <c r="E97" s="554"/>
      <c r="F97" s="554"/>
      <c r="G97" s="583"/>
      <c r="H97" s="583"/>
      <c r="I97" s="583"/>
      <c r="J97" s="583"/>
      <c r="K97" s="584"/>
      <c r="L97" s="585"/>
      <c r="M97" s="586"/>
      <c r="N97" s="1150"/>
      <c r="O97" s="1150"/>
      <c r="P97" s="2680"/>
      <c r="Q97" s="504"/>
    </row>
    <row r="98" spans="1:17" ht="15.75" thickBot="1">
      <c r="A98" s="534"/>
      <c r="B98" s="543"/>
      <c r="C98" s="560"/>
      <c r="D98" s="536"/>
      <c r="E98" s="536"/>
      <c r="F98" s="536"/>
      <c r="G98" s="536"/>
      <c r="H98" s="536"/>
      <c r="I98" s="536"/>
      <c r="J98" s="536"/>
      <c r="K98" s="536"/>
      <c r="L98" s="536"/>
      <c r="M98" s="537"/>
      <c r="N98" s="1151"/>
      <c r="O98" s="1151"/>
      <c r="P98" s="2680"/>
      <c r="Q98" s="504"/>
    </row>
    <row r="99" spans="1:17" ht="15.75" thickTop="1">
      <c r="A99" s="534"/>
      <c r="B99" s="546">
        <f>B32</f>
        <v>111</v>
      </c>
      <c r="C99" s="523"/>
      <c r="D99" s="523"/>
      <c r="E99" s="523"/>
      <c r="F99" s="523"/>
      <c r="G99" s="587"/>
      <c r="H99" s="587"/>
      <c r="I99" s="587"/>
      <c r="J99" s="587"/>
      <c r="K99" s="588"/>
      <c r="L99" s="589"/>
      <c r="M99" s="590"/>
      <c r="N99" s="1150"/>
      <c r="O99" s="1150"/>
      <c r="P99" s="2680"/>
      <c r="Q99" s="504"/>
    </row>
    <row r="100" spans="1:17" ht="15.75" thickBot="1">
      <c r="A100" s="2632"/>
      <c r="B100" s="569"/>
      <c r="C100" s="570"/>
      <c r="D100" s="570"/>
      <c r="E100" s="570"/>
      <c r="F100" s="570"/>
      <c r="G100" s="591"/>
      <c r="H100" s="591"/>
      <c r="I100" s="591"/>
      <c r="J100" s="591"/>
      <c r="K100" s="591"/>
      <c r="L100" s="591"/>
      <c r="M100" s="592"/>
      <c r="N100" s="1151"/>
      <c r="O100" s="1151"/>
      <c r="P100" s="2680"/>
      <c r="Q100" s="504"/>
    </row>
    <row r="101" spans="1:17">
      <c r="A101" s="527" t="s">
        <v>2563</v>
      </c>
      <c r="B101" s="528" t="s">
        <v>2612</v>
      </c>
      <c r="C101" s="530"/>
      <c r="D101" s="530"/>
      <c r="E101" s="530"/>
      <c r="F101" s="530"/>
      <c r="G101" s="530"/>
      <c r="H101" s="530"/>
      <c r="I101" s="530"/>
      <c r="J101" s="530"/>
      <c r="K101" s="531"/>
      <c r="L101" s="532"/>
      <c r="M101" s="533"/>
      <c r="N101" s="1150"/>
      <c r="O101" s="1150"/>
      <c r="P101" s="2680"/>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80"/>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80"/>
      <c r="Q103" s="504"/>
    </row>
    <row r="104" spans="1:17" s="471" customFormat="1">
      <c r="A104" s="593"/>
      <c r="B104" s="594"/>
      <c r="C104" s="595"/>
      <c r="D104" s="595"/>
      <c r="E104" s="595"/>
      <c r="F104" s="595"/>
      <c r="G104" s="595"/>
      <c r="H104" s="595"/>
      <c r="I104" s="595"/>
      <c r="J104" s="596"/>
      <c r="K104" s="596"/>
      <c r="L104" s="597"/>
      <c r="M104" s="598"/>
      <c r="N104" s="1152"/>
      <c r="O104" s="1152"/>
      <c r="P104" s="2681"/>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81"/>
      <c r="Q105" s="559"/>
    </row>
    <row r="106" spans="1:17" ht="15" thickTop="1">
      <c r="A106" s="599"/>
      <c r="B106" s="538" t="s">
        <v>2614</v>
      </c>
      <c r="C106" s="554"/>
      <c r="D106" s="554"/>
      <c r="E106" s="583"/>
      <c r="F106" s="583"/>
      <c r="G106" s="583"/>
      <c r="H106" s="583"/>
      <c r="I106" s="583"/>
      <c r="J106" s="583"/>
      <c r="K106" s="584"/>
      <c r="L106" s="585"/>
      <c r="M106" s="586"/>
      <c r="N106" s="1150"/>
      <c r="O106" s="1150"/>
      <c r="P106" s="2680"/>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80"/>
      <c r="Q107" s="504"/>
    </row>
    <row r="108" spans="1:17" ht="15" thickTop="1">
      <c r="A108" s="599"/>
      <c r="B108" s="538" t="s">
        <v>2616</v>
      </c>
      <c r="C108" s="554"/>
      <c r="D108" s="554"/>
      <c r="E108" s="554"/>
      <c r="F108" s="583"/>
      <c r="G108" s="583"/>
      <c r="H108" s="583"/>
      <c r="I108" s="583"/>
      <c r="J108" s="583"/>
      <c r="K108" s="584"/>
      <c r="L108" s="585"/>
      <c r="M108" s="586"/>
      <c r="N108" s="1150"/>
      <c r="O108" s="1150"/>
      <c r="P108" s="2680"/>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80"/>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80"/>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80"/>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80"/>
      <c r="Q112" s="504"/>
    </row>
    <row r="113" spans="1:17" s="471" customFormat="1" ht="15" thickTop="1">
      <c r="A113" s="593"/>
      <c r="B113" s="538" t="s">
        <v>2700</v>
      </c>
      <c r="C113" s="554"/>
      <c r="D113" s="554"/>
      <c r="E113" s="554"/>
      <c r="F113" s="554"/>
      <c r="G113" s="554"/>
      <c r="H113" s="583"/>
      <c r="I113" s="583"/>
      <c r="J113" s="583"/>
      <c r="K113" s="584"/>
      <c r="L113" s="585"/>
      <c r="M113" s="586"/>
      <c r="N113" s="1152"/>
      <c r="O113" s="1152"/>
      <c r="P113" s="2681"/>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81"/>
      <c r="Q114" s="559"/>
    </row>
    <row r="115" spans="1:17" ht="15" thickTop="1">
      <c r="A115" s="599"/>
      <c r="B115" s="538" t="s">
        <v>2617</v>
      </c>
      <c r="C115" s="554"/>
      <c r="D115" s="554"/>
      <c r="E115" s="583"/>
      <c r="F115" s="583"/>
      <c r="G115" s="583"/>
      <c r="H115" s="583"/>
      <c r="I115" s="583"/>
      <c r="J115" s="583"/>
      <c r="K115" s="584"/>
      <c r="L115" s="585"/>
      <c r="M115" s="586"/>
      <c r="N115" s="1150"/>
      <c r="O115" s="1150"/>
      <c r="P115" s="2680"/>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80"/>
      <c r="Q116" s="504"/>
    </row>
    <row r="117" spans="1:17" ht="15" thickTop="1">
      <c r="A117" s="599"/>
      <c r="B117" s="538" t="s">
        <v>2618</v>
      </c>
      <c r="C117" s="554"/>
      <c r="D117" s="554"/>
      <c r="E117" s="554"/>
      <c r="F117" s="554"/>
      <c r="G117" s="554"/>
      <c r="H117" s="583"/>
      <c r="I117" s="583"/>
      <c r="J117" s="583"/>
      <c r="K117" s="584"/>
      <c r="L117" s="585"/>
      <c r="M117" s="586"/>
      <c r="N117" s="1150"/>
      <c r="O117" s="1150"/>
      <c r="P117" s="2680"/>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80"/>
      <c r="Q118" s="504"/>
    </row>
    <row r="119" spans="1:17" ht="15" thickTop="1">
      <c r="A119" s="599"/>
      <c r="B119" s="636" t="s">
        <v>2701</v>
      </c>
      <c r="C119" s="583"/>
      <c r="D119" s="583"/>
      <c r="E119" s="583"/>
      <c r="F119" s="583"/>
      <c r="G119" s="583"/>
      <c r="H119" s="583"/>
      <c r="I119" s="583"/>
      <c r="J119" s="583"/>
      <c r="K119" s="583"/>
      <c r="L119" s="2685"/>
      <c r="M119" s="2686"/>
      <c r="N119" s="1151"/>
      <c r="O119" s="1151"/>
      <c r="P119" s="2687"/>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80"/>
      <c r="Q120" s="504"/>
    </row>
    <row r="121" spans="1:17" s="471" customFormat="1" ht="15" thickTop="1">
      <c r="A121" s="593"/>
      <c r="B121" s="538" t="s">
        <v>2684</v>
      </c>
      <c r="C121" s="554"/>
      <c r="D121" s="554"/>
      <c r="E121" s="554"/>
      <c r="F121" s="583"/>
      <c r="G121" s="555"/>
      <c r="H121" s="555"/>
      <c r="I121" s="555"/>
      <c r="J121" s="555"/>
      <c r="K121" s="555"/>
      <c r="L121" s="556"/>
      <c r="M121" s="557"/>
      <c r="N121" s="1152"/>
      <c r="O121" s="1152"/>
      <c r="P121" s="2681"/>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81"/>
      <c r="Q122" s="559"/>
    </row>
    <row r="123" spans="1:17" ht="15" thickTop="1">
      <c r="A123" s="599"/>
      <c r="B123" s="538" t="s">
        <v>2620</v>
      </c>
      <c r="C123" s="554"/>
      <c r="D123" s="554"/>
      <c r="E123" s="554"/>
      <c r="F123" s="583"/>
      <c r="G123" s="583"/>
      <c r="H123" s="583"/>
      <c r="I123" s="583"/>
      <c r="J123" s="583"/>
      <c r="K123" s="584"/>
      <c r="L123" s="585"/>
      <c r="M123" s="586"/>
      <c r="N123" s="1150"/>
      <c r="O123" s="1150"/>
      <c r="P123" s="2680"/>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80"/>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0"/>
      <c r="O125" s="1150"/>
      <c r="P125" s="2681"/>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80"/>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81"/>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81"/>
      <c r="Q128" s="559"/>
    </row>
    <row r="129" spans="1:17" ht="15" thickTop="1">
      <c r="A129" s="599"/>
      <c r="B129" s="538">
        <f>B46</f>
        <v>111</v>
      </c>
      <c r="C129" s="554"/>
      <c r="D129" s="554"/>
      <c r="E129" s="554"/>
      <c r="F129" s="554"/>
      <c r="G129" s="583"/>
      <c r="H129" s="583"/>
      <c r="I129" s="583"/>
      <c r="J129" s="583"/>
      <c r="K129" s="584"/>
      <c r="L129" s="585"/>
      <c r="M129" s="586"/>
      <c r="N129" s="1150"/>
      <c r="O129" s="1150"/>
      <c r="P129" s="2680"/>
      <c r="Q129" s="504"/>
    </row>
    <row r="130" spans="1:17" ht="15.75" thickBot="1">
      <c r="A130" s="534"/>
      <c r="B130" s="543"/>
      <c r="C130" s="560"/>
      <c r="D130" s="560"/>
      <c r="E130" s="560"/>
      <c r="F130" s="560"/>
      <c r="G130" s="536"/>
      <c r="H130" s="536"/>
      <c r="I130" s="536"/>
      <c r="J130" s="536"/>
      <c r="K130" s="536"/>
      <c r="L130" s="536"/>
      <c r="M130" s="537"/>
      <c r="N130" s="1151"/>
      <c r="O130" s="1151"/>
      <c r="P130" s="2680"/>
      <c r="Q130" s="504"/>
    </row>
    <row r="131" spans="1:17" ht="15" thickTop="1">
      <c r="A131" s="599"/>
      <c r="B131" s="546">
        <f>B47</f>
        <v>111</v>
      </c>
      <c r="C131" s="523"/>
      <c r="D131" s="523"/>
      <c r="E131" s="523"/>
      <c r="F131" s="523"/>
      <c r="G131" s="587"/>
      <c r="H131" s="587"/>
      <c r="I131" s="587"/>
      <c r="J131" s="587"/>
      <c r="K131" s="523"/>
      <c r="L131" s="524"/>
      <c r="M131" s="590"/>
      <c r="N131" s="1150"/>
      <c r="O131" s="1150"/>
      <c r="P131" s="2680"/>
      <c r="Q131" s="504"/>
    </row>
    <row r="132" spans="1:17" ht="15.75" thickBot="1">
      <c r="A132" s="2632"/>
      <c r="B132" s="569"/>
      <c r="C132" s="570"/>
      <c r="D132" s="570"/>
      <c r="E132" s="570"/>
      <c r="F132" s="570"/>
      <c r="G132" s="591"/>
      <c r="H132" s="591"/>
      <c r="I132" s="591"/>
      <c r="J132" s="591"/>
      <c r="K132" s="591"/>
      <c r="L132" s="591"/>
      <c r="M132" s="592"/>
      <c r="N132" s="1151"/>
      <c r="O132" s="1151"/>
      <c r="P132" s="2680"/>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2702</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IF(C2="——",ROUND(C43*D3/10000,0),ROUND(C43*D3/10000,0)-D2)</f>
        <v>#DIV/0!</v>
      </c>
      <c r="C2" s="2582"/>
      <c r="D2" s="1122"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81"/>
    </row>
    <row r="3" spans="1:29" s="398" customFormat="1" ht="28.5" customHeight="1" thickBot="1">
      <c r="A3" s="247" t="s">
        <v>2329</v>
      </c>
      <c r="B3" s="609" t="e">
        <f ca="1">IF(C2="——",C43,ROUND(B2*10000/D3,0))</f>
        <v>#DIV/0!</v>
      </c>
      <c r="C3" s="400" t="s">
        <v>2644</v>
      </c>
      <c r="D3" s="399">
        <f>IF(D1="",'数据-汇总表'!E3,SUMIF('数据-汇总表'!$C19:$C33,D1,'数据-汇总表'!$E19:$E33))</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SUMIF(52:52,YEAR(E7)&amp;"-"&amp;MONTH(E7),53:53)</f>
        <v>0</v>
      </c>
      <c r="G7" s="412"/>
      <c r="H7" s="411">
        <f>SUMIF(52:52,YEAR(G7)&amp;"-"&amp;MONTH(G7),53:53)</f>
        <v>0</v>
      </c>
      <c r="I7" s="412"/>
      <c r="J7" s="411">
        <f>SUMIF(52:52,YEAR(I7)&amp;"-"&amp;MONTH(I7),53:53)</f>
        <v>0</v>
      </c>
      <c r="K7" s="611"/>
      <c r="L7" s="1130"/>
      <c r="M7" s="1131"/>
      <c r="N7" s="1131"/>
      <c r="O7" s="1131"/>
      <c r="P7" s="3253"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40" si="3">D8/F8</f>
        <v>#DIV/0!</v>
      </c>
      <c r="AB8" s="772" t="e">
        <f t="shared" ref="AB8:AB40" si="4">D8/H8</f>
        <v>#DIV/0!</v>
      </c>
      <c r="AC8" s="772"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224"/>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434"/>
      <c r="F12" s="136">
        <f>SUMIF(64:64,E12,65:65)-SUMIF(64:64,C12,65:65)+100</f>
        <v>100</v>
      </c>
      <c r="G12" s="2688"/>
      <c r="H12" s="136">
        <f>SUMIF(64:64,G12,65:65)-SUMIF(64:64,C12,65:65)+100</f>
        <v>100</v>
      </c>
      <c r="I12" s="469"/>
      <c r="J12" s="136">
        <f>SUMIF(64:64,I12,65:65)-SUMIF(64:64,C12,65:65)+100</f>
        <v>100</v>
      </c>
      <c r="K12" s="613"/>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c r="A13" s="428"/>
      <c r="B13" s="2596">
        <v>111</v>
      </c>
      <c r="C13" s="434"/>
      <c r="D13" s="435">
        <v>100</v>
      </c>
      <c r="E13" s="434"/>
      <c r="F13" s="136">
        <f>SUMIF(66:66,E13,67:67)-SUMIF(66:66,C13,67:67)+100</f>
        <v>100</v>
      </c>
      <c r="G13" s="2688"/>
      <c r="H13" s="435">
        <f>SUMIF(66:66,G13,67:67)-SUMIF(66:66,C13,67:67)+100</f>
        <v>100</v>
      </c>
      <c r="I13" s="469"/>
      <c r="J13" s="435">
        <f>SUMIF(66:66,I13,67:67)-SUMIF(66:66,C13,67:67)+100</f>
        <v>100</v>
      </c>
      <c r="K13" s="613"/>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437"/>
      <c r="F14" s="438">
        <f>SUMIF(68:68,E14,69:69)-SUMIF(68:68,C14,69:69)+100</f>
        <v>100</v>
      </c>
      <c r="G14" s="2688"/>
      <c r="H14" s="438">
        <f>SUMIF(68:68,G14,69:69)-SUMIF(68:68,C14,69:69)+100</f>
        <v>100</v>
      </c>
      <c r="I14" s="469"/>
      <c r="J14" s="438">
        <f>SUMIF(68:68,I14,69:69)-SUMIF(68:68,C14,69:69)+100</f>
        <v>100</v>
      </c>
      <c r="K14" s="613"/>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57">
      <c r="A15" s="440" t="s">
        <v>2559</v>
      </c>
      <c r="B15" s="69" t="s">
        <v>2703</v>
      </c>
      <c r="C15" s="268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226" t="s">
        <v>2560</v>
      </c>
      <c r="Q15" s="1808" t="str">
        <f t="shared" si="6"/>
        <v>产业集聚程度</v>
      </c>
      <c r="R15" s="773" t="s">
        <v>17</v>
      </c>
      <c r="S15" s="774">
        <f t="shared" si="0"/>
        <v>100</v>
      </c>
      <c r="T15" s="773" t="s">
        <v>17</v>
      </c>
      <c r="U15" s="774">
        <f t="shared" si="1"/>
        <v>100</v>
      </c>
      <c r="V15" s="773" t="s">
        <v>17</v>
      </c>
      <c r="W15" s="774">
        <f t="shared" si="2"/>
        <v>100</v>
      </c>
      <c r="X15" s="1811"/>
      <c r="Y15" s="3226" t="s">
        <v>2560</v>
      </c>
      <c r="Z15" s="1812" t="str">
        <f t="shared" si="7"/>
        <v>产业集聚程度</v>
      </c>
      <c r="AA15" s="1809">
        <f t="shared" si="3"/>
        <v>1</v>
      </c>
      <c r="AB15" s="1809">
        <f t="shared" si="4"/>
        <v>1</v>
      </c>
      <c r="AC15" s="1809">
        <f t="shared" si="5"/>
        <v>1</v>
      </c>
    </row>
    <row r="16" spans="1:29" ht="15">
      <c r="A16" s="428"/>
      <c r="B16" s="446"/>
      <c r="C16" s="447"/>
      <c r="D16" s="448"/>
      <c r="E16" s="447"/>
      <c r="F16" s="449"/>
      <c r="G16" s="447"/>
      <c r="H16" s="450"/>
      <c r="I16" s="447"/>
      <c r="J16" s="448"/>
      <c r="K16" s="615"/>
      <c r="L16" s="1138"/>
      <c r="M16" s="1129"/>
      <c r="N16" s="1129"/>
      <c r="O16" s="1137"/>
      <c r="P16" s="3227"/>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227"/>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456"/>
      <c r="C18" s="2604"/>
      <c r="D18" s="450"/>
      <c r="E18" s="2606"/>
      <c r="F18" s="453"/>
      <c r="G18" s="2605"/>
      <c r="H18" s="448"/>
      <c r="I18" s="2606"/>
      <c r="J18" s="448"/>
      <c r="K18" s="615"/>
      <c r="L18" s="1138"/>
      <c r="M18" s="1129"/>
      <c r="N18" s="1129"/>
      <c r="O18" s="1137"/>
      <c r="P18" s="3227"/>
      <c r="Q18" s="1808"/>
      <c r="R18" s="773"/>
      <c r="S18" s="774"/>
      <c r="T18" s="773"/>
      <c r="U18" s="774"/>
      <c r="V18" s="773"/>
      <c r="W18" s="774"/>
      <c r="X18" s="1811"/>
      <c r="Y18" s="3227"/>
      <c r="Z18" s="1812"/>
      <c r="AA18" s="1809">
        <v>1</v>
      </c>
      <c r="AB18" s="1809">
        <v>1</v>
      </c>
      <c r="AC18" s="1809">
        <v>1</v>
      </c>
    </row>
    <row r="19" spans="1:29" ht="42.75">
      <c r="A19" s="428"/>
      <c r="B19" s="451" t="s">
        <v>2688</v>
      </c>
      <c r="C19" s="2603"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227"/>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1809">
        <f t="shared" si="5"/>
        <v>1</v>
      </c>
    </row>
    <row r="20" spans="1:29" ht="15">
      <c r="A20" s="428"/>
      <c r="B20" s="456"/>
      <c r="C20" s="447"/>
      <c r="D20" s="448"/>
      <c r="E20" s="2601"/>
      <c r="F20" s="449"/>
      <c r="G20" s="2600"/>
      <c r="H20" s="448"/>
      <c r="I20" s="2601"/>
      <c r="J20" s="448"/>
      <c r="K20" s="615"/>
      <c r="L20" s="1138"/>
      <c r="M20" s="1129"/>
      <c r="N20" s="1129"/>
      <c r="O20" s="1137"/>
      <c r="P20" s="3227"/>
      <c r="Q20" s="1808"/>
      <c r="R20" s="773"/>
      <c r="S20" s="774"/>
      <c r="T20" s="773"/>
      <c r="U20" s="774"/>
      <c r="V20" s="773"/>
      <c r="W20" s="774"/>
      <c r="X20" s="1811"/>
      <c r="Y20" s="3227"/>
      <c r="Z20" s="1812"/>
      <c r="AA20" s="1809">
        <v>1</v>
      </c>
      <c r="AB20" s="1809">
        <v>1</v>
      </c>
      <c r="AC20" s="1809">
        <v>1</v>
      </c>
    </row>
    <row r="21" spans="1:29" ht="28.5">
      <c r="A21" s="428"/>
      <c r="B21" s="1382" t="s">
        <v>2689</v>
      </c>
      <c r="C21" s="2603"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227"/>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9"/>
      <c r="G22" s="447"/>
      <c r="H22" s="448"/>
      <c r="I22" s="447"/>
      <c r="J22" s="448"/>
      <c r="K22" s="1381"/>
      <c r="L22" s="1138"/>
      <c r="M22" s="1129"/>
      <c r="N22" s="1129"/>
      <c r="O22" s="1137"/>
      <c r="P22" s="3227"/>
      <c r="Q22" s="1808"/>
      <c r="R22" s="773"/>
      <c r="S22" s="774"/>
      <c r="T22" s="773"/>
      <c r="U22" s="774"/>
      <c r="V22" s="773"/>
      <c r="W22" s="774"/>
      <c r="X22" s="1811"/>
      <c r="Y22" s="3227"/>
      <c r="Z22" s="1812"/>
      <c r="AA22" s="1809">
        <v>1</v>
      </c>
      <c r="AB22" s="1809">
        <v>1</v>
      </c>
      <c r="AC22" s="1809">
        <v>1</v>
      </c>
    </row>
    <row r="23" spans="1:29" ht="71.25">
      <c r="A23" s="428"/>
      <c r="B23" s="451" t="s">
        <v>2690</v>
      </c>
      <c r="C23" s="2603"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227"/>
      <c r="Q23" s="1808" t="str">
        <f>B23</f>
        <v>环境质量</v>
      </c>
      <c r="R23" s="773" t="s">
        <v>17</v>
      </c>
      <c r="S23" s="774">
        <f>F23</f>
        <v>100</v>
      </c>
      <c r="T23" s="773" t="s">
        <v>17</v>
      </c>
      <c r="U23" s="774">
        <f>H23</f>
        <v>100</v>
      </c>
      <c r="V23" s="773" t="s">
        <v>17</v>
      </c>
      <c r="W23" s="774">
        <f>J23</f>
        <v>100</v>
      </c>
      <c r="X23" s="1811"/>
      <c r="Y23" s="3227"/>
      <c r="Z23" s="1812" t="str">
        <f>Q23</f>
        <v>环境质量</v>
      </c>
      <c r="AA23" s="1809">
        <f t="shared" si="3"/>
        <v>1</v>
      </c>
      <c r="AB23" s="1809">
        <f t="shared" si="4"/>
        <v>1</v>
      </c>
      <c r="AC23" s="1809">
        <f t="shared" si="5"/>
        <v>1</v>
      </c>
    </row>
    <row r="24" spans="1:29" ht="15">
      <c r="A24" s="428"/>
      <c r="B24" s="1382"/>
      <c r="C24" s="447"/>
      <c r="D24" s="448"/>
      <c r="E24" s="2601"/>
      <c r="F24" s="449"/>
      <c r="G24" s="2600"/>
      <c r="H24" s="448"/>
      <c r="I24" s="2601"/>
      <c r="J24" s="448"/>
      <c r="K24" s="615"/>
      <c r="L24" s="1138"/>
      <c r="M24" s="1129"/>
      <c r="N24" s="1129"/>
      <c r="O24" s="1137"/>
      <c r="P24" s="3227"/>
      <c r="Q24" s="1808"/>
      <c r="R24" s="773"/>
      <c r="S24" s="774"/>
      <c r="T24" s="773"/>
      <c r="U24" s="774"/>
      <c r="V24" s="773"/>
      <c r="W24" s="774"/>
      <c r="X24" s="1811"/>
      <c r="Y24" s="3227"/>
      <c r="Z24" s="1812"/>
      <c r="AA24" s="1809">
        <v>1</v>
      </c>
      <c r="AB24" s="1809">
        <v>1</v>
      </c>
      <c r="AC24" s="1809">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227"/>
      <c r="Q25" s="1808">
        <f>B25</f>
        <v>111</v>
      </c>
      <c r="R25" s="773" t="s">
        <v>17</v>
      </c>
      <c r="S25" s="774">
        <f>F25</f>
        <v>100</v>
      </c>
      <c r="T25" s="773" t="s">
        <v>17</v>
      </c>
      <c r="U25" s="774">
        <f>H25</f>
        <v>100</v>
      </c>
      <c r="V25" s="773" t="s">
        <v>17</v>
      </c>
      <c r="W25" s="774">
        <f>J25</f>
        <v>100</v>
      </c>
      <c r="X25" s="1811"/>
      <c r="Y25" s="3227"/>
      <c r="Z25" s="1812">
        <f>Q25</f>
        <v>111</v>
      </c>
      <c r="AA25" s="1809">
        <f t="shared" si="3"/>
        <v>1</v>
      </c>
      <c r="AB25" s="1809">
        <f t="shared" si="4"/>
        <v>1</v>
      </c>
      <c r="AC25" s="1809">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227"/>
      <c r="Q26" s="1808">
        <f t="shared" ref="Q26:Q40" si="11">B26</f>
        <v>111</v>
      </c>
      <c r="R26" s="773" t="s">
        <v>17</v>
      </c>
      <c r="S26" s="774">
        <f>F26</f>
        <v>100</v>
      </c>
      <c r="T26" s="773" t="s">
        <v>17</v>
      </c>
      <c r="U26" s="774">
        <f>H26</f>
        <v>100</v>
      </c>
      <c r="V26" s="773" t="s">
        <v>17</v>
      </c>
      <c r="W26" s="774">
        <f>J26</f>
        <v>100</v>
      </c>
      <c r="X26" s="1811"/>
      <c r="Y26" s="3227"/>
      <c r="Z26" s="1812">
        <f>Q26</f>
        <v>111</v>
      </c>
      <c r="AA26" s="1809">
        <f t="shared" si="3"/>
        <v>1</v>
      </c>
      <c r="AB26" s="1809">
        <f t="shared" si="4"/>
        <v>1</v>
      </c>
      <c r="AC26" s="1809">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227"/>
      <c r="Q27" s="1793">
        <f t="shared" si="11"/>
        <v>111</v>
      </c>
      <c r="R27" s="769" t="s">
        <v>17</v>
      </c>
      <c r="S27" s="770">
        <f>F27</f>
        <v>100</v>
      </c>
      <c r="T27" s="769" t="s">
        <v>17</v>
      </c>
      <c r="U27" s="770">
        <f>H27</f>
        <v>100</v>
      </c>
      <c r="V27" s="769" t="s">
        <v>17</v>
      </c>
      <c r="W27" s="770">
        <f>J27</f>
        <v>100</v>
      </c>
      <c r="X27" s="771"/>
      <c r="Y27" s="3227"/>
      <c r="Z27" s="55">
        <f>Q27</f>
        <v>111</v>
      </c>
      <c r="AA27" s="1809">
        <f>D27/F27</f>
        <v>1</v>
      </c>
      <c r="AB27" s="1809">
        <f>D27/H27</f>
        <v>1</v>
      </c>
      <c r="AC27" s="1809">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227"/>
      <c r="Q28" s="1808">
        <f t="shared" si="11"/>
        <v>111</v>
      </c>
      <c r="R28" s="773" t="s">
        <v>17</v>
      </c>
      <c r="S28" s="774">
        <f t="shared" ref="S28:S40" si="12">F28</f>
        <v>100</v>
      </c>
      <c r="T28" s="773" t="s">
        <v>17</v>
      </c>
      <c r="U28" s="774">
        <f t="shared" ref="U28:U40" si="13">H28</f>
        <v>100</v>
      </c>
      <c r="V28" s="773" t="s">
        <v>17</v>
      </c>
      <c r="W28" s="774">
        <f t="shared" ref="W28:W40" si="14">J28</f>
        <v>100</v>
      </c>
      <c r="X28" s="1811"/>
      <c r="Y28" s="3227"/>
      <c r="Z28" s="1812">
        <f t="shared" ref="Z28:Z40" si="15">Q28</f>
        <v>111</v>
      </c>
      <c r="AA28" s="1809">
        <f t="shared" si="3"/>
        <v>1</v>
      </c>
      <c r="AB28" s="1809">
        <f t="shared" si="4"/>
        <v>1</v>
      </c>
      <c r="AC28" s="1809">
        <f t="shared" si="5"/>
        <v>1</v>
      </c>
    </row>
    <row r="29" spans="1:29" ht="28.5">
      <c r="A29" s="466" t="s">
        <v>2563</v>
      </c>
      <c r="B29" s="71" t="s">
        <v>2693</v>
      </c>
      <c r="C29" s="2675"/>
      <c r="D29" s="467">
        <v>100</v>
      </c>
      <c r="E29" s="2675"/>
      <c r="F29" s="461">
        <f>SUMIF(88:88,E29,89:89)-SUMIF(88:88,C29,89:89)+100</f>
        <v>100</v>
      </c>
      <c r="G29" s="2675"/>
      <c r="H29" s="435">
        <f>SUMIF(88:88,G29,89:89)-SUMIF(88:88,C29,89:89)+100</f>
        <v>100</v>
      </c>
      <c r="I29" s="2675"/>
      <c r="J29" s="467">
        <f>SUMIF(88:88,I29,89:89)-SUMIF(88:88,C29,89:89)+100</f>
        <v>100</v>
      </c>
      <c r="K29" s="612"/>
      <c r="L29" s="1138"/>
      <c r="M29" s="1129"/>
      <c r="N29" s="1129"/>
      <c r="O29" s="1137"/>
      <c r="P29" s="3228" t="s">
        <v>2565</v>
      </c>
      <c r="Q29" s="1808" t="str">
        <f t="shared" si="11"/>
        <v>建筑类型</v>
      </c>
      <c r="R29" s="773" t="s">
        <v>17</v>
      </c>
      <c r="S29" s="774">
        <f t="shared" si="12"/>
        <v>100</v>
      </c>
      <c r="T29" s="773" t="s">
        <v>17</v>
      </c>
      <c r="U29" s="774">
        <f t="shared" si="13"/>
        <v>100</v>
      </c>
      <c r="V29" s="773" t="s">
        <v>17</v>
      </c>
      <c r="W29" s="774">
        <f t="shared" si="14"/>
        <v>100</v>
      </c>
      <c r="X29" s="1811"/>
      <c r="Y29" s="3229" t="s">
        <v>2565</v>
      </c>
      <c r="Z29" s="1812" t="str">
        <f t="shared" si="15"/>
        <v>建筑类型</v>
      </c>
      <c r="AA29" s="1809">
        <f t="shared" si="3"/>
        <v>1</v>
      </c>
      <c r="AB29" s="1809">
        <f t="shared" si="4"/>
        <v>1</v>
      </c>
      <c r="AC29" s="1809">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229"/>
      <c r="Q30" s="775" t="str">
        <f t="shared" si="11"/>
        <v>项目建筑规模</v>
      </c>
      <c r="R30" s="776" t="s">
        <v>17</v>
      </c>
      <c r="S30" s="777" t="e">
        <f t="shared" si="12"/>
        <v>#N/A</v>
      </c>
      <c r="T30" s="776" t="s">
        <v>17</v>
      </c>
      <c r="U30" s="777" t="e">
        <f t="shared" si="13"/>
        <v>#N/A</v>
      </c>
      <c r="V30" s="776" t="s">
        <v>17</v>
      </c>
      <c r="W30" s="777" t="e">
        <f t="shared" si="14"/>
        <v>#N/A</v>
      </c>
      <c r="X30" s="778"/>
      <c r="Y30" s="3229"/>
      <c r="Z30" s="779" t="str">
        <f t="shared" si="15"/>
        <v>项目建筑规模</v>
      </c>
      <c r="AA30" s="1809" t="e">
        <f t="shared" si="3"/>
        <v>#N/A</v>
      </c>
      <c r="AB30" s="1809" t="e">
        <f t="shared" si="4"/>
        <v>#N/A</v>
      </c>
      <c r="AC30" s="1809"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229"/>
      <c r="Q31" s="1808" t="str">
        <f t="shared" si="11"/>
        <v>建筑结构</v>
      </c>
      <c r="R31" s="773" t="s">
        <v>17</v>
      </c>
      <c r="S31" s="774">
        <f t="shared" si="12"/>
        <v>100</v>
      </c>
      <c r="T31" s="773" t="s">
        <v>17</v>
      </c>
      <c r="U31" s="774">
        <f t="shared" si="13"/>
        <v>100</v>
      </c>
      <c r="V31" s="773" t="s">
        <v>17</v>
      </c>
      <c r="W31" s="774">
        <f t="shared" si="14"/>
        <v>100</v>
      </c>
      <c r="X31" s="1811"/>
      <c r="Y31" s="3229"/>
      <c r="Z31" s="1812" t="str">
        <f t="shared" si="15"/>
        <v>建筑结构</v>
      </c>
      <c r="AA31" s="1809">
        <f t="shared" si="3"/>
        <v>1</v>
      </c>
      <c r="AB31" s="1809">
        <f t="shared" si="4"/>
        <v>1</v>
      </c>
      <c r="AC31" s="1809">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229"/>
      <c r="Q32" s="1808" t="str">
        <f t="shared" si="11"/>
        <v>公共部分装修</v>
      </c>
      <c r="R32" s="773" t="s">
        <v>17</v>
      </c>
      <c r="S32" s="774">
        <f t="shared" si="12"/>
        <v>100</v>
      </c>
      <c r="T32" s="773" t="s">
        <v>17</v>
      </c>
      <c r="U32" s="774">
        <f t="shared" si="13"/>
        <v>100</v>
      </c>
      <c r="V32" s="773" t="s">
        <v>17</v>
      </c>
      <c r="W32" s="774">
        <f t="shared" si="14"/>
        <v>100</v>
      </c>
      <c r="X32" s="1811"/>
      <c r="Y32" s="3229"/>
      <c r="Z32" s="1812" t="str">
        <f t="shared" si="15"/>
        <v>公共部分装修</v>
      </c>
      <c r="AA32" s="1809">
        <f t="shared" si="3"/>
        <v>1</v>
      </c>
      <c r="AB32" s="1809">
        <f t="shared" si="4"/>
        <v>1</v>
      </c>
      <c r="AC32" s="1809">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229"/>
      <c r="Q33" s="1808" t="str">
        <f t="shared" si="11"/>
        <v>成新度</v>
      </c>
      <c r="R33" s="773" t="s">
        <v>17</v>
      </c>
      <c r="S33" s="774" t="e">
        <f t="shared" si="12"/>
        <v>#N/A</v>
      </c>
      <c r="T33" s="773" t="s">
        <v>17</v>
      </c>
      <c r="U33" s="774" t="e">
        <f t="shared" si="13"/>
        <v>#N/A</v>
      </c>
      <c r="V33" s="773" t="s">
        <v>17</v>
      </c>
      <c r="W33" s="774" t="e">
        <f t="shared" si="14"/>
        <v>#N/A</v>
      </c>
      <c r="X33" s="1811"/>
      <c r="Y33" s="3229"/>
      <c r="Z33" s="1812" t="str">
        <f t="shared" si="15"/>
        <v>成新度</v>
      </c>
      <c r="AA33" s="1809" t="e">
        <f t="shared" si="3"/>
        <v>#N/A</v>
      </c>
      <c r="AB33" s="1809" t="e">
        <f t="shared" si="4"/>
        <v>#N/A</v>
      </c>
      <c r="AC33" s="1809"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229"/>
      <c r="Q34" s="1793" t="str">
        <f t="shared" si="11"/>
        <v>物业管理</v>
      </c>
      <c r="R34" s="769" t="s">
        <v>17</v>
      </c>
      <c r="S34" s="770">
        <f t="shared" si="12"/>
        <v>100</v>
      </c>
      <c r="T34" s="769" t="s">
        <v>17</v>
      </c>
      <c r="U34" s="770">
        <f t="shared" si="13"/>
        <v>100</v>
      </c>
      <c r="V34" s="769" t="s">
        <v>17</v>
      </c>
      <c r="W34" s="770">
        <f t="shared" si="14"/>
        <v>100</v>
      </c>
      <c r="X34" s="771"/>
      <c r="Y34" s="3229"/>
      <c r="Z34" s="55" t="str">
        <f t="shared" si="15"/>
        <v>物业管理</v>
      </c>
      <c r="AA34" s="772">
        <f t="shared" si="3"/>
        <v>1</v>
      </c>
      <c r="AB34" s="772">
        <f t="shared" si="4"/>
        <v>1</v>
      </c>
      <c r="AC34" s="772">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229" t="s">
        <v>2565</v>
      </c>
      <c r="Q35" s="1808" t="str">
        <f t="shared" si="11"/>
        <v>市政基础设施</v>
      </c>
      <c r="R35" s="773" t="s">
        <v>17</v>
      </c>
      <c r="S35" s="774">
        <f t="shared" si="12"/>
        <v>100</v>
      </c>
      <c r="T35" s="773" t="s">
        <v>17</v>
      </c>
      <c r="U35" s="774">
        <f t="shared" si="13"/>
        <v>100</v>
      </c>
      <c r="V35" s="773" t="s">
        <v>17</v>
      </c>
      <c r="W35" s="774">
        <f t="shared" si="14"/>
        <v>100</v>
      </c>
      <c r="X35" s="1811"/>
      <c r="Y35" s="3229" t="s">
        <v>2565</v>
      </c>
      <c r="Z35" s="1812" t="str">
        <f t="shared" si="15"/>
        <v>市政基础设施</v>
      </c>
      <c r="AA35" s="1809">
        <f t="shared" si="3"/>
        <v>1</v>
      </c>
      <c r="AB35" s="1809">
        <f t="shared" si="4"/>
        <v>1</v>
      </c>
      <c r="AC35" s="1809">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229"/>
      <c r="Q36" s="1808" t="str">
        <f t="shared" si="11"/>
        <v>内部装修</v>
      </c>
      <c r="R36" s="773" t="s">
        <v>17</v>
      </c>
      <c r="S36" s="774">
        <f t="shared" si="12"/>
        <v>100</v>
      </c>
      <c r="T36" s="773" t="s">
        <v>17</v>
      </c>
      <c r="U36" s="774">
        <f t="shared" si="13"/>
        <v>100</v>
      </c>
      <c r="V36" s="773" t="s">
        <v>17</v>
      </c>
      <c r="W36" s="774">
        <f t="shared" si="14"/>
        <v>100</v>
      </c>
      <c r="X36" s="1811"/>
      <c r="Y36" s="3229"/>
      <c r="Z36" s="1812" t="str">
        <f t="shared" si="15"/>
        <v>内部装修</v>
      </c>
      <c r="AA36" s="1809">
        <f t="shared" si="3"/>
        <v>1</v>
      </c>
      <c r="AB36" s="1809">
        <f t="shared" si="4"/>
        <v>1</v>
      </c>
      <c r="AC36" s="1809">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229"/>
      <c r="Q37" s="1808" t="str">
        <f t="shared" si="11"/>
        <v>内部装修状况</v>
      </c>
      <c r="R37" s="773" t="s">
        <v>17</v>
      </c>
      <c r="S37" s="774">
        <f t="shared" si="12"/>
        <v>100</v>
      </c>
      <c r="T37" s="773" t="s">
        <v>17</v>
      </c>
      <c r="U37" s="774">
        <f t="shared" si="13"/>
        <v>100</v>
      </c>
      <c r="V37" s="773" t="s">
        <v>17</v>
      </c>
      <c r="W37" s="774">
        <f t="shared" si="14"/>
        <v>100</v>
      </c>
      <c r="X37" s="1811"/>
      <c r="Y37" s="3229"/>
      <c r="Z37" s="1812" t="str">
        <f t="shared" si="15"/>
        <v>内部装修状况</v>
      </c>
      <c r="AA37" s="1809">
        <f t="shared" si="3"/>
        <v>1</v>
      </c>
      <c r="AB37" s="1809">
        <f t="shared" si="4"/>
        <v>1</v>
      </c>
      <c r="AC37" s="1809">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229"/>
      <c r="Q38" s="775">
        <f t="shared" si="11"/>
        <v>111</v>
      </c>
      <c r="R38" s="776" t="s">
        <v>17</v>
      </c>
      <c r="S38" s="777">
        <f t="shared" si="12"/>
        <v>100</v>
      </c>
      <c r="T38" s="776" t="s">
        <v>17</v>
      </c>
      <c r="U38" s="777">
        <f t="shared" si="13"/>
        <v>100</v>
      </c>
      <c r="V38" s="776" t="s">
        <v>17</v>
      </c>
      <c r="W38" s="777">
        <f t="shared" si="14"/>
        <v>100</v>
      </c>
      <c r="X38" s="778"/>
      <c r="Y38" s="3229"/>
      <c r="Z38" s="779">
        <f t="shared" si="15"/>
        <v>111</v>
      </c>
      <c r="AA38" s="1809">
        <f t="shared" si="3"/>
        <v>1</v>
      </c>
      <c r="AB38" s="1809">
        <f t="shared" si="4"/>
        <v>1</v>
      </c>
      <c r="AC38" s="1809">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229"/>
      <c r="Q39" s="1808">
        <f t="shared" si="11"/>
        <v>111</v>
      </c>
      <c r="R39" s="773" t="s">
        <v>17</v>
      </c>
      <c r="S39" s="774">
        <f t="shared" si="12"/>
        <v>100</v>
      </c>
      <c r="T39" s="773" t="s">
        <v>17</v>
      </c>
      <c r="U39" s="774">
        <f t="shared" si="13"/>
        <v>100</v>
      </c>
      <c r="V39" s="773" t="s">
        <v>17</v>
      </c>
      <c r="W39" s="774">
        <f t="shared" si="14"/>
        <v>100</v>
      </c>
      <c r="X39" s="1811"/>
      <c r="Y39" s="3229"/>
      <c r="Z39" s="1812">
        <f t="shared" si="15"/>
        <v>111</v>
      </c>
      <c r="AA39" s="1809">
        <f t="shared" si="3"/>
        <v>1</v>
      </c>
      <c r="AB39" s="1809">
        <f t="shared" si="4"/>
        <v>1</v>
      </c>
      <c r="AC39" s="1809">
        <f t="shared" si="5"/>
        <v>1</v>
      </c>
    </row>
    <row r="40" spans="1:29" ht="15.75" thickBot="1">
      <c r="A40" s="478"/>
      <c r="B40" s="2598">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292"/>
      <c r="Q40" s="1808">
        <f t="shared" si="11"/>
        <v>111</v>
      </c>
      <c r="R40" s="773" t="s">
        <v>17</v>
      </c>
      <c r="S40" s="774">
        <f t="shared" si="12"/>
        <v>100</v>
      </c>
      <c r="T40" s="773" t="s">
        <v>17</v>
      </c>
      <c r="U40" s="774">
        <f t="shared" si="13"/>
        <v>100</v>
      </c>
      <c r="V40" s="773" t="s">
        <v>17</v>
      </c>
      <c r="W40" s="774">
        <f t="shared" si="14"/>
        <v>100</v>
      </c>
      <c r="X40" s="1811"/>
      <c r="Y40" s="3292"/>
      <c r="Z40" s="1812">
        <f t="shared" si="15"/>
        <v>111</v>
      </c>
      <c r="AA40" s="1809">
        <f t="shared" si="3"/>
        <v>1</v>
      </c>
      <c r="AB40" s="1809">
        <f t="shared" si="4"/>
        <v>1</v>
      </c>
      <c r="AC40" s="1809">
        <f t="shared" si="5"/>
        <v>1</v>
      </c>
    </row>
    <row r="41" spans="1:29" ht="15">
      <c r="A41" s="479" t="s">
        <v>2577</v>
      </c>
      <c r="B41" s="480"/>
      <c r="C41" s="1405" t="s">
        <v>1</v>
      </c>
      <c r="D41" s="1406"/>
      <c r="E41" s="1407"/>
      <c r="F41" s="1408"/>
      <c r="G41" s="1409"/>
      <c r="H41" s="1410"/>
      <c r="I41" s="1407"/>
      <c r="J41" s="1410"/>
      <c r="K41" s="782"/>
      <c r="L41" s="1141"/>
      <c r="M41" s="1142"/>
      <c r="N41" s="1129"/>
      <c r="O41" s="1142"/>
      <c r="P41" s="3224" t="str">
        <f>A41</f>
        <v>成交单价（元/平方米）</v>
      </c>
      <c r="Q41" s="3224"/>
      <c r="R41" s="3288">
        <f>E41</f>
        <v>0</v>
      </c>
      <c r="S41" s="3288"/>
      <c r="T41" s="3288">
        <f>G41</f>
        <v>0</v>
      </c>
      <c r="U41" s="3288"/>
      <c r="V41" s="3288">
        <f>I41</f>
        <v>0</v>
      </c>
      <c r="W41" s="3288"/>
      <c r="X41" s="758"/>
      <c r="Y41" s="780"/>
      <c r="Z41" s="758"/>
      <c r="AA41" s="758"/>
      <c r="AB41" s="758"/>
      <c r="AC41" s="758"/>
    </row>
    <row r="42" spans="1:29" ht="15.75" thickBot="1">
      <c r="A42" s="486" t="s">
        <v>2669</v>
      </c>
      <c r="B42" s="487"/>
      <c r="C42" s="1411" t="e">
        <f>R43</f>
        <v>#DIV/0!</v>
      </c>
      <c r="D42" s="1412"/>
      <c r="E42" s="1413" t="e">
        <f>R42</f>
        <v>#DIV/0!</v>
      </c>
      <c r="F42" s="1413"/>
      <c r="G42" s="1411" t="e">
        <f>T42</f>
        <v>#DIV/0!</v>
      </c>
      <c r="H42" s="1412"/>
      <c r="I42" s="1413" t="e">
        <f>V42</f>
        <v>#DIV/0!</v>
      </c>
      <c r="J42" s="1412"/>
      <c r="K42" s="783"/>
      <c r="L42" s="1141"/>
      <c r="M42" s="1142"/>
      <c r="N42" s="1129"/>
      <c r="O42" s="1142"/>
      <c r="P42" s="3224" t="str">
        <f>A42</f>
        <v>比较价值（元/平方米）</v>
      </c>
      <c r="Q42" s="3224"/>
      <c r="R42" s="3288" t="e">
        <f>IF(F1="售价",ROUND(PRODUCT(R41,AA7:AA40),0),ROUND(PRODUCT(R41,AA7:AA40),1))</f>
        <v>#DIV/0!</v>
      </c>
      <c r="S42" s="3288"/>
      <c r="T42" s="3288" t="e">
        <f>IF(F1="售价",ROUND(PRODUCT(T41,AB7:AB40),0),ROUND(PRODUCT(T41,AB7:AB40),1))</f>
        <v>#DIV/0!</v>
      </c>
      <c r="U42" s="3288"/>
      <c r="V42" s="3288" t="e">
        <f>IF(F1="售价",ROUND(PRODUCT(V41,AC7:AC40),0),ROUND(PRODUCT(V41,AC7:AC40),1))</f>
        <v>#DIV/0!</v>
      </c>
      <c r="W42" s="3288"/>
      <c r="X42" s="758"/>
      <c r="Y42" s="758"/>
      <c r="Z42" s="758"/>
      <c r="AA42" s="758"/>
      <c r="AB42" s="758"/>
      <c r="AC42" s="758"/>
    </row>
    <row r="43" spans="1:29" ht="15.75" thickBot="1">
      <c r="A43" s="492" t="s">
        <v>2670</v>
      </c>
      <c r="B43" s="493"/>
      <c r="C43" s="1415" t="e">
        <f>R43</f>
        <v>#DIV/0!</v>
      </c>
      <c r="D43" s="1415"/>
      <c r="E43" s="1415"/>
      <c r="F43" s="1415"/>
      <c r="G43" s="1415"/>
      <c r="H43" s="1415"/>
      <c r="I43" s="1415"/>
      <c r="J43" s="1415"/>
      <c r="K43" s="784"/>
      <c r="L43" s="1141"/>
      <c r="M43" s="1142"/>
      <c r="N43" s="1142"/>
      <c r="O43" s="1142"/>
      <c r="P43" s="3218" t="str">
        <f>A43</f>
        <v>估价对象XX用房的比较价值（楼面单价，元/平方米）</v>
      </c>
      <c r="Q43" s="3219"/>
      <c r="R43" s="3287" t="e">
        <f>IF(F1="售价",ROUND(AVERAGE(R42:V42),0),ROUND(AVERAGE(R42:V42),1))</f>
        <v>#DIV/0!</v>
      </c>
      <c r="S43" s="3287"/>
      <c r="T43" s="3287"/>
      <c r="U43" s="3287"/>
      <c r="V43" s="3287"/>
      <c r="W43" s="3287"/>
      <c r="X43" s="758"/>
      <c r="Y43" s="758"/>
      <c r="Z43" s="758"/>
      <c r="AA43" s="758"/>
      <c r="AB43" s="758"/>
      <c r="AC43" s="758"/>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2"/>
      <c r="N46" s="1142"/>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62" t="s">
        <v>2674</v>
      </c>
      <c r="B51" s="758"/>
      <c r="C51" s="763"/>
      <c r="D51" s="763"/>
      <c r="E51" s="763"/>
      <c r="F51" s="764"/>
      <c r="G51" s="764"/>
      <c r="H51" s="763"/>
      <c r="I51" s="763"/>
      <c r="J51" s="763"/>
      <c r="K51" s="1158"/>
      <c r="L51" s="1159"/>
      <c r="M51" s="1157"/>
      <c r="N51" s="1157"/>
      <c r="O51" s="1157"/>
      <c r="P51" s="503"/>
      <c r="Q51" s="504"/>
    </row>
    <row r="52" spans="1:17" s="508" customFormat="1" ht="15">
      <c r="A52" s="505" t="s">
        <v>2548</v>
      </c>
      <c r="B52" s="506"/>
      <c r="C52" s="1572" t="str">
        <f>YEAR(C7)&amp;"-"&amp;MONTH(C7)</f>
        <v>2019-9</v>
      </c>
      <c r="D52" s="1573">
        <f>EDATE(C52,-1)</f>
        <v>43678</v>
      </c>
      <c r="E52" s="1573">
        <f t="shared" ref="E52:O52" si="16">EDATE(D52,-1)</f>
        <v>43647</v>
      </c>
      <c r="F52" s="1573">
        <f t="shared" si="16"/>
        <v>43617</v>
      </c>
      <c r="G52" s="1573">
        <f t="shared" si="16"/>
        <v>43586</v>
      </c>
      <c r="H52" s="1573">
        <f t="shared" si="16"/>
        <v>43556</v>
      </c>
      <c r="I52" s="1573">
        <f t="shared" si="16"/>
        <v>43525</v>
      </c>
      <c r="J52" s="1573">
        <f t="shared" si="16"/>
        <v>43497</v>
      </c>
      <c r="K52" s="1573">
        <f t="shared" si="16"/>
        <v>43466</v>
      </c>
      <c r="L52" s="1573">
        <f t="shared" si="16"/>
        <v>43435</v>
      </c>
      <c r="M52" s="1573">
        <f t="shared" si="16"/>
        <v>43405</v>
      </c>
      <c r="N52" s="1573">
        <f t="shared" si="16"/>
        <v>43374</v>
      </c>
      <c r="O52" s="1573">
        <f t="shared" si="16"/>
        <v>43344</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2588</v>
      </c>
      <c r="B57" s="528" t="s">
        <v>2554</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0"/>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32"/>
      <c r="B87" s="569"/>
      <c r="C87" s="570"/>
      <c r="D87" s="570"/>
      <c r="E87" s="570"/>
      <c r="F87" s="570"/>
      <c r="G87" s="591"/>
      <c r="H87" s="591"/>
      <c r="I87" s="591"/>
      <c r="J87" s="591"/>
      <c r="K87" s="591"/>
      <c r="L87" s="591"/>
      <c r="M87" s="592"/>
      <c r="N87" s="1151"/>
      <c r="O87" s="1151"/>
      <c r="P87" s="45"/>
      <c r="Q87" s="504"/>
    </row>
    <row r="88" spans="1:17">
      <c r="A88" s="527" t="s">
        <v>2563</v>
      </c>
      <c r="B88" s="528" t="s">
        <v>2612</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2614</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2616</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2617</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2618</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2620</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32"/>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0"/>
      <c r="F1" s="2580"/>
      <c r="G1" s="1621" t="s">
        <v>2643</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2327</v>
      </c>
      <c r="B2" s="1416" t="e">
        <f ca="1">IF(C2="——",IF(B37="元/平方米",ROUND(C39*D3/10000,0),ROUND(F3*C39/10000,0)),IF(B37="元/平方米",ROUND(C39*D3/10000,0),ROUND(F3*C39/10000,0))-D2)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1417"/>
      <c r="Q2" s="767"/>
      <c r="R2" s="767"/>
      <c r="S2" s="767"/>
      <c r="T2" s="767"/>
      <c r="U2" s="767"/>
      <c r="V2" s="767"/>
      <c r="W2" s="767"/>
      <c r="X2" s="767"/>
      <c r="Y2" s="767"/>
      <c r="Z2" s="767"/>
      <c r="AA2" s="767"/>
      <c r="AB2" s="767"/>
      <c r="AC2" s="768"/>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3"/>
      <c r="H3" s="1123"/>
      <c r="I3" s="1123"/>
      <c r="J3" s="1123"/>
      <c r="K3" s="1125"/>
      <c r="L3" s="1126"/>
      <c r="M3" s="1127"/>
      <c r="N3" s="1127"/>
      <c r="O3" s="1127"/>
      <c r="P3" s="141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SUMIF(48:48,YEAR(E7)&amp;"-"&amp;MONTH(E7),49:49)</f>
        <v>0</v>
      </c>
      <c r="G7" s="412"/>
      <c r="H7" s="411">
        <f>SUMIF(48:48,YEAR(G7)&amp;"-"&amp;MONTH(G7),49:49)</f>
        <v>0</v>
      </c>
      <c r="I7" s="412"/>
      <c r="J7" s="411">
        <f>SUMIF(48:48,YEAR(I7)&amp;"-"&amp;MONTH(I7),49:49)</f>
        <v>0</v>
      </c>
      <c r="K7" s="611"/>
      <c r="L7" s="1130"/>
      <c r="M7" s="1131"/>
      <c r="N7" s="1131"/>
      <c r="O7" s="1131"/>
      <c r="P7" s="3253" t="s">
        <v>2549</v>
      </c>
      <c r="Q7" s="3255"/>
      <c r="R7" s="769" t="s">
        <v>17</v>
      </c>
      <c r="S7" s="770">
        <f t="shared" ref="S7:S14" si="0">F7</f>
        <v>0</v>
      </c>
      <c r="T7" s="769" t="s">
        <v>17</v>
      </c>
      <c r="U7" s="770">
        <f t="shared" ref="U7:U14" si="1">H7</f>
        <v>0</v>
      </c>
      <c r="V7" s="769" t="s">
        <v>17</v>
      </c>
      <c r="W7" s="770">
        <f t="shared" ref="W7:W14" si="2">J7</f>
        <v>0</v>
      </c>
      <c r="X7" s="771"/>
      <c r="Y7" s="3253" t="s">
        <v>2549</v>
      </c>
      <c r="Z7" s="3254"/>
      <c r="AA7" s="772" t="e">
        <f>D7/F7</f>
        <v>#DIV/0!</v>
      </c>
      <c r="AB7" s="772" t="e">
        <f>D7/H7</f>
        <v>#DIV/0!</v>
      </c>
      <c r="AC7" s="772"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36" si="3">D8/F8</f>
        <v>#DIV/0!</v>
      </c>
      <c r="AB8" s="772" t="e">
        <f t="shared" ref="AB8:AB36" si="4">D8/H8</f>
        <v>#DIV/0!</v>
      </c>
      <c r="AC8" s="772"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224" t="s">
        <v>2555</v>
      </c>
      <c r="Q9" s="1793" t="str">
        <f t="shared" ref="Q9:Q14" si="6">B9</f>
        <v>用途</v>
      </c>
      <c r="R9" s="769" t="s">
        <v>17</v>
      </c>
      <c r="S9" s="770">
        <f t="shared" si="0"/>
        <v>100</v>
      </c>
      <c r="T9" s="769" t="s">
        <v>17</v>
      </c>
      <c r="U9" s="770">
        <f t="shared" si="1"/>
        <v>100</v>
      </c>
      <c r="V9" s="769" t="s">
        <v>17</v>
      </c>
      <c r="W9" s="770">
        <f t="shared" si="2"/>
        <v>100</v>
      </c>
      <c r="X9" s="771"/>
      <c r="Y9" s="3072" t="s">
        <v>2556</v>
      </c>
      <c r="Z9" s="55" t="str">
        <f t="shared" ref="Z9:Z14" si="7">Q9</f>
        <v>用途</v>
      </c>
      <c r="AA9" s="772">
        <f t="shared" si="3"/>
        <v>1</v>
      </c>
      <c r="AB9" s="772">
        <f t="shared" si="4"/>
        <v>1</v>
      </c>
      <c r="AC9" s="772">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224"/>
      <c r="Q11" s="1793">
        <f t="shared" si="6"/>
        <v>111</v>
      </c>
      <c r="R11" s="769" t="s">
        <v>17</v>
      </c>
      <c r="S11" s="770">
        <f t="shared" si="0"/>
        <v>100</v>
      </c>
      <c r="T11" s="769" t="s">
        <v>17</v>
      </c>
      <c r="U11" s="770">
        <f t="shared" si="1"/>
        <v>100</v>
      </c>
      <c r="V11" s="769" t="s">
        <v>17</v>
      </c>
      <c r="W11" s="770">
        <f t="shared" si="2"/>
        <v>100</v>
      </c>
      <c r="X11" s="771"/>
      <c r="Y11" s="3072"/>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85.5">
      <c r="A14" s="401" t="s">
        <v>2559</v>
      </c>
      <c r="B14" s="629" t="s">
        <v>2709</v>
      </c>
      <c r="C14" s="2689"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226" t="s">
        <v>2560</v>
      </c>
      <c r="Q14" s="1808" t="str">
        <f t="shared" si="6"/>
        <v>交通便捷度</v>
      </c>
      <c r="R14" s="773" t="s">
        <v>17</v>
      </c>
      <c r="S14" s="774">
        <f t="shared" si="0"/>
        <v>100</v>
      </c>
      <c r="T14" s="773" t="s">
        <v>17</v>
      </c>
      <c r="U14" s="774">
        <f t="shared" si="1"/>
        <v>100</v>
      </c>
      <c r="V14" s="773" t="s">
        <v>17</v>
      </c>
      <c r="W14" s="774">
        <f t="shared" si="2"/>
        <v>100</v>
      </c>
      <c r="X14" s="1811"/>
      <c r="Y14" s="3226" t="s">
        <v>2560</v>
      </c>
      <c r="Z14" s="1812" t="str">
        <f t="shared" si="7"/>
        <v>交通便捷度</v>
      </c>
      <c r="AA14" s="1809">
        <f t="shared" si="3"/>
        <v>1</v>
      </c>
      <c r="AB14" s="1809">
        <f t="shared" si="4"/>
        <v>1</v>
      </c>
      <c r="AC14" s="1809">
        <f t="shared" si="5"/>
        <v>1</v>
      </c>
    </row>
    <row r="15" spans="1:29" ht="15">
      <c r="A15" s="404"/>
      <c r="B15" s="647"/>
      <c r="C15" s="447"/>
      <c r="D15" s="448"/>
      <c r="E15" s="447"/>
      <c r="F15" s="449"/>
      <c r="G15" s="447"/>
      <c r="H15" s="450"/>
      <c r="I15" s="447"/>
      <c r="J15" s="448"/>
      <c r="K15" s="615"/>
      <c r="L15" s="1138"/>
      <c r="M15" s="1129"/>
      <c r="N15" s="1129"/>
      <c r="O15" s="1129"/>
      <c r="P15" s="3227"/>
      <c r="Q15" s="1808"/>
      <c r="R15" s="773"/>
      <c r="S15" s="774"/>
      <c r="T15" s="773"/>
      <c r="U15" s="774"/>
      <c r="V15" s="773"/>
      <c r="W15" s="774"/>
      <c r="X15" s="1811"/>
      <c r="Y15" s="3227"/>
      <c r="Z15" s="1812"/>
      <c r="AA15" s="1809">
        <v>1</v>
      </c>
      <c r="AB15" s="1809">
        <v>1</v>
      </c>
      <c r="AC15" s="1809">
        <v>1</v>
      </c>
    </row>
    <row r="16" spans="1:29" ht="42.75">
      <c r="A16" s="404"/>
      <c r="B16" s="631" t="s">
        <v>2688</v>
      </c>
      <c r="C16" s="2603"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227"/>
      <c r="Q16" s="1808" t="str">
        <f>B16</f>
        <v>公共配套设施</v>
      </c>
      <c r="R16" s="773" t="s">
        <v>17</v>
      </c>
      <c r="S16" s="774">
        <f>F16</f>
        <v>100</v>
      </c>
      <c r="T16" s="773" t="s">
        <v>17</v>
      </c>
      <c r="U16" s="774">
        <f>H16</f>
        <v>100</v>
      </c>
      <c r="V16" s="773" t="s">
        <v>17</v>
      </c>
      <c r="W16" s="774">
        <f>J16</f>
        <v>100</v>
      </c>
      <c r="X16" s="1811"/>
      <c r="Y16" s="3227"/>
      <c r="Z16" s="1812" t="str">
        <f>Q16</f>
        <v>公共配套设施</v>
      </c>
      <c r="AA16" s="1809">
        <f t="shared" si="3"/>
        <v>1</v>
      </c>
      <c r="AB16" s="1809">
        <f t="shared" si="4"/>
        <v>1</v>
      </c>
      <c r="AC16" s="1809">
        <f t="shared" si="5"/>
        <v>1</v>
      </c>
    </row>
    <row r="17" spans="1:29" ht="15">
      <c r="A17" s="404"/>
      <c r="B17" s="632"/>
      <c r="C17" s="2604"/>
      <c r="D17" s="448"/>
      <c r="E17" s="447"/>
      <c r="F17" s="449"/>
      <c r="G17" s="447"/>
      <c r="H17" s="448"/>
      <c r="I17" s="447"/>
      <c r="J17" s="448"/>
      <c r="K17" s="615"/>
      <c r="L17" s="1138"/>
      <c r="M17" s="1129"/>
      <c r="N17" s="1129"/>
      <c r="O17" s="1129"/>
      <c r="P17" s="3227"/>
      <c r="Q17" s="1808"/>
      <c r="R17" s="773"/>
      <c r="S17" s="774"/>
      <c r="T17" s="773"/>
      <c r="U17" s="774"/>
      <c r="V17" s="773"/>
      <c r="W17" s="774"/>
      <c r="X17" s="1811"/>
      <c r="Y17" s="3227"/>
      <c r="Z17" s="1812"/>
      <c r="AA17" s="1809">
        <v>1</v>
      </c>
      <c r="AB17" s="1809">
        <v>1</v>
      </c>
      <c r="AC17" s="1809">
        <v>1</v>
      </c>
    </row>
    <row r="18" spans="1:29" ht="28.5">
      <c r="A18" s="404"/>
      <c r="B18" s="633" t="s">
        <v>2689</v>
      </c>
      <c r="C18" s="2603"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227"/>
      <c r="Q18" s="1808" t="str">
        <f>B18</f>
        <v>基础设施水平</v>
      </c>
      <c r="R18" s="773" t="s">
        <v>17</v>
      </c>
      <c r="S18" s="774">
        <f>F18</f>
        <v>100</v>
      </c>
      <c r="T18" s="773" t="s">
        <v>17</v>
      </c>
      <c r="U18" s="774">
        <f>H18</f>
        <v>100</v>
      </c>
      <c r="V18" s="773" t="s">
        <v>17</v>
      </c>
      <c r="W18" s="774">
        <f>J18</f>
        <v>100</v>
      </c>
      <c r="X18" s="1811"/>
      <c r="Y18" s="3227"/>
      <c r="Z18" s="1812" t="str">
        <f>Q18</f>
        <v>基础设施水平</v>
      </c>
      <c r="AA18" s="1809">
        <f t="shared" ref="AA18" si="8">D18/F18</f>
        <v>1</v>
      </c>
      <c r="AB18" s="1809">
        <f t="shared" ref="AB18" si="9">D18/H18</f>
        <v>1</v>
      </c>
      <c r="AC18" s="1809">
        <f t="shared" ref="AC18" si="10">D18/J18</f>
        <v>1</v>
      </c>
    </row>
    <row r="19" spans="1:29" ht="15">
      <c r="A19" s="404"/>
      <c r="B19" s="633"/>
      <c r="C19" s="2604"/>
      <c r="D19" s="450"/>
      <c r="E19" s="2604"/>
      <c r="F19" s="453"/>
      <c r="G19" s="2604"/>
      <c r="H19" s="448"/>
      <c r="I19" s="447"/>
      <c r="J19" s="448"/>
      <c r="K19" s="1381"/>
      <c r="L19" s="1138"/>
      <c r="M19" s="1129"/>
      <c r="N19" s="1129"/>
      <c r="O19" s="1129"/>
      <c r="P19" s="3227"/>
      <c r="Q19" s="1808"/>
      <c r="R19" s="773"/>
      <c r="S19" s="774"/>
      <c r="T19" s="773"/>
      <c r="U19" s="774"/>
      <c r="V19" s="773"/>
      <c r="W19" s="774"/>
      <c r="X19" s="1811"/>
      <c r="Y19" s="3227"/>
      <c r="Z19" s="1812"/>
      <c r="AA19" s="1809">
        <v>1</v>
      </c>
      <c r="AB19" s="1809">
        <v>1</v>
      </c>
      <c r="AC19" s="1809">
        <v>1</v>
      </c>
    </row>
    <row r="20" spans="1:29" ht="57">
      <c r="A20" s="404"/>
      <c r="B20" s="631" t="s">
        <v>2710</v>
      </c>
      <c r="C20" s="2603"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227"/>
      <c r="Q20" s="1808" t="str">
        <f>B20</f>
        <v>自然及人文环境</v>
      </c>
      <c r="R20" s="773" t="s">
        <v>17</v>
      </c>
      <c r="S20" s="774">
        <f>F20</f>
        <v>100</v>
      </c>
      <c r="T20" s="773" t="s">
        <v>17</v>
      </c>
      <c r="U20" s="774">
        <f>H20</f>
        <v>100</v>
      </c>
      <c r="V20" s="773" t="s">
        <v>17</v>
      </c>
      <c r="W20" s="774">
        <f>J20</f>
        <v>100</v>
      </c>
      <c r="X20" s="1811"/>
      <c r="Y20" s="3227"/>
      <c r="Z20" s="1812" t="str">
        <f>Q20</f>
        <v>自然及人文环境</v>
      </c>
      <c r="AA20" s="1809">
        <f t="shared" si="3"/>
        <v>1</v>
      </c>
      <c r="AB20" s="1809">
        <f t="shared" si="4"/>
        <v>1</v>
      </c>
      <c r="AC20" s="1809">
        <f t="shared" si="5"/>
        <v>1</v>
      </c>
    </row>
    <row r="21" spans="1:29" ht="15">
      <c r="A21" s="404"/>
      <c r="B21" s="632"/>
      <c r="C21" s="447"/>
      <c r="D21" s="448"/>
      <c r="E21" s="447"/>
      <c r="F21" s="449"/>
      <c r="G21" s="447"/>
      <c r="H21" s="448"/>
      <c r="I21" s="447"/>
      <c r="J21" s="448"/>
      <c r="K21" s="615"/>
      <c r="L21" s="1138"/>
      <c r="M21" s="1129"/>
      <c r="N21" s="1129"/>
      <c r="O21" s="1129"/>
      <c r="P21" s="3227"/>
      <c r="Q21" s="1808"/>
      <c r="R21" s="773"/>
      <c r="S21" s="774"/>
      <c r="T21" s="773"/>
      <c r="U21" s="774"/>
      <c r="V21" s="773"/>
      <c r="W21" s="774"/>
      <c r="X21" s="1811"/>
      <c r="Y21" s="3227"/>
      <c r="Z21" s="1812"/>
      <c r="AA21" s="1809">
        <v>1</v>
      </c>
      <c r="AB21" s="1809">
        <v>1</v>
      </c>
      <c r="AC21" s="1809">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227"/>
      <c r="Q22" s="1808" t="str">
        <f>B22</f>
        <v>楼层</v>
      </c>
      <c r="R22" s="773" t="s">
        <v>17</v>
      </c>
      <c r="S22" s="774">
        <f>F22</f>
        <v>100</v>
      </c>
      <c r="T22" s="773" t="s">
        <v>17</v>
      </c>
      <c r="U22" s="774">
        <f>H22</f>
        <v>100</v>
      </c>
      <c r="V22" s="773" t="s">
        <v>17</v>
      </c>
      <c r="W22" s="774">
        <f>J22</f>
        <v>100</v>
      </c>
      <c r="X22" s="1811"/>
      <c r="Y22" s="3227"/>
      <c r="Z22" s="1812" t="str">
        <f>Q22</f>
        <v>楼层</v>
      </c>
      <c r="AA22" s="1809">
        <f t="shared" si="3"/>
        <v>1</v>
      </c>
      <c r="AB22" s="1809">
        <f t="shared" si="4"/>
        <v>1</v>
      </c>
      <c r="AC22" s="180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227"/>
      <c r="Q23" s="1808">
        <f>B23</f>
        <v>111</v>
      </c>
      <c r="R23" s="773" t="s">
        <v>17</v>
      </c>
      <c r="S23" s="774">
        <f>F23</f>
        <v>100</v>
      </c>
      <c r="T23" s="773" t="s">
        <v>17</v>
      </c>
      <c r="U23" s="774">
        <f>H23</f>
        <v>100</v>
      </c>
      <c r="V23" s="773" t="s">
        <v>17</v>
      </c>
      <c r="W23" s="774">
        <f>J23</f>
        <v>100</v>
      </c>
      <c r="X23" s="1811"/>
      <c r="Y23" s="3227"/>
      <c r="Z23" s="1812">
        <f>Q23</f>
        <v>111</v>
      </c>
      <c r="AA23" s="1809">
        <f t="shared" si="3"/>
        <v>1</v>
      </c>
      <c r="AB23" s="1809">
        <f t="shared" si="4"/>
        <v>1</v>
      </c>
      <c r="AC23" s="180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227"/>
      <c r="Q24" s="1808">
        <f t="shared" ref="Q24:Q36" si="11">B24</f>
        <v>111</v>
      </c>
      <c r="R24" s="773" t="s">
        <v>17</v>
      </c>
      <c r="S24" s="774">
        <f>F24</f>
        <v>100</v>
      </c>
      <c r="T24" s="773" t="s">
        <v>17</v>
      </c>
      <c r="U24" s="774">
        <f>H24</f>
        <v>100</v>
      </c>
      <c r="V24" s="773" t="s">
        <v>17</v>
      </c>
      <c r="W24" s="774">
        <f>J24</f>
        <v>100</v>
      </c>
      <c r="X24" s="1811"/>
      <c r="Y24" s="3227"/>
      <c r="Z24" s="1812">
        <f>Q24</f>
        <v>111</v>
      </c>
      <c r="AA24" s="1809">
        <f t="shared" si="3"/>
        <v>1</v>
      </c>
      <c r="AB24" s="1809">
        <f t="shared" si="4"/>
        <v>1</v>
      </c>
      <c r="AC24" s="180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227"/>
      <c r="Q25" s="1793">
        <f t="shared" si="11"/>
        <v>111</v>
      </c>
      <c r="R25" s="769" t="s">
        <v>17</v>
      </c>
      <c r="S25" s="770">
        <f>F25</f>
        <v>100</v>
      </c>
      <c r="T25" s="769" t="s">
        <v>17</v>
      </c>
      <c r="U25" s="770">
        <f>H25</f>
        <v>100</v>
      </c>
      <c r="V25" s="769" t="s">
        <v>17</v>
      </c>
      <c r="W25" s="770">
        <f>J25</f>
        <v>100</v>
      </c>
      <c r="X25" s="771"/>
      <c r="Y25" s="3227"/>
      <c r="Z25" s="55">
        <f>Q25</f>
        <v>111</v>
      </c>
      <c r="AA25" s="1809">
        <f>D25/F25</f>
        <v>1</v>
      </c>
      <c r="AB25" s="1809">
        <f>D25/H25</f>
        <v>1</v>
      </c>
      <c r="AC25" s="1809">
        <f>D25/J25</f>
        <v>1</v>
      </c>
    </row>
    <row r="26" spans="1:29" ht="28.5">
      <c r="A26" s="652" t="s">
        <v>2563</v>
      </c>
      <c r="B26" s="70" t="s">
        <v>2712</v>
      </c>
      <c r="C26" s="2690">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28" t="s">
        <v>2565</v>
      </c>
      <c r="Q26" s="1808" t="str">
        <f t="shared" si="11"/>
        <v>配套类型</v>
      </c>
      <c r="R26" s="773" t="s">
        <v>17</v>
      </c>
      <c r="S26" s="774">
        <f t="shared" ref="S26:S36" si="12">F26</f>
        <v>100</v>
      </c>
      <c r="T26" s="773" t="s">
        <v>17</v>
      </c>
      <c r="U26" s="774">
        <f t="shared" ref="U26:U36" si="13">H26</f>
        <v>100</v>
      </c>
      <c r="V26" s="773" t="s">
        <v>17</v>
      </c>
      <c r="W26" s="774">
        <f t="shared" ref="W26:W36" si="14">J26</f>
        <v>100</v>
      </c>
      <c r="X26" s="1811"/>
      <c r="Y26" s="3229" t="s">
        <v>2565</v>
      </c>
      <c r="Z26" s="1812" t="str">
        <f t="shared" ref="Z26:Z36" si="15">Q26</f>
        <v>配套类型</v>
      </c>
      <c r="AA26" s="1809">
        <f t="shared" si="3"/>
        <v>1</v>
      </c>
      <c r="AB26" s="1809">
        <f t="shared" si="4"/>
        <v>1</v>
      </c>
      <c r="AC26" s="1809">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229"/>
      <c r="Q27" s="775" t="str">
        <f t="shared" si="11"/>
        <v>项目停车位配比</v>
      </c>
      <c r="R27" s="776" t="s">
        <v>17</v>
      </c>
      <c r="S27" s="777">
        <f t="shared" si="12"/>
        <v>100</v>
      </c>
      <c r="T27" s="776" t="s">
        <v>17</v>
      </c>
      <c r="U27" s="777">
        <f t="shared" si="13"/>
        <v>100</v>
      </c>
      <c r="V27" s="776" t="s">
        <v>17</v>
      </c>
      <c r="W27" s="777">
        <f t="shared" si="14"/>
        <v>100</v>
      </c>
      <c r="X27" s="778"/>
      <c r="Y27" s="3229"/>
      <c r="Z27" s="779" t="str">
        <f t="shared" si="15"/>
        <v>项目停车位配比</v>
      </c>
      <c r="AA27" s="1809">
        <f t="shared" si="3"/>
        <v>1</v>
      </c>
      <c r="AB27" s="1809">
        <f t="shared" si="4"/>
        <v>1</v>
      </c>
      <c r="AC27" s="1809">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229"/>
      <c r="Q28" s="1808" t="str">
        <f t="shared" si="11"/>
        <v>公共部分装修</v>
      </c>
      <c r="R28" s="773" t="s">
        <v>17</v>
      </c>
      <c r="S28" s="774">
        <f t="shared" si="12"/>
        <v>100</v>
      </c>
      <c r="T28" s="773" t="s">
        <v>17</v>
      </c>
      <c r="U28" s="774">
        <f t="shared" si="13"/>
        <v>100</v>
      </c>
      <c r="V28" s="773" t="s">
        <v>17</v>
      </c>
      <c r="W28" s="774">
        <f t="shared" si="14"/>
        <v>100</v>
      </c>
      <c r="X28" s="1811"/>
      <c r="Y28" s="3229"/>
      <c r="Z28" s="1812" t="str">
        <f t="shared" si="15"/>
        <v>公共部分装修</v>
      </c>
      <c r="AA28" s="1809">
        <f t="shared" si="3"/>
        <v>1</v>
      </c>
      <c r="AB28" s="1809">
        <f t="shared" si="4"/>
        <v>1</v>
      </c>
      <c r="AC28" s="1809">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229"/>
      <c r="Q29" s="1808" t="str">
        <f t="shared" si="11"/>
        <v>成新率</v>
      </c>
      <c r="R29" s="773" t="s">
        <v>17</v>
      </c>
      <c r="S29" s="774" t="e">
        <f t="shared" si="12"/>
        <v>#N/A</v>
      </c>
      <c r="T29" s="773" t="s">
        <v>17</v>
      </c>
      <c r="U29" s="774" t="e">
        <f t="shared" si="13"/>
        <v>#N/A</v>
      </c>
      <c r="V29" s="773" t="s">
        <v>17</v>
      </c>
      <c r="W29" s="774" t="e">
        <f t="shared" si="14"/>
        <v>#N/A</v>
      </c>
      <c r="X29" s="1811"/>
      <c r="Y29" s="3229"/>
      <c r="Z29" s="1812" t="str">
        <f t="shared" si="15"/>
        <v>成新率</v>
      </c>
      <c r="AA29" s="1809" t="e">
        <f t="shared" si="3"/>
        <v>#N/A</v>
      </c>
      <c r="AB29" s="1809" t="e">
        <f t="shared" si="4"/>
        <v>#N/A</v>
      </c>
      <c r="AC29" s="1809"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229"/>
      <c r="Q30" s="1808" t="str">
        <f t="shared" si="11"/>
        <v>物业等级</v>
      </c>
      <c r="R30" s="773" t="s">
        <v>17</v>
      </c>
      <c r="S30" s="774">
        <f t="shared" si="12"/>
        <v>100</v>
      </c>
      <c r="T30" s="773" t="s">
        <v>17</v>
      </c>
      <c r="U30" s="774">
        <f t="shared" si="13"/>
        <v>100</v>
      </c>
      <c r="V30" s="773" t="s">
        <v>17</v>
      </c>
      <c r="W30" s="774">
        <f t="shared" si="14"/>
        <v>100</v>
      </c>
      <c r="X30" s="1811"/>
      <c r="Y30" s="3229"/>
      <c r="Z30" s="1812" t="str">
        <f t="shared" si="15"/>
        <v>物业等级</v>
      </c>
      <c r="AA30" s="1809">
        <f t="shared" si="3"/>
        <v>1</v>
      </c>
      <c r="AB30" s="1809">
        <f t="shared" si="4"/>
        <v>1</v>
      </c>
      <c r="AC30" s="1809">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229"/>
      <c r="Q31" s="1793" t="str">
        <f t="shared" si="11"/>
        <v>停车位面积</v>
      </c>
      <c r="R31" s="769" t="s">
        <v>17</v>
      </c>
      <c r="S31" s="770" t="e">
        <f t="shared" si="12"/>
        <v>#N/A</v>
      </c>
      <c r="T31" s="769" t="s">
        <v>17</v>
      </c>
      <c r="U31" s="770" t="e">
        <f t="shared" si="13"/>
        <v>#N/A</v>
      </c>
      <c r="V31" s="769" t="s">
        <v>17</v>
      </c>
      <c r="W31" s="770" t="e">
        <f t="shared" si="14"/>
        <v>#N/A</v>
      </c>
      <c r="X31" s="771"/>
      <c r="Y31" s="3229"/>
      <c r="Z31" s="55" t="str">
        <f t="shared" si="15"/>
        <v>停车位面积</v>
      </c>
      <c r="AA31" s="772" t="e">
        <f t="shared" si="3"/>
        <v>#N/A</v>
      </c>
      <c r="AB31" s="772" t="e">
        <f t="shared" si="4"/>
        <v>#N/A</v>
      </c>
      <c r="AC31" s="772"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229" t="s">
        <v>2565</v>
      </c>
      <c r="Q32" s="1808" t="str">
        <f t="shared" si="11"/>
        <v>车位类型</v>
      </c>
      <c r="R32" s="773" t="s">
        <v>17</v>
      </c>
      <c r="S32" s="774">
        <f t="shared" si="12"/>
        <v>100</v>
      </c>
      <c r="T32" s="773" t="s">
        <v>17</v>
      </c>
      <c r="U32" s="774">
        <f t="shared" si="13"/>
        <v>100</v>
      </c>
      <c r="V32" s="773" t="s">
        <v>17</v>
      </c>
      <c r="W32" s="774">
        <f t="shared" si="14"/>
        <v>100</v>
      </c>
      <c r="X32" s="1811"/>
      <c r="Y32" s="3229" t="s">
        <v>2565</v>
      </c>
      <c r="Z32" s="1812" t="str">
        <f t="shared" si="15"/>
        <v>车位类型</v>
      </c>
      <c r="AA32" s="1809">
        <f t="shared" si="3"/>
        <v>1</v>
      </c>
      <c r="AB32" s="1809">
        <f t="shared" si="4"/>
        <v>1</v>
      </c>
      <c r="AC32" s="1809">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229"/>
      <c r="Q33" s="1808" t="str">
        <f t="shared" si="11"/>
        <v>是否直接入户</v>
      </c>
      <c r="R33" s="773" t="s">
        <v>17</v>
      </c>
      <c r="S33" s="774">
        <f t="shared" si="12"/>
        <v>100</v>
      </c>
      <c r="T33" s="773" t="s">
        <v>17</v>
      </c>
      <c r="U33" s="774">
        <f t="shared" si="13"/>
        <v>100</v>
      </c>
      <c r="V33" s="773" t="s">
        <v>17</v>
      </c>
      <c r="W33" s="774">
        <f t="shared" si="14"/>
        <v>100</v>
      </c>
      <c r="X33" s="1811"/>
      <c r="Y33" s="3229"/>
      <c r="Z33" s="1812" t="str">
        <f t="shared" si="15"/>
        <v>是否直接入户</v>
      </c>
      <c r="AA33" s="1809">
        <f t="shared" si="3"/>
        <v>1</v>
      </c>
      <c r="AB33" s="1809">
        <f t="shared" si="4"/>
        <v>1</v>
      </c>
      <c r="AC33" s="180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229"/>
      <c r="Q34" s="1808">
        <f t="shared" si="11"/>
        <v>111</v>
      </c>
      <c r="R34" s="773" t="s">
        <v>17</v>
      </c>
      <c r="S34" s="774">
        <f t="shared" si="12"/>
        <v>100</v>
      </c>
      <c r="T34" s="773" t="s">
        <v>17</v>
      </c>
      <c r="U34" s="774">
        <f t="shared" si="13"/>
        <v>100</v>
      </c>
      <c r="V34" s="773" t="s">
        <v>17</v>
      </c>
      <c r="W34" s="774">
        <f t="shared" si="14"/>
        <v>100</v>
      </c>
      <c r="X34" s="1811"/>
      <c r="Y34" s="3229"/>
      <c r="Z34" s="1812">
        <f t="shared" si="15"/>
        <v>111</v>
      </c>
      <c r="AA34" s="1809">
        <f t="shared" si="3"/>
        <v>1</v>
      </c>
      <c r="AB34" s="1809">
        <f t="shared" si="4"/>
        <v>1</v>
      </c>
      <c r="AC34" s="180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229"/>
      <c r="Q35" s="775">
        <f t="shared" si="11"/>
        <v>111</v>
      </c>
      <c r="R35" s="776" t="s">
        <v>17</v>
      </c>
      <c r="S35" s="777">
        <f t="shared" si="12"/>
        <v>100</v>
      </c>
      <c r="T35" s="776" t="s">
        <v>17</v>
      </c>
      <c r="U35" s="777">
        <f t="shared" si="13"/>
        <v>100</v>
      </c>
      <c r="V35" s="776" t="s">
        <v>17</v>
      </c>
      <c r="W35" s="777">
        <f t="shared" si="14"/>
        <v>100</v>
      </c>
      <c r="X35" s="778"/>
      <c r="Y35" s="3229"/>
      <c r="Z35" s="779">
        <f t="shared" si="15"/>
        <v>111</v>
      </c>
      <c r="AA35" s="1809">
        <f t="shared" si="3"/>
        <v>1</v>
      </c>
      <c r="AB35" s="1809">
        <f t="shared" si="4"/>
        <v>1</v>
      </c>
      <c r="AC35" s="180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229"/>
      <c r="Q36" s="1808">
        <f t="shared" si="11"/>
        <v>111</v>
      </c>
      <c r="R36" s="773" t="s">
        <v>17</v>
      </c>
      <c r="S36" s="774">
        <f t="shared" si="12"/>
        <v>100</v>
      </c>
      <c r="T36" s="773" t="s">
        <v>17</v>
      </c>
      <c r="U36" s="774">
        <f t="shared" si="13"/>
        <v>100</v>
      </c>
      <c r="V36" s="773" t="s">
        <v>17</v>
      </c>
      <c r="W36" s="774">
        <f t="shared" si="14"/>
        <v>100</v>
      </c>
      <c r="X36" s="1811"/>
      <c r="Y36" s="3229"/>
      <c r="Z36" s="1812">
        <f t="shared" si="15"/>
        <v>111</v>
      </c>
      <c r="AA36" s="1809">
        <f t="shared" si="3"/>
        <v>1</v>
      </c>
      <c r="AB36" s="1809">
        <f t="shared" si="4"/>
        <v>1</v>
      </c>
      <c r="AC36" s="1809">
        <f t="shared" si="5"/>
        <v>1</v>
      </c>
    </row>
    <row r="37" spans="1:29" ht="15">
      <c r="A37" s="479" t="s">
        <v>2720</v>
      </c>
      <c r="B37" s="2691" t="s">
        <v>2721</v>
      </c>
      <c r="C37" s="1405" t="s">
        <v>1</v>
      </c>
      <c r="D37" s="1406"/>
      <c r="E37" s="1407"/>
      <c r="F37" s="1408"/>
      <c r="G37" s="1409"/>
      <c r="H37" s="1410"/>
      <c r="I37" s="1407"/>
      <c r="J37" s="1410"/>
      <c r="K37" s="619"/>
      <c r="L37" s="1141"/>
      <c r="M37" s="1142"/>
      <c r="N37" s="1129"/>
      <c r="O37" s="1142"/>
      <c r="P37" s="3224" t="str">
        <f>A37</f>
        <v>成交单价</v>
      </c>
      <c r="Q37" s="3224"/>
      <c r="R37" s="3288">
        <f>E37</f>
        <v>0</v>
      </c>
      <c r="S37" s="3288"/>
      <c r="T37" s="3288">
        <f>G37</f>
        <v>0</v>
      </c>
      <c r="U37" s="3288"/>
      <c r="V37" s="3288">
        <f>I37</f>
        <v>0</v>
      </c>
      <c r="W37" s="3288"/>
      <c r="X37" s="758"/>
      <c r="Y37" s="780"/>
      <c r="Z37" s="758"/>
      <c r="AA37" s="758"/>
      <c r="AB37" s="758"/>
      <c r="AC37" s="758"/>
    </row>
    <row r="38" spans="1:29" ht="15.75" thickBot="1">
      <c r="A38" s="486" t="s">
        <v>2722</v>
      </c>
      <c r="B38" s="487" t="str">
        <f>B37</f>
        <v>元/车位</v>
      </c>
      <c r="C38" s="1411" t="e">
        <f>R39</f>
        <v>#DIV/0!</v>
      </c>
      <c r="D38" s="1412"/>
      <c r="E38" s="1413" t="e">
        <f>R38</f>
        <v>#DIV/0!</v>
      </c>
      <c r="F38" s="1413"/>
      <c r="G38" s="1411" t="e">
        <f>T38</f>
        <v>#DIV/0!</v>
      </c>
      <c r="H38" s="1412"/>
      <c r="I38" s="1413" t="e">
        <f>V38</f>
        <v>#DIV/0!</v>
      </c>
      <c r="J38" s="1412"/>
      <c r="K38" s="620"/>
      <c r="L38" s="1141"/>
      <c r="M38" s="1142"/>
      <c r="N38" s="1142"/>
      <c r="O38" s="1142"/>
      <c r="P38" s="3224" t="str">
        <f>A38</f>
        <v>比较价值（元/平方米）</v>
      </c>
      <c r="Q38" s="3224"/>
      <c r="R38" s="3288" t="e">
        <f>IF(F1="售价",ROUND(PRODUCT(R37,AA7:AA36),0),ROUND(PRODUCT(R37,AA7:AA36),1))</f>
        <v>#DIV/0!</v>
      </c>
      <c r="S38" s="3288"/>
      <c r="T38" s="3288" t="e">
        <f>IF(F1="售价",ROUND(PRODUCT(T37,AB7:AB36),0),ROUND(PRODUCT(T37,AB7:AB36),1))</f>
        <v>#DIV/0!</v>
      </c>
      <c r="U38" s="3288"/>
      <c r="V38" s="3288" t="e">
        <f>IF(F1="售价",ROUND(PRODUCT(V37,AC7:AC36),0),ROUND(PRODUCT(V37,AC7:AC36),1))</f>
        <v>#DIV/0!</v>
      </c>
      <c r="W38" s="3288"/>
      <c r="X38" s="758"/>
      <c r="Y38" s="758"/>
      <c r="Z38" s="758"/>
      <c r="AA38" s="758"/>
      <c r="AB38" s="758"/>
      <c r="AC38" s="758"/>
    </row>
    <row r="39" spans="1:29" ht="15.75" thickBot="1">
      <c r="A39" s="492" t="s">
        <v>2723</v>
      </c>
      <c r="B39" s="493"/>
      <c r="C39" s="1415" t="e">
        <f>R39</f>
        <v>#DIV/0!</v>
      </c>
      <c r="D39" s="1415"/>
      <c r="E39" s="1415"/>
      <c r="F39" s="1415"/>
      <c r="G39" s="1415"/>
      <c r="H39" s="1415"/>
      <c r="I39" s="1415"/>
      <c r="J39" s="1415"/>
      <c r="K39" s="621"/>
      <c r="L39" s="1141"/>
      <c r="M39" s="1142"/>
      <c r="N39" s="1142"/>
      <c r="O39" s="1142"/>
      <c r="P39" s="3218" t="str">
        <f>A39</f>
        <v>估价对象XX用房的比较价值（楼面单价，元/平方米）</v>
      </c>
      <c r="Q39" s="3219"/>
      <c r="R39" s="3287" t="e">
        <f>IF(F1="售价",ROUND(AVERAGE(R38:V38),0),ROUND(AVERAGE(R38:V38),1))</f>
        <v>#DIV/0!</v>
      </c>
      <c r="S39" s="3287"/>
      <c r="T39" s="3287"/>
      <c r="U39" s="3287"/>
      <c r="V39" s="3287"/>
      <c r="W39" s="3287"/>
      <c r="X39" s="758"/>
      <c r="Y39" s="758"/>
      <c r="Z39" s="758"/>
      <c r="AA39" s="758"/>
      <c r="AB39" s="758"/>
      <c r="AC39" s="758"/>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502" customFormat="1" ht="13.5" customHeight="1">
      <c r="A44" s="1143"/>
      <c r="B44" s="1143"/>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2727</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8" customFormat="1" ht="15">
      <c r="A48" s="505" t="s">
        <v>2728</v>
      </c>
      <c r="B48" s="506"/>
      <c r="C48" s="1572" t="str">
        <f>YEAR(C7)&amp;"-"&amp;MONTH(C7)</f>
        <v>2019-9</v>
      </c>
      <c r="D48" s="1573">
        <f>EDATE(C48,-1)</f>
        <v>43678</v>
      </c>
      <c r="E48" s="1573">
        <f t="shared" ref="E48:O48" si="16">EDATE(D48,-1)</f>
        <v>43647</v>
      </c>
      <c r="F48" s="1573">
        <f t="shared" si="16"/>
        <v>43617</v>
      </c>
      <c r="G48" s="1573">
        <f t="shared" si="16"/>
        <v>43586</v>
      </c>
      <c r="H48" s="1573">
        <f t="shared" si="16"/>
        <v>43556</v>
      </c>
      <c r="I48" s="1573">
        <f t="shared" si="16"/>
        <v>43525</v>
      </c>
      <c r="J48" s="1573">
        <f t="shared" si="16"/>
        <v>43497</v>
      </c>
      <c r="K48" s="1573">
        <f t="shared" si="16"/>
        <v>43466</v>
      </c>
      <c r="L48" s="1573">
        <f t="shared" si="16"/>
        <v>43435</v>
      </c>
      <c r="M48" s="1573">
        <f t="shared" si="16"/>
        <v>43405</v>
      </c>
      <c r="N48" s="1573">
        <f t="shared" si="16"/>
        <v>43374</v>
      </c>
      <c r="O48" s="1573">
        <f t="shared" si="16"/>
        <v>43344</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2585</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2550</v>
      </c>
      <c r="B51" s="510"/>
      <c r="C51" s="522" t="s">
        <v>2652</v>
      </c>
      <c r="D51" s="523"/>
      <c r="E51" s="523"/>
      <c r="F51" s="523"/>
      <c r="G51" s="523"/>
      <c r="H51" s="523"/>
      <c r="I51" s="523"/>
      <c r="J51" s="523"/>
      <c r="K51" s="523"/>
      <c r="L51" s="524"/>
      <c r="M51" s="525"/>
      <c r="N51" s="1149"/>
      <c r="O51" s="1149"/>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49"/>
      <c r="O52" s="1149"/>
      <c r="P52" s="1426"/>
      <c r="Q52" s="1421"/>
      <c r="R52" s="1425"/>
      <c r="S52" s="1425"/>
      <c r="T52" s="1425"/>
      <c r="U52" s="1425"/>
      <c r="V52" s="1425"/>
      <c r="W52" s="1425"/>
      <c r="X52" s="1425"/>
      <c r="Y52" s="1425"/>
      <c r="Z52" s="1425"/>
      <c r="AA52" s="1425"/>
      <c r="AB52" s="1425"/>
      <c r="AC52" s="1425"/>
    </row>
    <row r="53" spans="1:29">
      <c r="A53" s="527" t="s">
        <v>2588</v>
      </c>
      <c r="B53" s="528" t="s">
        <v>2554</v>
      </c>
      <c r="C53" s="529">
        <f>C9</f>
        <v>0</v>
      </c>
      <c r="D53" s="530"/>
      <c r="E53" s="530"/>
      <c r="F53" s="530"/>
      <c r="G53" s="530"/>
      <c r="H53" s="530"/>
      <c r="I53" s="530"/>
      <c r="J53" s="530"/>
      <c r="K53" s="531"/>
      <c r="L53" s="532"/>
      <c r="M53" s="533"/>
      <c r="N53" s="1150"/>
      <c r="O53" s="1150"/>
      <c r="P53" s="1427"/>
      <c r="Q53" s="1421"/>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27"/>
      <c r="Q54" s="1421"/>
      <c r="R54" s="1142"/>
      <c r="S54" s="1142"/>
      <c r="T54" s="1142"/>
      <c r="U54" s="1142"/>
      <c r="V54" s="1142"/>
      <c r="W54" s="1142"/>
      <c r="X54" s="1142"/>
      <c r="Y54" s="1142"/>
      <c r="Z54" s="1142"/>
      <c r="AA54" s="1142"/>
      <c r="AB54" s="1142"/>
      <c r="AC54" s="1142"/>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0"/>
      <c r="O55" s="1150"/>
      <c r="P55" s="1427"/>
      <c r="Q55" s="1421"/>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27"/>
      <c r="Q56" s="1421"/>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27"/>
      <c r="Q57" s="1421"/>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27"/>
      <c r="Q58" s="1421"/>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1"/>
      <c r="O60" s="1151"/>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2"/>
      <c r="O61" s="1152"/>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2"/>
      <c r="O62" s="1152"/>
      <c r="P62" s="1428"/>
      <c r="Q62" s="1429"/>
      <c r="R62" s="1430"/>
      <c r="S62" s="1430"/>
      <c r="T62" s="1430"/>
      <c r="U62" s="1430"/>
      <c r="V62" s="1430"/>
      <c r="W62" s="1430"/>
      <c r="X62" s="1430"/>
      <c r="Y62" s="1430"/>
      <c r="Z62" s="1430"/>
      <c r="AA62" s="1430"/>
      <c r="AB62" s="1430"/>
      <c r="AC62" s="1430"/>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0"/>
      <c r="O63" s="1150"/>
      <c r="P63" s="1433"/>
      <c r="Q63" s="1421"/>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27"/>
      <c r="Q64" s="1421"/>
      <c r="R64" s="1142"/>
      <c r="S64" s="1142"/>
      <c r="T64" s="1142"/>
      <c r="U64" s="1142"/>
      <c r="V64" s="1142"/>
      <c r="W64" s="1142"/>
      <c r="X64" s="1142"/>
      <c r="Y64" s="1142"/>
      <c r="Z64" s="1142"/>
      <c r="AA64" s="1142"/>
      <c r="AB64" s="1142"/>
      <c r="AC64" s="1142"/>
    </row>
    <row r="65" spans="1:29" ht="15.75" thickTop="1">
      <c r="A65" s="534"/>
      <c r="B65" s="538" t="s">
        <v>2603</v>
      </c>
      <c r="C65" s="578" t="s">
        <v>2597</v>
      </c>
      <c r="D65" s="578" t="s">
        <v>2598</v>
      </c>
      <c r="E65" s="578" t="s">
        <v>2599</v>
      </c>
      <c r="F65" s="578" t="s">
        <v>2600</v>
      </c>
      <c r="G65" s="578" t="s">
        <v>2601</v>
      </c>
      <c r="H65" s="539"/>
      <c r="I65" s="539"/>
      <c r="J65" s="539"/>
      <c r="K65" s="540"/>
      <c r="L65" s="541"/>
      <c r="M65" s="542"/>
      <c r="N65" s="1150"/>
      <c r="O65" s="1150"/>
      <c r="P65" s="1427"/>
      <c r="Q65" s="1421"/>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27"/>
      <c r="Q66" s="1421"/>
      <c r="R66" s="1142"/>
      <c r="S66" s="1142"/>
      <c r="T66" s="1142"/>
      <c r="U66" s="1142"/>
      <c r="V66" s="1142"/>
      <c r="W66" s="1142"/>
      <c r="X66" s="1142"/>
      <c r="Y66" s="1142"/>
      <c r="Z66" s="1142"/>
      <c r="AA66" s="1142"/>
      <c r="AB66" s="1142"/>
      <c r="AC66" s="1142"/>
    </row>
    <row r="67" spans="1:29" ht="15.75" thickTop="1">
      <c r="A67" s="534"/>
      <c r="B67" s="546" t="s">
        <v>2689</v>
      </c>
      <c r="C67" s="660" t="s">
        <v>2675</v>
      </c>
      <c r="D67" s="660" t="s">
        <v>2676</v>
      </c>
      <c r="E67" s="660" t="s">
        <v>2677</v>
      </c>
      <c r="F67" s="660" t="s">
        <v>2678</v>
      </c>
      <c r="G67" s="660" t="s">
        <v>2679</v>
      </c>
      <c r="H67" s="539"/>
      <c r="I67" s="539"/>
      <c r="J67" s="539"/>
      <c r="K67" s="539"/>
      <c r="L67" s="539"/>
      <c r="M67" s="1380"/>
      <c r="N67" s="1151"/>
      <c r="O67" s="1151"/>
      <c r="P67" s="1427"/>
      <c r="Q67" s="1421"/>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27"/>
      <c r="Q68" s="1421"/>
      <c r="R68" s="1142"/>
      <c r="S68" s="1142"/>
      <c r="T68" s="1142"/>
      <c r="U68" s="1142"/>
      <c r="V68" s="1142"/>
      <c r="W68" s="1142"/>
      <c r="X68" s="1142"/>
      <c r="Y68" s="1142"/>
      <c r="Z68" s="1142"/>
      <c r="AA68" s="1142"/>
      <c r="AB68" s="1142"/>
      <c r="AC68" s="1142"/>
    </row>
    <row r="69" spans="1:29" ht="15.75" thickTop="1">
      <c r="A69" s="534"/>
      <c r="B69" s="538" t="s">
        <v>2609</v>
      </c>
      <c r="C69" s="578" t="s">
        <v>2597</v>
      </c>
      <c r="D69" s="578" t="s">
        <v>2598</v>
      </c>
      <c r="E69" s="578" t="s">
        <v>2599</v>
      </c>
      <c r="F69" s="578" t="s">
        <v>2600</v>
      </c>
      <c r="G69" s="578" t="s">
        <v>2601</v>
      </c>
      <c r="H69" s="539"/>
      <c r="I69" s="539"/>
      <c r="J69" s="539"/>
      <c r="K69" s="540"/>
      <c r="L69" s="541"/>
      <c r="M69" s="542"/>
      <c r="N69" s="1150"/>
      <c r="O69" s="1150"/>
      <c r="P69" s="1427"/>
      <c r="Q69" s="1421"/>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27"/>
      <c r="Q70" s="1421"/>
      <c r="R70" s="1142"/>
      <c r="S70" s="1142"/>
      <c r="T70" s="1142"/>
      <c r="U70" s="1142"/>
      <c r="V70" s="1142"/>
      <c r="W70" s="1142"/>
      <c r="X70" s="1142"/>
      <c r="Y70" s="1142"/>
      <c r="Z70" s="1142"/>
      <c r="AA70" s="1142"/>
      <c r="AB70" s="1142"/>
      <c r="AC70" s="1142"/>
    </row>
    <row r="71" spans="1:29" ht="15.75" thickTop="1">
      <c r="A71" s="534"/>
      <c r="B71" s="538" t="s">
        <v>2729</v>
      </c>
      <c r="C71" s="554"/>
      <c r="D71" s="554"/>
      <c r="E71" s="554"/>
      <c r="F71" s="554"/>
      <c r="G71" s="554"/>
      <c r="H71" s="583"/>
      <c r="I71" s="583"/>
      <c r="J71" s="583"/>
      <c r="K71" s="584"/>
      <c r="L71" s="585"/>
      <c r="M71" s="586"/>
      <c r="N71" s="1150"/>
      <c r="O71" s="1150"/>
      <c r="P71" s="1427"/>
      <c r="Q71" s="1421"/>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27"/>
      <c r="Q72" s="1421"/>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1"/>
      <c r="O74" s="1151"/>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49"/>
      <c r="O75" s="1149"/>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1"/>
      <c r="O76" s="1151"/>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2"/>
      <c r="O77" s="1152"/>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2"/>
      <c r="O78" s="1152"/>
      <c r="P78" s="1428"/>
      <c r="Q78" s="1429"/>
      <c r="R78" s="1430"/>
      <c r="S78" s="1430"/>
      <c r="T78" s="1430"/>
      <c r="U78" s="1430"/>
      <c r="V78" s="1430"/>
      <c r="W78" s="1430"/>
      <c r="X78" s="1430"/>
      <c r="Y78" s="1430"/>
      <c r="Z78" s="1430"/>
      <c r="AA78" s="1430"/>
      <c r="AB78" s="1430"/>
      <c r="AC78" s="1430"/>
    </row>
    <row r="79" spans="1:29" ht="27.75" thickTop="1">
      <c r="A79" s="527" t="s">
        <v>2563</v>
      </c>
      <c r="B79" s="528" t="s">
        <v>2730</v>
      </c>
      <c r="C79" s="529">
        <f>C26</f>
        <v>0</v>
      </c>
      <c r="D79" s="530"/>
      <c r="E79" s="530"/>
      <c r="F79" s="530"/>
      <c r="G79" s="530"/>
      <c r="H79" s="530"/>
      <c r="I79" s="530"/>
      <c r="J79" s="530"/>
      <c r="K79" s="531"/>
      <c r="L79" s="532"/>
      <c r="M79" s="533"/>
      <c r="N79" s="1150"/>
      <c r="O79" s="1150"/>
      <c r="P79" s="1427"/>
      <c r="Q79" s="1421"/>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4"/>
      <c r="B81" s="538" t="s">
        <v>2731</v>
      </c>
      <c r="C81" s="661"/>
      <c r="D81" s="661"/>
      <c r="E81" s="661"/>
      <c r="F81" s="661"/>
      <c r="G81" s="661"/>
      <c r="H81" s="661"/>
      <c r="I81" s="661"/>
      <c r="J81" s="661"/>
      <c r="K81" s="662"/>
      <c r="L81" s="663"/>
      <c r="M81" s="664"/>
      <c r="N81" s="1149"/>
      <c r="O81" s="1149"/>
      <c r="P81" s="1427"/>
      <c r="Q81" s="1421"/>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8"/>
      <c r="Q82" s="1429"/>
      <c r="R82" s="1430"/>
      <c r="S82" s="1430"/>
      <c r="T82" s="1430"/>
      <c r="U82" s="1430"/>
      <c r="V82" s="1430"/>
      <c r="W82" s="1430"/>
      <c r="X82" s="1430"/>
      <c r="Y82" s="1430"/>
      <c r="Z82" s="1430"/>
      <c r="AA82" s="1430"/>
      <c r="AB82" s="1430"/>
      <c r="AC82" s="1430"/>
    </row>
    <row r="83" spans="1:29" ht="15" thickTop="1">
      <c r="A83" s="599"/>
      <c r="B83" s="538" t="s">
        <v>2616</v>
      </c>
      <c r="C83" s="554"/>
      <c r="D83" s="554"/>
      <c r="E83" s="583"/>
      <c r="F83" s="583"/>
      <c r="G83" s="583"/>
      <c r="H83" s="583"/>
      <c r="I83" s="583"/>
      <c r="J83" s="583"/>
      <c r="K83" s="584"/>
      <c r="L83" s="585"/>
      <c r="M83" s="586"/>
      <c r="N83" s="1150"/>
      <c r="O83" s="1150"/>
      <c r="P83" s="1427"/>
      <c r="Q83" s="1421"/>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27"/>
      <c r="Q85" s="1421"/>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27"/>
      <c r="Q86" s="1421"/>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9"/>
      <c r="B88" s="546" t="s">
        <v>2733</v>
      </c>
      <c r="C88" s="530"/>
      <c r="D88" s="530"/>
      <c r="E88" s="530"/>
      <c r="F88" s="530"/>
      <c r="G88" s="530"/>
      <c r="H88" s="530"/>
      <c r="I88" s="530"/>
      <c r="J88" s="530"/>
      <c r="K88" s="531"/>
      <c r="L88" s="532"/>
      <c r="M88" s="533"/>
      <c r="N88" s="1150"/>
      <c r="O88" s="1150"/>
      <c r="P88" s="1427"/>
      <c r="Q88" s="1421"/>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27"/>
      <c r="Q89" s="1421"/>
      <c r="R89" s="1142"/>
      <c r="S89" s="1142"/>
      <c r="T89" s="1142"/>
      <c r="U89" s="1142"/>
      <c r="V89" s="1142"/>
      <c r="W89" s="1142"/>
      <c r="X89" s="1142"/>
      <c r="Y89" s="1142"/>
      <c r="Z89" s="1142"/>
      <c r="AA89" s="1142"/>
      <c r="AB89" s="1142"/>
      <c r="AC89" s="1142"/>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2"/>
      <c r="O91" s="1152"/>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2"/>
      <c r="O92" s="1152"/>
      <c r="P92" s="1428"/>
      <c r="Q92" s="1429"/>
      <c r="R92" s="1430"/>
      <c r="S92" s="1430"/>
      <c r="T92" s="1430"/>
      <c r="U92" s="1430"/>
      <c r="V92" s="1430"/>
      <c r="W92" s="1430"/>
      <c r="X92" s="1430"/>
      <c r="Y92" s="1430"/>
      <c r="Z92" s="1430"/>
      <c r="AA92" s="1430"/>
      <c r="AB92" s="1430"/>
      <c r="AC92" s="1430"/>
    </row>
    <row r="93" spans="1:29" ht="15" thickTop="1">
      <c r="A93" s="599"/>
      <c r="B93" s="538" t="s">
        <v>2735</v>
      </c>
      <c r="C93" s="554"/>
      <c r="D93" s="554"/>
      <c r="E93" s="583"/>
      <c r="F93" s="583"/>
      <c r="G93" s="583"/>
      <c r="H93" s="583"/>
      <c r="I93" s="583"/>
      <c r="J93" s="583"/>
      <c r="K93" s="584"/>
      <c r="L93" s="585"/>
      <c r="M93" s="586"/>
      <c r="N93" s="1150"/>
      <c r="O93" s="1150"/>
      <c r="P93" s="1427"/>
      <c r="Q93" s="1421"/>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9"/>
      <c r="B95" s="538" t="s">
        <v>2736</v>
      </c>
      <c r="C95" s="530"/>
      <c r="D95" s="530"/>
      <c r="E95" s="530"/>
      <c r="F95" s="530"/>
      <c r="G95" s="530"/>
      <c r="H95" s="530"/>
      <c r="I95" s="530"/>
      <c r="J95" s="530"/>
      <c r="K95" s="531"/>
      <c r="L95" s="532"/>
      <c r="M95" s="533"/>
      <c r="N95" s="1150"/>
      <c r="O95" s="1150"/>
      <c r="P95" s="1427"/>
      <c r="Q95" s="1421"/>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27"/>
      <c r="Q96" s="1421"/>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34"/>
      <c r="Q97" s="1435"/>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27"/>
      <c r="Q98" s="1421"/>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2"/>
      <c r="O100" s="1152"/>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0"/>
      <c r="O101" s="1150"/>
      <c r="P101" s="1427"/>
      <c r="Q101" s="1421"/>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IF(C2="——",ROUND(C37*D3/10000,0),ROUND(C37*D3/10000,0)-D2)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IF(C2="——",C37,ROUND(B2*10000/D3,0))</f>
        <v>#DIV/0!</v>
      </c>
      <c r="C3" s="400" t="s">
        <v>2644</v>
      </c>
      <c r="D3" s="399">
        <f>SUMIF('数据-汇总表'!$C19:$C33,D1,'数据-汇总表'!$E19:$E33)</f>
        <v>0</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SUMIF(46:46,YEAR(E7)&amp;"-"&amp;MONTH(E7),47:47)</f>
        <v>0</v>
      </c>
      <c r="G7" s="2692"/>
      <c r="H7" s="411">
        <f>SUMIF(46:46,YEAR(G7)&amp;"-"&amp;MONTH(G7),47:47)</f>
        <v>0</v>
      </c>
      <c r="I7" s="412"/>
      <c r="J7" s="411">
        <f>SUMIF(46:46,YEAR(I7)&amp;"-"&amp;MONTH(I7),47:47)</f>
        <v>0</v>
      </c>
      <c r="K7" s="611"/>
      <c r="L7" s="1130"/>
      <c r="M7" s="1131"/>
      <c r="N7" s="1131"/>
      <c r="O7" s="1131"/>
      <c r="P7" s="3253" t="s">
        <v>2549</v>
      </c>
      <c r="Q7" s="3255"/>
      <c r="R7" s="769" t="s">
        <v>17</v>
      </c>
      <c r="S7" s="770">
        <f t="shared" ref="S7:S14" si="0">F7</f>
        <v>0</v>
      </c>
      <c r="T7" s="769" t="s">
        <v>17</v>
      </c>
      <c r="U7" s="770">
        <f t="shared" ref="U7:U14" si="1">H7</f>
        <v>0</v>
      </c>
      <c r="V7" s="769" t="s">
        <v>17</v>
      </c>
      <c r="W7" s="770">
        <f t="shared" ref="W7:W14" si="2">J7</f>
        <v>0</v>
      </c>
      <c r="X7" s="771"/>
      <c r="Y7" s="3253" t="s">
        <v>2549</v>
      </c>
      <c r="Z7" s="3254"/>
      <c r="AA7" s="772" t="e">
        <f>D7/F7</f>
        <v>#DIV/0!</v>
      </c>
      <c r="AB7" s="772" t="e">
        <f>D7/H7</f>
        <v>#DIV/0!</v>
      </c>
      <c r="AC7" s="772"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34" si="3">D8/F8</f>
        <v>#DIV/0!</v>
      </c>
      <c r="AB8" s="772" t="e">
        <f t="shared" ref="AB8:AB34" si="4">D8/H8</f>
        <v>#DIV/0!</v>
      </c>
      <c r="AC8" s="772"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224" t="s">
        <v>2555</v>
      </c>
      <c r="Q9" s="1793" t="str">
        <f t="shared" ref="Q9:Q14" si="6">B9</f>
        <v>用途</v>
      </c>
      <c r="R9" s="769" t="s">
        <v>17</v>
      </c>
      <c r="S9" s="770">
        <f t="shared" si="0"/>
        <v>100</v>
      </c>
      <c r="T9" s="769" t="s">
        <v>17</v>
      </c>
      <c r="U9" s="770">
        <f t="shared" si="1"/>
        <v>100</v>
      </c>
      <c r="V9" s="769" t="s">
        <v>17</v>
      </c>
      <c r="W9" s="770">
        <f t="shared" si="2"/>
        <v>100</v>
      </c>
      <c r="X9" s="771"/>
      <c r="Y9" s="3072" t="s">
        <v>2556</v>
      </c>
      <c r="Z9" s="55" t="str">
        <f t="shared" ref="Z9:Z14" si="7">Q9</f>
        <v>用途</v>
      </c>
      <c r="AA9" s="772">
        <f t="shared" si="3"/>
        <v>1</v>
      </c>
      <c r="AB9" s="772">
        <f t="shared" si="4"/>
        <v>1</v>
      </c>
      <c r="AC9" s="772">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2596">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224"/>
      <c r="Q11" s="1793">
        <f t="shared" si="6"/>
        <v>111</v>
      </c>
      <c r="R11" s="769" t="s">
        <v>17</v>
      </c>
      <c r="S11" s="770">
        <f t="shared" si="0"/>
        <v>100</v>
      </c>
      <c r="T11" s="769" t="s">
        <v>17</v>
      </c>
      <c r="U11" s="770">
        <f t="shared" si="1"/>
        <v>100</v>
      </c>
      <c r="V11" s="769" t="s">
        <v>17</v>
      </c>
      <c r="W11" s="770">
        <f t="shared" si="2"/>
        <v>100</v>
      </c>
      <c r="X11" s="771"/>
      <c r="Y11" s="3072"/>
      <c r="Z11" s="55">
        <f t="shared" si="7"/>
        <v>111</v>
      </c>
      <c r="AA11" s="772">
        <f t="shared" si="3"/>
        <v>1</v>
      </c>
      <c r="AB11" s="772">
        <f t="shared" si="4"/>
        <v>1</v>
      </c>
      <c r="AC11" s="772">
        <f t="shared" si="5"/>
        <v>1</v>
      </c>
    </row>
    <row r="12" spans="1:29" s="117" customFormat="1" ht="15">
      <c r="A12" s="431"/>
      <c r="B12" s="2596">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75" thickBot="1">
      <c r="A13" s="428"/>
      <c r="B13" s="2596">
        <v>111</v>
      </c>
      <c r="C13" s="434"/>
      <c r="D13" s="435">
        <v>100</v>
      </c>
      <c r="E13" s="469"/>
      <c r="F13" s="425">
        <f>SUMIF(59:59,E13,60:60)-SUMIF(59:59,C13,60:60)+100</f>
        <v>100</v>
      </c>
      <c r="G13" s="2693"/>
      <c r="H13" s="438">
        <f>SUMIF(59:59,G13,60:60)-SUMIF(59:59,C13,60:60)+100</f>
        <v>100</v>
      </c>
      <c r="I13" s="469"/>
      <c r="J13" s="435">
        <f>SUMIF(59:59,I13,60:60)-SUMIF(59:59,C13,60:60)+100</f>
        <v>100</v>
      </c>
      <c r="K13" s="613"/>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85.5">
      <c r="A14" s="440" t="s">
        <v>2559</v>
      </c>
      <c r="B14" s="69" t="s">
        <v>2709</v>
      </c>
      <c r="C14" s="2689"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226" t="s">
        <v>2560</v>
      </c>
      <c r="Q14" s="1808" t="str">
        <f t="shared" si="6"/>
        <v>交通便捷度</v>
      </c>
      <c r="R14" s="773" t="s">
        <v>17</v>
      </c>
      <c r="S14" s="774">
        <f t="shared" si="0"/>
        <v>100</v>
      </c>
      <c r="T14" s="773" t="s">
        <v>17</v>
      </c>
      <c r="U14" s="774">
        <f t="shared" si="1"/>
        <v>100</v>
      </c>
      <c r="V14" s="773" t="s">
        <v>17</v>
      </c>
      <c r="W14" s="774">
        <f t="shared" si="2"/>
        <v>100</v>
      </c>
      <c r="X14" s="1811"/>
      <c r="Y14" s="3226" t="s">
        <v>2560</v>
      </c>
      <c r="Z14" s="1812" t="str">
        <f t="shared" si="7"/>
        <v>交通便捷度</v>
      </c>
      <c r="AA14" s="1809">
        <f t="shared" si="3"/>
        <v>1</v>
      </c>
      <c r="AB14" s="1809">
        <f t="shared" si="4"/>
        <v>1</v>
      </c>
      <c r="AC14" s="1809">
        <f t="shared" si="5"/>
        <v>1</v>
      </c>
    </row>
    <row r="15" spans="1:29" ht="15">
      <c r="A15" s="428"/>
      <c r="B15" s="446"/>
      <c r="C15" s="447"/>
      <c r="D15" s="448"/>
      <c r="E15" s="447"/>
      <c r="F15" s="449"/>
      <c r="G15" s="447"/>
      <c r="H15" s="450"/>
      <c r="I15" s="447"/>
      <c r="J15" s="448"/>
      <c r="K15" s="615"/>
      <c r="L15" s="1138"/>
      <c r="M15" s="1129"/>
      <c r="N15" s="1129"/>
      <c r="O15" s="1137"/>
      <c r="P15" s="3227"/>
      <c r="Q15" s="1808"/>
      <c r="R15" s="773"/>
      <c r="S15" s="774"/>
      <c r="T15" s="773"/>
      <c r="U15" s="774"/>
      <c r="V15" s="773"/>
      <c r="W15" s="774"/>
      <c r="X15" s="1811"/>
      <c r="Y15" s="3227"/>
      <c r="Z15" s="1812"/>
      <c r="AA15" s="1809">
        <v>1</v>
      </c>
      <c r="AB15" s="1809">
        <v>1</v>
      </c>
      <c r="AC15" s="1809">
        <v>1</v>
      </c>
    </row>
    <row r="16" spans="1:29" ht="42.75">
      <c r="A16" s="428"/>
      <c r="B16" s="451" t="s">
        <v>2688</v>
      </c>
      <c r="C16" s="2603"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227"/>
      <c r="Q16" s="1808" t="str">
        <f>B16</f>
        <v>公共配套设施</v>
      </c>
      <c r="R16" s="773" t="s">
        <v>17</v>
      </c>
      <c r="S16" s="774">
        <f>F16</f>
        <v>100</v>
      </c>
      <c r="T16" s="773" t="s">
        <v>17</v>
      </c>
      <c r="U16" s="774">
        <f>H16</f>
        <v>100</v>
      </c>
      <c r="V16" s="773" t="s">
        <v>17</v>
      </c>
      <c r="W16" s="774">
        <f>J16</f>
        <v>100</v>
      </c>
      <c r="X16" s="1811"/>
      <c r="Y16" s="3227"/>
      <c r="Z16" s="1812" t="str">
        <f>Q16</f>
        <v>公共配套设施</v>
      </c>
      <c r="AA16" s="1809">
        <f t="shared" si="3"/>
        <v>1</v>
      </c>
      <c r="AB16" s="1809">
        <f t="shared" si="4"/>
        <v>1</v>
      </c>
      <c r="AC16" s="1809">
        <f t="shared" si="5"/>
        <v>1</v>
      </c>
    </row>
    <row r="17" spans="1:29" ht="15">
      <c r="A17" s="428"/>
      <c r="B17" s="456"/>
      <c r="C17" s="2604"/>
      <c r="D17" s="448"/>
      <c r="E17" s="447"/>
      <c r="F17" s="449"/>
      <c r="G17" s="447"/>
      <c r="H17" s="448"/>
      <c r="I17" s="447"/>
      <c r="J17" s="448"/>
      <c r="K17" s="615"/>
      <c r="L17" s="1138"/>
      <c r="M17" s="1129"/>
      <c r="N17" s="1129"/>
      <c r="O17" s="1137"/>
      <c r="P17" s="3227"/>
      <c r="Q17" s="1808"/>
      <c r="R17" s="773"/>
      <c r="S17" s="774"/>
      <c r="T17" s="773"/>
      <c r="U17" s="774"/>
      <c r="V17" s="773"/>
      <c r="W17" s="774"/>
      <c r="X17" s="1811"/>
      <c r="Y17" s="3227"/>
      <c r="Z17" s="1812"/>
      <c r="AA17" s="1809">
        <v>1</v>
      </c>
      <c r="AB17" s="1809">
        <v>1</v>
      </c>
      <c r="AC17" s="1809">
        <v>1</v>
      </c>
    </row>
    <row r="18" spans="1:29" ht="28.5">
      <c r="A18" s="428"/>
      <c r="B18" s="1382" t="s">
        <v>2689</v>
      </c>
      <c r="C18" s="2603"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227"/>
      <c r="Q18" s="1808" t="str">
        <f>B18</f>
        <v>基础设施水平</v>
      </c>
      <c r="R18" s="773" t="s">
        <v>17</v>
      </c>
      <c r="S18" s="774">
        <f>F18</f>
        <v>100</v>
      </c>
      <c r="T18" s="773" t="s">
        <v>17</v>
      </c>
      <c r="U18" s="774">
        <f>H18</f>
        <v>100</v>
      </c>
      <c r="V18" s="773" t="s">
        <v>17</v>
      </c>
      <c r="W18" s="774">
        <f>J18</f>
        <v>100</v>
      </c>
      <c r="X18" s="1811"/>
      <c r="Y18" s="3227"/>
      <c r="Z18" s="1812" t="str">
        <f>Q18</f>
        <v>基础设施水平</v>
      </c>
      <c r="AA18" s="1809">
        <f t="shared" ref="AA18" si="8">D18/F18</f>
        <v>1</v>
      </c>
      <c r="AB18" s="1809">
        <f t="shared" ref="AB18" si="9">D18/H18</f>
        <v>1</v>
      </c>
      <c r="AC18" s="1809">
        <f t="shared" ref="AC18" si="10">D18/J18</f>
        <v>1</v>
      </c>
    </row>
    <row r="19" spans="1:29" ht="15">
      <c r="A19" s="428"/>
      <c r="B19" s="1382"/>
      <c r="C19" s="2604"/>
      <c r="D19" s="450"/>
      <c r="E19" s="2604"/>
      <c r="F19" s="453"/>
      <c r="G19" s="2604"/>
      <c r="H19" s="448"/>
      <c r="I19" s="447"/>
      <c r="J19" s="448"/>
      <c r="K19" s="1381"/>
      <c r="L19" s="1138"/>
      <c r="M19" s="1129"/>
      <c r="N19" s="1129"/>
      <c r="O19" s="1137"/>
      <c r="P19" s="3227"/>
      <c r="Q19" s="1808"/>
      <c r="R19" s="773"/>
      <c r="S19" s="774"/>
      <c r="T19" s="773"/>
      <c r="U19" s="774"/>
      <c r="V19" s="773"/>
      <c r="W19" s="774"/>
      <c r="X19" s="1811"/>
      <c r="Y19" s="3227"/>
      <c r="Z19" s="1812"/>
      <c r="AA19" s="1809">
        <v>1</v>
      </c>
      <c r="AB19" s="1809">
        <v>1</v>
      </c>
      <c r="AC19" s="1809">
        <v>1</v>
      </c>
    </row>
    <row r="20" spans="1:29" ht="57">
      <c r="A20" s="428"/>
      <c r="B20" s="451" t="s">
        <v>2710</v>
      </c>
      <c r="C20" s="2603"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227"/>
      <c r="Q20" s="1808" t="str">
        <f>B20</f>
        <v>自然及人文环境</v>
      </c>
      <c r="R20" s="773" t="s">
        <v>17</v>
      </c>
      <c r="S20" s="774">
        <f>F20</f>
        <v>100</v>
      </c>
      <c r="T20" s="773" t="s">
        <v>17</v>
      </c>
      <c r="U20" s="774">
        <f>H20</f>
        <v>100</v>
      </c>
      <c r="V20" s="773" t="s">
        <v>17</v>
      </c>
      <c r="W20" s="774">
        <f>J20</f>
        <v>100</v>
      </c>
      <c r="X20" s="1811"/>
      <c r="Y20" s="3227"/>
      <c r="Z20" s="1812" t="str">
        <f>Q20</f>
        <v>自然及人文环境</v>
      </c>
      <c r="AA20" s="1809">
        <f t="shared" si="3"/>
        <v>1</v>
      </c>
      <c r="AB20" s="1809">
        <f t="shared" si="4"/>
        <v>1</v>
      </c>
      <c r="AC20" s="1809">
        <f t="shared" si="5"/>
        <v>1</v>
      </c>
    </row>
    <row r="21" spans="1:29" ht="15">
      <c r="A21" s="428"/>
      <c r="B21" s="456"/>
      <c r="C21" s="447"/>
      <c r="D21" s="448"/>
      <c r="E21" s="447"/>
      <c r="F21" s="449"/>
      <c r="G21" s="447"/>
      <c r="H21" s="448"/>
      <c r="I21" s="447"/>
      <c r="J21" s="448"/>
      <c r="K21" s="615"/>
      <c r="L21" s="1138"/>
      <c r="M21" s="1129"/>
      <c r="N21" s="1129"/>
      <c r="O21" s="1137"/>
      <c r="P21" s="3227"/>
      <c r="Q21" s="1808"/>
      <c r="R21" s="773"/>
      <c r="S21" s="774"/>
      <c r="T21" s="773"/>
      <c r="U21" s="774"/>
      <c r="V21" s="773"/>
      <c r="W21" s="774"/>
      <c r="X21" s="1811"/>
      <c r="Y21" s="3227"/>
      <c r="Z21" s="1812"/>
      <c r="AA21" s="1809">
        <v>1</v>
      </c>
      <c r="AB21" s="1809">
        <v>1</v>
      </c>
      <c r="AC21" s="1809">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227"/>
      <c r="Q22" s="1808" t="str">
        <f>B22</f>
        <v>楼层</v>
      </c>
      <c r="R22" s="773" t="s">
        <v>17</v>
      </c>
      <c r="S22" s="774">
        <f>F22</f>
        <v>100</v>
      </c>
      <c r="T22" s="773" t="s">
        <v>17</v>
      </c>
      <c r="U22" s="774">
        <f>H22</f>
        <v>100</v>
      </c>
      <c r="V22" s="773" t="s">
        <v>17</v>
      </c>
      <c r="W22" s="774">
        <f>J22</f>
        <v>100</v>
      </c>
      <c r="X22" s="1811"/>
      <c r="Y22" s="3227"/>
      <c r="Z22" s="1812" t="str">
        <f>Q22</f>
        <v>楼层</v>
      </c>
      <c r="AA22" s="1809">
        <f t="shared" si="3"/>
        <v>1</v>
      </c>
      <c r="AB22" s="1809">
        <f t="shared" si="4"/>
        <v>1</v>
      </c>
      <c r="AC22" s="1809">
        <f t="shared" si="5"/>
        <v>1</v>
      </c>
    </row>
    <row r="23" spans="1:29" ht="15">
      <c r="A23" s="404"/>
      <c r="B23" s="2596">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227"/>
      <c r="Q23" s="1808">
        <f>B23</f>
        <v>111</v>
      </c>
      <c r="R23" s="773" t="s">
        <v>17</v>
      </c>
      <c r="S23" s="774">
        <f>F23</f>
        <v>100</v>
      </c>
      <c r="T23" s="773" t="s">
        <v>17</v>
      </c>
      <c r="U23" s="774">
        <f>H23</f>
        <v>100</v>
      </c>
      <c r="V23" s="773" t="s">
        <v>17</v>
      </c>
      <c r="W23" s="774">
        <f>J23</f>
        <v>100</v>
      </c>
      <c r="X23" s="1811"/>
      <c r="Y23" s="3227"/>
      <c r="Z23" s="1812">
        <f>Q23</f>
        <v>111</v>
      </c>
      <c r="AA23" s="1809">
        <f t="shared" si="3"/>
        <v>1</v>
      </c>
      <c r="AB23" s="1809">
        <f t="shared" si="4"/>
        <v>1</v>
      </c>
      <c r="AC23" s="1809">
        <f t="shared" si="5"/>
        <v>1</v>
      </c>
    </row>
    <row r="24" spans="1:29" ht="15">
      <c r="A24" s="428"/>
      <c r="B24" s="2596">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227"/>
      <c r="Q24" s="1808">
        <f t="shared" ref="Q24:Q34" si="11">B24</f>
        <v>111</v>
      </c>
      <c r="R24" s="773" t="s">
        <v>17</v>
      </c>
      <c r="S24" s="774">
        <f>F24</f>
        <v>100</v>
      </c>
      <c r="T24" s="773" t="s">
        <v>17</v>
      </c>
      <c r="U24" s="774">
        <f>H24</f>
        <v>100</v>
      </c>
      <c r="V24" s="773" t="s">
        <v>17</v>
      </c>
      <c r="W24" s="774">
        <f>J24</f>
        <v>100</v>
      </c>
      <c r="X24" s="1811"/>
      <c r="Y24" s="3227"/>
      <c r="Z24" s="1812">
        <f>Q24</f>
        <v>111</v>
      </c>
      <c r="AA24" s="1809">
        <f t="shared" si="3"/>
        <v>1</v>
      </c>
      <c r="AB24" s="1809">
        <f t="shared" si="4"/>
        <v>1</v>
      </c>
      <c r="AC24" s="1809">
        <f t="shared" si="5"/>
        <v>1</v>
      </c>
    </row>
    <row r="25" spans="1:29" s="117" customFormat="1" ht="15.75" thickBot="1">
      <c r="A25" s="431"/>
      <c r="B25" s="2596">
        <v>111</v>
      </c>
      <c r="C25" s="2694"/>
      <c r="D25" s="665">
        <v>100</v>
      </c>
      <c r="E25" s="2694"/>
      <c r="F25" s="666">
        <f>SUMIF(75:75,E25,76:76)-SUMIF(75:75,C25,76:76)+100</f>
        <v>100</v>
      </c>
      <c r="G25" s="2694"/>
      <c r="H25" s="665">
        <f>SUMIF(75:75,G25,76:76)-SUMIF(75:75,C25,76:76)+100</f>
        <v>100</v>
      </c>
      <c r="I25" s="2694"/>
      <c r="J25" s="665">
        <f>SUMIF(75:75,I25,76:76)-SUMIF(75:75,C25,76:76)+100</f>
        <v>100</v>
      </c>
      <c r="K25" s="613"/>
      <c r="L25" s="1130"/>
      <c r="M25" s="1131"/>
      <c r="N25" s="1131"/>
      <c r="O25" s="1132"/>
      <c r="P25" s="3227"/>
      <c r="Q25" s="1793">
        <f t="shared" si="11"/>
        <v>111</v>
      </c>
      <c r="R25" s="769" t="s">
        <v>17</v>
      </c>
      <c r="S25" s="770">
        <f>F25</f>
        <v>100</v>
      </c>
      <c r="T25" s="769" t="s">
        <v>17</v>
      </c>
      <c r="U25" s="770">
        <f>H25</f>
        <v>100</v>
      </c>
      <c r="V25" s="769" t="s">
        <v>17</v>
      </c>
      <c r="W25" s="770">
        <f>J25</f>
        <v>100</v>
      </c>
      <c r="X25" s="771"/>
      <c r="Y25" s="3227"/>
      <c r="Z25" s="55">
        <f>Q25</f>
        <v>111</v>
      </c>
      <c r="AA25" s="1809">
        <f>D25/F25</f>
        <v>1</v>
      </c>
      <c r="AB25" s="1809">
        <f>D25/H25</f>
        <v>1</v>
      </c>
      <c r="AC25" s="1809">
        <f>D25/J25</f>
        <v>1</v>
      </c>
    </row>
    <row r="26" spans="1:29" ht="28.5">
      <c r="A26" s="466" t="s">
        <v>2563</v>
      </c>
      <c r="B26" s="71" t="s">
        <v>2714</v>
      </c>
      <c r="C26" s="2675"/>
      <c r="D26" s="467">
        <v>100</v>
      </c>
      <c r="E26" s="2675"/>
      <c r="F26" s="667">
        <f>SUMIF(77:77,E26,78:78)-SUMIF(77:77,C26,78:78)+100</f>
        <v>100</v>
      </c>
      <c r="G26" s="2675"/>
      <c r="H26" s="467">
        <f>SUMIF(77:77,G26,78:78)-SUMIF(77:77,C26,78:78)+100</f>
        <v>100</v>
      </c>
      <c r="I26" s="2675"/>
      <c r="J26" s="467">
        <f>SUMIF(77:77,I26,78:78)-SUMIF(77:77,C26,78:78)+100</f>
        <v>100</v>
      </c>
      <c r="K26" s="612"/>
      <c r="L26" s="1138"/>
      <c r="M26" s="1129"/>
      <c r="N26" s="1129"/>
      <c r="O26" s="1137"/>
      <c r="P26" s="3228" t="s">
        <v>2565</v>
      </c>
      <c r="Q26" s="1808" t="str">
        <f t="shared" si="11"/>
        <v>公共部分装修</v>
      </c>
      <c r="R26" s="773" t="s">
        <v>17</v>
      </c>
      <c r="S26" s="774">
        <f t="shared" ref="S26:S34" si="12">F26</f>
        <v>100</v>
      </c>
      <c r="T26" s="773" t="s">
        <v>17</v>
      </c>
      <c r="U26" s="774">
        <f t="shared" ref="U26:U34" si="13">H26</f>
        <v>100</v>
      </c>
      <c r="V26" s="773" t="s">
        <v>17</v>
      </c>
      <c r="W26" s="774">
        <f t="shared" ref="W26:W34" si="14">J26</f>
        <v>100</v>
      </c>
      <c r="X26" s="1811"/>
      <c r="Y26" s="3229" t="s">
        <v>2565</v>
      </c>
      <c r="Z26" s="1812" t="str">
        <f t="shared" ref="Z26:Z34" si="15">Q26</f>
        <v>公共部分装修</v>
      </c>
      <c r="AA26" s="1809">
        <f t="shared" si="3"/>
        <v>1</v>
      </c>
      <c r="AB26" s="1809">
        <f t="shared" si="4"/>
        <v>1</v>
      </c>
      <c r="AC26" s="1809">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229"/>
      <c r="Q27" s="775" t="str">
        <f t="shared" si="11"/>
        <v>成新率</v>
      </c>
      <c r="R27" s="776" t="s">
        <v>17</v>
      </c>
      <c r="S27" s="777" t="e">
        <f t="shared" si="12"/>
        <v>#N/A</v>
      </c>
      <c r="T27" s="776" t="s">
        <v>17</v>
      </c>
      <c r="U27" s="777" t="e">
        <f t="shared" si="13"/>
        <v>#N/A</v>
      </c>
      <c r="V27" s="776" t="s">
        <v>17</v>
      </c>
      <c r="W27" s="777" t="e">
        <f t="shared" si="14"/>
        <v>#N/A</v>
      </c>
      <c r="X27" s="778"/>
      <c r="Y27" s="3229"/>
      <c r="Z27" s="779" t="str">
        <f t="shared" si="15"/>
        <v>成新率</v>
      </c>
      <c r="AA27" s="1809" t="e">
        <f t="shared" si="3"/>
        <v>#N/A</v>
      </c>
      <c r="AB27" s="1809" t="e">
        <f t="shared" si="4"/>
        <v>#N/A</v>
      </c>
      <c r="AC27" s="1809"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229"/>
      <c r="Q28" s="1808" t="str">
        <f t="shared" si="11"/>
        <v>物业等级</v>
      </c>
      <c r="R28" s="773" t="s">
        <v>17</v>
      </c>
      <c r="S28" s="774">
        <f t="shared" si="12"/>
        <v>100</v>
      </c>
      <c r="T28" s="773" t="s">
        <v>17</v>
      </c>
      <c r="U28" s="774">
        <f t="shared" si="13"/>
        <v>100</v>
      </c>
      <c r="V28" s="773" t="s">
        <v>17</v>
      </c>
      <c r="W28" s="774">
        <f t="shared" si="14"/>
        <v>100</v>
      </c>
      <c r="X28" s="1811"/>
      <c r="Y28" s="3229"/>
      <c r="Z28" s="1812" t="str">
        <f t="shared" si="15"/>
        <v>物业等级</v>
      </c>
      <c r="AA28" s="1809">
        <f t="shared" si="3"/>
        <v>1</v>
      </c>
      <c r="AB28" s="1809">
        <f t="shared" si="4"/>
        <v>1</v>
      </c>
      <c r="AC28" s="1809">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229"/>
      <c r="Q29" s="1808" t="str">
        <f t="shared" si="11"/>
        <v>有无电梯</v>
      </c>
      <c r="R29" s="773" t="s">
        <v>17</v>
      </c>
      <c r="S29" s="774">
        <f t="shared" si="12"/>
        <v>100</v>
      </c>
      <c r="T29" s="773" t="s">
        <v>17</v>
      </c>
      <c r="U29" s="774">
        <f t="shared" si="13"/>
        <v>100</v>
      </c>
      <c r="V29" s="773" t="s">
        <v>17</v>
      </c>
      <c r="W29" s="774">
        <f t="shared" si="14"/>
        <v>100</v>
      </c>
      <c r="X29" s="1811"/>
      <c r="Y29" s="3229"/>
      <c r="Z29" s="1812" t="str">
        <f t="shared" si="15"/>
        <v>有无电梯</v>
      </c>
      <c r="AA29" s="1809">
        <f t="shared" si="3"/>
        <v>1</v>
      </c>
      <c r="AB29" s="1809">
        <f t="shared" si="4"/>
        <v>1</v>
      </c>
      <c r="AC29" s="1809">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229"/>
      <c r="Q30" s="1808" t="str">
        <f t="shared" si="11"/>
        <v>建筑面积</v>
      </c>
      <c r="R30" s="773" t="s">
        <v>17</v>
      </c>
      <c r="S30" s="774" t="e">
        <f t="shared" si="12"/>
        <v>#N/A</v>
      </c>
      <c r="T30" s="773" t="s">
        <v>17</v>
      </c>
      <c r="U30" s="774" t="e">
        <f t="shared" si="13"/>
        <v>#N/A</v>
      </c>
      <c r="V30" s="773" t="s">
        <v>17</v>
      </c>
      <c r="W30" s="774" t="e">
        <f t="shared" si="14"/>
        <v>#N/A</v>
      </c>
      <c r="X30" s="1811"/>
      <c r="Y30" s="3229"/>
      <c r="Z30" s="1812" t="str">
        <f t="shared" si="15"/>
        <v>建筑面积</v>
      </c>
      <c r="AA30" s="1809" t="e">
        <f t="shared" si="3"/>
        <v>#N/A</v>
      </c>
      <c r="AB30" s="1809" t="e">
        <f t="shared" si="4"/>
        <v>#N/A</v>
      </c>
      <c r="AC30" s="1809"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229"/>
      <c r="Q31" s="1793" t="str">
        <f t="shared" si="11"/>
        <v>是否封闭</v>
      </c>
      <c r="R31" s="769" t="s">
        <v>17</v>
      </c>
      <c r="S31" s="770">
        <f t="shared" si="12"/>
        <v>100</v>
      </c>
      <c r="T31" s="769" t="s">
        <v>17</v>
      </c>
      <c r="U31" s="770">
        <f t="shared" si="13"/>
        <v>100</v>
      </c>
      <c r="V31" s="769" t="s">
        <v>17</v>
      </c>
      <c r="W31" s="770">
        <f t="shared" si="14"/>
        <v>100</v>
      </c>
      <c r="X31" s="771"/>
      <c r="Y31" s="3229"/>
      <c r="Z31" s="55" t="str">
        <f t="shared" si="15"/>
        <v>是否封闭</v>
      </c>
      <c r="AA31" s="772">
        <f t="shared" si="3"/>
        <v>1</v>
      </c>
      <c r="AB31" s="772">
        <f t="shared" si="4"/>
        <v>1</v>
      </c>
      <c r="AC31" s="772">
        <f t="shared" si="5"/>
        <v>1</v>
      </c>
    </row>
    <row r="32" spans="1:29" ht="15">
      <c r="A32" s="472"/>
      <c r="B32" s="2596">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229" t="s">
        <v>2565</v>
      </c>
      <c r="Q32" s="1808">
        <f t="shared" si="11"/>
        <v>111</v>
      </c>
      <c r="R32" s="773" t="s">
        <v>17</v>
      </c>
      <c r="S32" s="774">
        <f t="shared" si="12"/>
        <v>100</v>
      </c>
      <c r="T32" s="773" t="s">
        <v>17</v>
      </c>
      <c r="U32" s="774">
        <f t="shared" si="13"/>
        <v>100</v>
      </c>
      <c r="V32" s="773" t="s">
        <v>17</v>
      </c>
      <c r="W32" s="774">
        <f t="shared" si="14"/>
        <v>100</v>
      </c>
      <c r="X32" s="1811"/>
      <c r="Y32" s="3229" t="s">
        <v>2565</v>
      </c>
      <c r="Z32" s="1812">
        <f t="shared" si="15"/>
        <v>111</v>
      </c>
      <c r="AA32" s="1809">
        <f t="shared" si="3"/>
        <v>1</v>
      </c>
      <c r="AB32" s="1809">
        <f t="shared" si="4"/>
        <v>1</v>
      </c>
      <c r="AC32" s="1809">
        <f t="shared" si="5"/>
        <v>1</v>
      </c>
    </row>
    <row r="33" spans="1:29" ht="15">
      <c r="A33" s="472"/>
      <c r="B33" s="2596">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229"/>
      <c r="Q33" s="1808">
        <f t="shared" si="11"/>
        <v>111</v>
      </c>
      <c r="R33" s="773" t="s">
        <v>17</v>
      </c>
      <c r="S33" s="774">
        <f t="shared" si="12"/>
        <v>100</v>
      </c>
      <c r="T33" s="773" t="s">
        <v>17</v>
      </c>
      <c r="U33" s="774">
        <f t="shared" si="13"/>
        <v>100</v>
      </c>
      <c r="V33" s="773" t="s">
        <v>17</v>
      </c>
      <c r="W33" s="774">
        <f t="shared" si="14"/>
        <v>100</v>
      </c>
      <c r="X33" s="1811"/>
      <c r="Y33" s="3229"/>
      <c r="Z33" s="1812">
        <f t="shared" si="15"/>
        <v>111</v>
      </c>
      <c r="AA33" s="1809">
        <f t="shared" si="3"/>
        <v>1</v>
      </c>
      <c r="AB33" s="1809">
        <f t="shared" si="4"/>
        <v>1</v>
      </c>
      <c r="AC33" s="1809">
        <f t="shared" si="5"/>
        <v>1</v>
      </c>
    </row>
    <row r="34" spans="1:29" ht="15.75" thickBot="1">
      <c r="A34" s="478"/>
      <c r="B34" s="2598">
        <v>111</v>
      </c>
      <c r="C34" s="437"/>
      <c r="D34" s="438">
        <v>100</v>
      </c>
      <c r="E34" s="2693"/>
      <c r="F34" s="439">
        <f>SUMIF(95:95,E34,96:96)-SUMIF(95:95,C34,96:96)+100</f>
        <v>100</v>
      </c>
      <c r="G34" s="2693"/>
      <c r="H34" s="438">
        <f>SUMIF(95:95,G34,96:96)-SUMIF(95:95,C34,96:96)+100</f>
        <v>100</v>
      </c>
      <c r="I34" s="2693"/>
      <c r="J34" s="438">
        <f>SUMIF(95:95,I34,96:96)-SUMIF(95:95,C34,96:96)+100</f>
        <v>100</v>
      </c>
      <c r="K34" s="613"/>
      <c r="L34" s="1138"/>
      <c r="M34" s="1129"/>
      <c r="N34" s="1129"/>
      <c r="O34" s="1137"/>
      <c r="P34" s="3229"/>
      <c r="Q34" s="1808">
        <f t="shared" si="11"/>
        <v>111</v>
      </c>
      <c r="R34" s="773" t="s">
        <v>17</v>
      </c>
      <c r="S34" s="774">
        <f t="shared" si="12"/>
        <v>100</v>
      </c>
      <c r="T34" s="773" t="s">
        <v>17</v>
      </c>
      <c r="U34" s="774">
        <f t="shared" si="13"/>
        <v>100</v>
      </c>
      <c r="V34" s="773" t="s">
        <v>17</v>
      </c>
      <c r="W34" s="774">
        <f t="shared" si="14"/>
        <v>100</v>
      </c>
      <c r="X34" s="1811"/>
      <c r="Y34" s="3229"/>
      <c r="Z34" s="1812">
        <f t="shared" si="15"/>
        <v>111</v>
      </c>
      <c r="AA34" s="1809">
        <f t="shared" si="3"/>
        <v>1</v>
      </c>
      <c r="AB34" s="1809">
        <f t="shared" si="4"/>
        <v>1</v>
      </c>
      <c r="AC34" s="1809">
        <f t="shared" si="5"/>
        <v>1</v>
      </c>
    </row>
    <row r="35" spans="1:29" ht="15">
      <c r="A35" s="479" t="s">
        <v>2577</v>
      </c>
      <c r="B35" s="480"/>
      <c r="C35" s="1405" t="s">
        <v>1</v>
      </c>
      <c r="D35" s="1406"/>
      <c r="E35" s="1407"/>
      <c r="F35" s="1408"/>
      <c r="G35" s="1409"/>
      <c r="H35" s="1410"/>
      <c r="I35" s="1407"/>
      <c r="J35" s="1410"/>
      <c r="K35" s="782"/>
      <c r="L35" s="1141"/>
      <c r="M35" s="1142"/>
      <c r="N35" s="1129"/>
      <c r="O35" s="1142"/>
      <c r="P35" s="3224" t="str">
        <f>A35</f>
        <v>成交单价（元/平方米）</v>
      </c>
      <c r="Q35" s="3224"/>
      <c r="R35" s="3288">
        <f>E35</f>
        <v>0</v>
      </c>
      <c r="S35" s="3288"/>
      <c r="T35" s="3288">
        <f>G35</f>
        <v>0</v>
      </c>
      <c r="U35" s="3288"/>
      <c r="V35" s="3288">
        <f>I35</f>
        <v>0</v>
      </c>
      <c r="W35" s="3288"/>
      <c r="X35" s="758"/>
      <c r="Y35" s="780"/>
      <c r="Z35" s="758"/>
      <c r="AA35" s="758"/>
      <c r="AB35" s="758"/>
      <c r="AC35" s="758"/>
    </row>
    <row r="36" spans="1:29" ht="15.75" thickBot="1">
      <c r="A36" s="486" t="s">
        <v>2669</v>
      </c>
      <c r="B36" s="487"/>
      <c r="C36" s="1411" t="e">
        <f>R37</f>
        <v>#DIV/0!</v>
      </c>
      <c r="D36" s="1412"/>
      <c r="E36" s="1413" t="e">
        <f>R36</f>
        <v>#DIV/0!</v>
      </c>
      <c r="F36" s="1413"/>
      <c r="G36" s="1411" t="e">
        <f>T36</f>
        <v>#DIV/0!</v>
      </c>
      <c r="H36" s="1412"/>
      <c r="I36" s="1413" t="e">
        <f>V36</f>
        <v>#DIV/0!</v>
      </c>
      <c r="J36" s="1412"/>
      <c r="K36" s="783"/>
      <c r="L36" s="1141"/>
      <c r="M36" s="1142"/>
      <c r="N36" s="1129"/>
      <c r="O36" s="1142"/>
      <c r="P36" s="3224" t="str">
        <f>A36</f>
        <v>比较价值（元/平方米）</v>
      </c>
      <c r="Q36" s="3224"/>
      <c r="R36" s="3288" t="e">
        <f>IF(F1="售价",ROUND(PRODUCT(R35,AA7:AA34),0),ROUND(PRODUCT(R35,AA7:AA34),1))</f>
        <v>#DIV/0!</v>
      </c>
      <c r="S36" s="3288"/>
      <c r="T36" s="3288" t="e">
        <f>IF(F1="售价",ROUND(PRODUCT(T35,AB7:AB34),0),ROUND(PRODUCT(T35,AB7:AB34),1))</f>
        <v>#DIV/0!</v>
      </c>
      <c r="U36" s="3288"/>
      <c r="V36" s="3288" t="e">
        <f>IF(F1="售价",ROUND(PRODUCT(V35,AC7:AC34),0),ROUND(PRODUCT(V35,AC7:AC34),1))</f>
        <v>#DIV/0!</v>
      </c>
      <c r="W36" s="3288"/>
      <c r="X36" s="758"/>
      <c r="Y36" s="758"/>
      <c r="Z36" s="758"/>
      <c r="AA36" s="758"/>
      <c r="AB36" s="758"/>
      <c r="AC36" s="758"/>
    </row>
    <row r="37" spans="1:29" ht="15.75" thickBot="1">
      <c r="A37" s="492" t="s">
        <v>2670</v>
      </c>
      <c r="B37" s="493"/>
      <c r="C37" s="1415" t="e">
        <f>R37</f>
        <v>#DIV/0!</v>
      </c>
      <c r="D37" s="1415"/>
      <c r="E37" s="1415"/>
      <c r="F37" s="1415"/>
      <c r="G37" s="1415"/>
      <c r="H37" s="1415"/>
      <c r="I37" s="1415"/>
      <c r="J37" s="1415"/>
      <c r="K37" s="784"/>
      <c r="L37" s="1141"/>
      <c r="M37" s="1142"/>
      <c r="N37" s="1142"/>
      <c r="O37" s="1142"/>
      <c r="P37" s="3218" t="str">
        <f>A37</f>
        <v>估价对象XX用房的比较价值（楼面单价，元/平方米）</v>
      </c>
      <c r="Q37" s="3219"/>
      <c r="R37" s="3287" t="e">
        <f>IF(F1="售价",ROUND(AVERAGE(R36:V36),0),ROUND(AVERAGE(R36:V36),1))</f>
        <v>#DIV/0!</v>
      </c>
      <c r="S37" s="3287"/>
      <c r="T37" s="3287"/>
      <c r="U37" s="3287"/>
      <c r="V37" s="3287"/>
      <c r="W37" s="3287"/>
      <c r="X37" s="758"/>
      <c r="Y37" s="758"/>
      <c r="Z37" s="758"/>
      <c r="AA37" s="758"/>
      <c r="AB37" s="758"/>
      <c r="AC37" s="758"/>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2"/>
      <c r="N40" s="1142"/>
      <c r="O40" s="1142"/>
    </row>
    <row r="41" spans="1:29" ht="13.5" customHeight="1">
      <c r="A41" s="1142"/>
      <c r="B41" s="1142"/>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2"/>
      <c r="N41" s="1142"/>
      <c r="O41" s="1142"/>
    </row>
    <row r="42" spans="1:29" s="502" customFormat="1" ht="13.5" customHeight="1">
      <c r="A42" s="1143"/>
      <c r="B42" s="1143"/>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62" t="s">
        <v>2674</v>
      </c>
      <c r="B45" s="758"/>
      <c r="C45" s="763"/>
      <c r="D45" s="763"/>
      <c r="E45" s="763"/>
      <c r="F45" s="764"/>
      <c r="G45" s="764"/>
      <c r="H45" s="763"/>
      <c r="I45" s="763"/>
      <c r="J45" s="763"/>
      <c r="K45" s="765"/>
      <c r="L45" s="766"/>
      <c r="M45" s="763"/>
      <c r="N45" s="763"/>
      <c r="O45" s="763"/>
      <c r="P45" s="503"/>
      <c r="Q45" s="504"/>
    </row>
    <row r="46" spans="1:29" s="508" customFormat="1" ht="15">
      <c r="A46" s="505" t="s">
        <v>2548</v>
      </c>
      <c r="B46" s="506"/>
      <c r="C46" s="1572" t="str">
        <f>YEAR(C7)&amp;"-"&amp;MONTH(C7)</f>
        <v>2019-9</v>
      </c>
      <c r="D46" s="1573">
        <f>EDATE(C46,-1)</f>
        <v>43678</v>
      </c>
      <c r="E46" s="1573">
        <f t="shared" ref="E46:O46" si="16">EDATE(D46,-1)</f>
        <v>43647</v>
      </c>
      <c r="F46" s="1573">
        <f t="shared" si="16"/>
        <v>43617</v>
      </c>
      <c r="G46" s="1573">
        <f t="shared" si="16"/>
        <v>43586</v>
      </c>
      <c r="H46" s="1573">
        <f t="shared" si="16"/>
        <v>43556</v>
      </c>
      <c r="I46" s="1573">
        <f t="shared" si="16"/>
        <v>43525</v>
      </c>
      <c r="J46" s="1573">
        <f t="shared" si="16"/>
        <v>43497</v>
      </c>
      <c r="K46" s="1573">
        <f t="shared" si="16"/>
        <v>43466</v>
      </c>
      <c r="L46" s="1573">
        <f t="shared" si="16"/>
        <v>43435</v>
      </c>
      <c r="M46" s="1573">
        <f t="shared" si="16"/>
        <v>43405</v>
      </c>
      <c r="N46" s="1573">
        <f t="shared" si="16"/>
        <v>43374</v>
      </c>
      <c r="O46" s="1573">
        <f t="shared" si="16"/>
        <v>43344</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2588</v>
      </c>
      <c r="B51" s="528" t="s">
        <v>2554</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0"/>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2729</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2563</v>
      </c>
      <c r="B77" s="528" t="s">
        <v>2616</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2733</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2741</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2743</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2327</v>
      </c>
      <c r="B2" s="671" t="e">
        <f>F61</f>
        <v>#DIV/0!</v>
      </c>
      <c r="C2" s="1123"/>
      <c r="D2" s="1123"/>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ROUND(IF(D3="",B2*10000/'数据-汇总表'!E3,B2*10000/D3),0)</f>
        <v>#DIV/0!</v>
      </c>
      <c r="C3" s="247" t="s">
        <v>2746</v>
      </c>
      <c r="D3" s="1581"/>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312" t="s">
        <v>2796</v>
      </c>
      <c r="D6" s="3313"/>
      <c r="E6" s="3314" t="s">
        <v>2796</v>
      </c>
      <c r="F6" s="3315"/>
      <c r="G6" s="3312" t="s">
        <v>2796</v>
      </c>
      <c r="H6" s="3313"/>
      <c r="I6" s="3312" t="s">
        <v>2796</v>
      </c>
      <c r="J6" s="3313"/>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SUMIF(65:65,YEAR(E7)&amp;"-"&amp;INT((MONTH(E7)+2)/3),66:66)</f>
        <v>0</v>
      </c>
      <c r="G7" s="2692"/>
      <c r="H7" s="411">
        <f>SUMIF(65:65,YEAR(G7)&amp;"-"&amp;INT((MONTH(G7)+2)/3),66:66)</f>
        <v>0</v>
      </c>
      <c r="I7" s="2692"/>
      <c r="J7" s="411">
        <f>SUMIF(65:65,YEAR(I7)&amp;"-"&amp;INT((MONTH(I7)+2)/3),66:66)</f>
        <v>0</v>
      </c>
      <c r="K7" s="611"/>
      <c r="L7" s="1130"/>
      <c r="M7" s="1131"/>
      <c r="N7" s="1131"/>
      <c r="O7" s="1131"/>
      <c r="P7" s="3253"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40" si="3">D8/F8</f>
        <v>#DIV/0!</v>
      </c>
      <c r="AB8" s="772" t="e">
        <f t="shared" ref="AB8:AB40" si="4">D8/H8</f>
        <v>#DIV/0!</v>
      </c>
      <c r="AC8" s="772" t="e">
        <f t="shared" ref="AC8:AC40" si="5">D8/J8</f>
        <v>#DIV/0!</v>
      </c>
    </row>
    <row r="9" spans="1:29" s="117" customFormat="1">
      <c r="A9" s="415" t="s">
        <v>2553</v>
      </c>
      <c r="B9" s="71" t="s">
        <v>2554</v>
      </c>
      <c r="C9" s="2695"/>
      <c r="D9" s="135">
        <v>100</v>
      </c>
      <c r="E9" s="2695"/>
      <c r="F9" s="135">
        <f>SUMIF(70:70,E9,71:71)-SUMIF(70:70,C9,71:71)+100</f>
        <v>100</v>
      </c>
      <c r="G9" s="2695"/>
      <c r="H9" s="135">
        <f>SUMIF(70:70,G9,71:71)-SUMIF(70:70,C9,71:71)+100</f>
        <v>100</v>
      </c>
      <c r="I9" s="2695"/>
      <c r="J9" s="135">
        <f>SUMIF(70:70,I9,71:71)-SUMIF(70:70,C9,71:71)+100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32"/>
      <c r="D10" s="136">
        <v>100</v>
      </c>
      <c r="E10" s="432"/>
      <c r="F10" s="136">
        <f>ROUND(100/'数据-取费表'!G16,0)</f>
        <v>104</v>
      </c>
      <c r="G10" s="432"/>
      <c r="H10" s="136">
        <f>ROUND(100/'数据-取费表'!G16,0)</f>
        <v>104</v>
      </c>
      <c r="I10" s="432"/>
      <c r="J10" s="136">
        <f>ROUND(100/'数据-取费表'!G16,0)</f>
        <v>104</v>
      </c>
      <c r="K10" s="672"/>
      <c r="L10" s="1133"/>
      <c r="M10" s="1134"/>
      <c r="N10" s="1134"/>
      <c r="O10" s="1135"/>
      <c r="P10" s="3224"/>
      <c r="Q10" s="1793" t="str">
        <f t="shared" si="6"/>
        <v>土地使用年限（年）</v>
      </c>
      <c r="R10" s="769" t="s">
        <v>17</v>
      </c>
      <c r="S10" s="770">
        <f t="shared" si="0"/>
        <v>104</v>
      </c>
      <c r="T10" s="769" t="s">
        <v>17</v>
      </c>
      <c r="U10" s="770">
        <f t="shared" si="1"/>
        <v>104</v>
      </c>
      <c r="V10" s="769" t="s">
        <v>17</v>
      </c>
      <c r="W10" s="770">
        <f t="shared" si="2"/>
        <v>104</v>
      </c>
      <c r="X10" s="771"/>
      <c r="Y10" s="3072"/>
      <c r="Z10" s="55" t="str">
        <f t="shared" si="7"/>
        <v>土地使用年限（年）</v>
      </c>
      <c r="AA10" s="772">
        <f t="shared" si="3"/>
        <v>0.96153846153846156</v>
      </c>
      <c r="AB10" s="772">
        <f t="shared" si="4"/>
        <v>0.96153846153846156</v>
      </c>
      <c r="AC10" s="772">
        <f t="shared" si="5"/>
        <v>0.96153846153846156</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224"/>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c r="A13" s="428"/>
      <c r="B13" s="2596">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57">
      <c r="A15" s="440" t="s">
        <v>2559</v>
      </c>
      <c r="B15" s="629" t="s">
        <v>2797</v>
      </c>
      <c r="C15" s="268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226" t="s">
        <v>2560</v>
      </c>
      <c r="Q15" s="1808" t="str">
        <f t="shared" si="6"/>
        <v>产业集聚程度</v>
      </c>
      <c r="R15" s="773" t="s">
        <v>17</v>
      </c>
      <c r="S15" s="774">
        <f t="shared" si="0"/>
        <v>100</v>
      </c>
      <c r="T15" s="773" t="s">
        <v>17</v>
      </c>
      <c r="U15" s="774">
        <f t="shared" si="1"/>
        <v>100</v>
      </c>
      <c r="V15" s="773" t="s">
        <v>17</v>
      </c>
      <c r="W15" s="774">
        <f t="shared" si="2"/>
        <v>100</v>
      </c>
      <c r="X15" s="1811"/>
      <c r="Y15" s="3226" t="s">
        <v>2560</v>
      </c>
      <c r="Z15" s="1812" t="str">
        <f t="shared" si="7"/>
        <v>产业集聚程度</v>
      </c>
      <c r="AA15" s="1809">
        <f t="shared" si="3"/>
        <v>1</v>
      </c>
      <c r="AB15" s="1809">
        <f t="shared" si="4"/>
        <v>1</v>
      </c>
      <c r="AC15" s="1809">
        <f t="shared" si="5"/>
        <v>1</v>
      </c>
    </row>
    <row r="16" spans="1:29" ht="15">
      <c r="A16" s="428"/>
      <c r="B16" s="630"/>
      <c r="C16" s="447"/>
      <c r="D16" s="448"/>
      <c r="E16" s="2607"/>
      <c r="F16" s="448"/>
      <c r="G16" s="2607"/>
      <c r="H16" s="450"/>
      <c r="I16" s="2607"/>
      <c r="J16" s="448"/>
      <c r="K16" s="672"/>
      <c r="L16" s="1138"/>
      <c r="M16" s="1129"/>
      <c r="N16" s="1129"/>
      <c r="O16" s="1137"/>
      <c r="P16" s="3227"/>
      <c r="Q16" s="1808"/>
      <c r="R16" s="773"/>
      <c r="S16" s="774"/>
      <c r="T16" s="773"/>
      <c r="U16" s="774"/>
      <c r="V16" s="773"/>
      <c r="W16" s="774"/>
      <c r="X16" s="1811"/>
      <c r="Y16" s="3227"/>
      <c r="Z16" s="1812"/>
      <c r="AA16" s="1809">
        <v>1</v>
      </c>
      <c r="AB16" s="1809">
        <v>1</v>
      </c>
      <c r="AC16" s="1809">
        <v>1</v>
      </c>
    </row>
    <row r="17" spans="1:29" ht="85.5">
      <c r="A17" s="428"/>
      <c r="B17" s="631" t="s">
        <v>2709</v>
      </c>
      <c r="C17" s="2603"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227"/>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632"/>
      <c r="C18" s="447"/>
      <c r="D18" s="448"/>
      <c r="E18" s="2601"/>
      <c r="F18" s="448"/>
      <c r="G18" s="2601"/>
      <c r="H18" s="448"/>
      <c r="I18" s="2600"/>
      <c r="J18" s="448"/>
      <c r="K18" s="672"/>
      <c r="L18" s="1138"/>
      <c r="M18" s="1129"/>
      <c r="N18" s="1129"/>
      <c r="O18" s="1137"/>
      <c r="P18" s="3227"/>
      <c r="Q18" s="1808"/>
      <c r="R18" s="773"/>
      <c r="S18" s="774"/>
      <c r="T18" s="773"/>
      <c r="U18" s="774"/>
      <c r="V18" s="773"/>
      <c r="W18" s="774"/>
      <c r="X18" s="1811"/>
      <c r="Y18" s="3227"/>
      <c r="Z18" s="1812"/>
      <c r="AA18" s="1809">
        <v>1</v>
      </c>
      <c r="AB18" s="1809">
        <v>1</v>
      </c>
      <c r="AC18" s="1809">
        <v>1</v>
      </c>
    </row>
    <row r="19" spans="1:29" ht="15">
      <c r="A19" s="428"/>
      <c r="B19" s="631" t="s">
        <v>2748</v>
      </c>
      <c r="C19" s="2603">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227"/>
      <c r="Q19" s="1808" t="str">
        <f t="shared" ref="Q19:Q33" si="8">B19</f>
        <v>区域土地利用方向</v>
      </c>
      <c r="R19" s="773" t="s">
        <v>17</v>
      </c>
      <c r="S19" s="774">
        <f>F19</f>
        <v>100</v>
      </c>
      <c r="T19" s="773" t="s">
        <v>17</v>
      </c>
      <c r="U19" s="774">
        <f>H19</f>
        <v>100</v>
      </c>
      <c r="V19" s="773" t="s">
        <v>17</v>
      </c>
      <c r="W19" s="774">
        <f>J19</f>
        <v>100</v>
      </c>
      <c r="X19" s="1811"/>
      <c r="Y19" s="3227"/>
      <c r="Z19" s="1812" t="str">
        <f>Q19</f>
        <v>区域土地利用方向</v>
      </c>
      <c r="AA19" s="1809">
        <f t="shared" si="3"/>
        <v>1</v>
      </c>
      <c r="AB19" s="1809">
        <f t="shared" si="4"/>
        <v>1</v>
      </c>
      <c r="AC19" s="1809">
        <f t="shared" si="5"/>
        <v>1</v>
      </c>
    </row>
    <row r="20" spans="1:29" ht="15">
      <c r="A20" s="404"/>
      <c r="B20" s="632"/>
      <c r="C20" s="447"/>
      <c r="D20" s="448"/>
      <c r="E20" s="2601"/>
      <c r="F20" s="448"/>
      <c r="G20" s="2601"/>
      <c r="H20" s="448"/>
      <c r="I20" s="2601"/>
      <c r="J20" s="448"/>
      <c r="K20" s="811"/>
      <c r="L20" s="1138"/>
      <c r="M20" s="1129"/>
      <c r="N20" s="1129"/>
      <c r="O20" s="1137"/>
      <c r="P20" s="3227"/>
      <c r="Q20" s="1808"/>
      <c r="R20" s="773"/>
      <c r="S20" s="774"/>
      <c r="T20" s="773"/>
      <c r="U20" s="774"/>
      <c r="V20" s="773"/>
      <c r="W20" s="774"/>
      <c r="X20" s="1811"/>
      <c r="Y20" s="3227"/>
      <c r="Z20" s="1812"/>
      <c r="AA20" s="1809"/>
      <c r="AB20" s="1809"/>
      <c r="AC20" s="1809"/>
    </row>
    <row r="21" spans="1:29" ht="71.25">
      <c r="A21" s="404"/>
      <c r="B21" s="631" t="s">
        <v>2798</v>
      </c>
      <c r="C21" s="2603"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227"/>
      <c r="Q21" s="1808" t="str">
        <f t="shared" si="8"/>
        <v>环境状况</v>
      </c>
      <c r="R21" s="773" t="s">
        <v>17</v>
      </c>
      <c r="S21" s="774">
        <f>F21</f>
        <v>100</v>
      </c>
      <c r="T21" s="773" t="s">
        <v>17</v>
      </c>
      <c r="U21" s="774">
        <f>H21</f>
        <v>100</v>
      </c>
      <c r="V21" s="773" t="s">
        <v>17</v>
      </c>
      <c r="W21" s="774">
        <f>J21</f>
        <v>100</v>
      </c>
      <c r="X21" s="1811"/>
      <c r="Y21" s="3227"/>
      <c r="Z21" s="1812" t="str">
        <f>Q21</f>
        <v>环境状况</v>
      </c>
      <c r="AA21" s="1809">
        <f t="shared" si="3"/>
        <v>1</v>
      </c>
      <c r="AB21" s="1809">
        <f t="shared" si="4"/>
        <v>1</v>
      </c>
      <c r="AC21" s="1809">
        <f t="shared" si="5"/>
        <v>1</v>
      </c>
    </row>
    <row r="22" spans="1:29" ht="15">
      <c r="A22" s="404"/>
      <c r="B22" s="632"/>
      <c r="C22" s="447"/>
      <c r="D22" s="448"/>
      <c r="E22" s="2607"/>
      <c r="F22" s="448"/>
      <c r="G22" s="2607"/>
      <c r="H22" s="448"/>
      <c r="I22" s="447"/>
      <c r="J22" s="448"/>
      <c r="K22" s="672"/>
      <c r="L22" s="1138"/>
      <c r="M22" s="1129"/>
      <c r="N22" s="1129"/>
      <c r="O22" s="1137"/>
      <c r="P22" s="3227"/>
      <c r="Q22" s="1808"/>
      <c r="R22" s="773"/>
      <c r="S22" s="774"/>
      <c r="T22" s="773"/>
      <c r="U22" s="774"/>
      <c r="V22" s="773"/>
      <c r="W22" s="774"/>
      <c r="X22" s="1811"/>
      <c r="Y22" s="3227"/>
      <c r="Z22" s="1812"/>
      <c r="AA22" s="1809">
        <v>1</v>
      </c>
      <c r="AB22" s="1809">
        <v>1</v>
      </c>
      <c r="AC22" s="1809">
        <v>1</v>
      </c>
    </row>
    <row r="23" spans="1:29" s="117" customFormat="1" ht="42.75">
      <c r="A23" s="649"/>
      <c r="B23" s="633" t="s">
        <v>2654</v>
      </c>
      <c r="C23" s="2603"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227"/>
      <c r="Q23" s="1793" t="str">
        <f t="shared" si="8"/>
        <v>公共配套设施</v>
      </c>
      <c r="R23" s="769" t="s">
        <v>17</v>
      </c>
      <c r="S23" s="770">
        <f>F23</f>
        <v>100</v>
      </c>
      <c r="T23" s="769" t="s">
        <v>17</v>
      </c>
      <c r="U23" s="770">
        <f>H23</f>
        <v>100</v>
      </c>
      <c r="V23" s="769" t="s">
        <v>17</v>
      </c>
      <c r="W23" s="770">
        <f>J23</f>
        <v>100</v>
      </c>
      <c r="X23" s="771"/>
      <c r="Y23" s="3227"/>
      <c r="Z23" s="55" t="str">
        <f>Q23</f>
        <v>公共配套设施</v>
      </c>
      <c r="AA23" s="1809">
        <f>D23/F23</f>
        <v>1</v>
      </c>
      <c r="AB23" s="1809">
        <f>D23/H23</f>
        <v>1</v>
      </c>
      <c r="AC23" s="1809">
        <f>D23/J23</f>
        <v>1</v>
      </c>
    </row>
    <row r="24" spans="1:29" s="117" customFormat="1" ht="15">
      <c r="A24" s="649"/>
      <c r="B24" s="632"/>
      <c r="C24" s="2696"/>
      <c r="D24" s="448"/>
      <c r="E24" s="2607"/>
      <c r="F24" s="448"/>
      <c r="G24" s="2607"/>
      <c r="H24" s="448"/>
      <c r="I24" s="447"/>
      <c r="J24" s="448"/>
      <c r="K24" s="672"/>
      <c r="L24" s="1130"/>
      <c r="M24" s="1131"/>
      <c r="N24" s="1131"/>
      <c r="O24" s="1132"/>
      <c r="P24" s="3227"/>
      <c r="Q24" s="1793"/>
      <c r="R24" s="769"/>
      <c r="S24" s="770"/>
      <c r="T24" s="769"/>
      <c r="U24" s="770"/>
      <c r="V24" s="769"/>
      <c r="W24" s="770"/>
      <c r="X24" s="771"/>
      <c r="Y24" s="3227"/>
      <c r="Z24" s="55"/>
      <c r="AA24" s="772">
        <v>1</v>
      </c>
      <c r="AB24" s="772">
        <v>1</v>
      </c>
      <c r="AC24" s="772">
        <v>1</v>
      </c>
    </row>
    <row r="25" spans="1:29" s="117" customFormat="1" ht="28.5">
      <c r="A25" s="649"/>
      <c r="B25" s="633" t="s">
        <v>2655</v>
      </c>
      <c r="C25" s="2603"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227"/>
      <c r="Q25" s="1793" t="str">
        <f t="shared" ref="Q25" si="9">B25</f>
        <v>基础设施水平</v>
      </c>
      <c r="R25" s="769" t="s">
        <v>17</v>
      </c>
      <c r="S25" s="770">
        <f>F25</f>
        <v>100</v>
      </c>
      <c r="T25" s="769" t="s">
        <v>17</v>
      </c>
      <c r="U25" s="770">
        <f>H25</f>
        <v>100</v>
      </c>
      <c r="V25" s="769" t="s">
        <v>17</v>
      </c>
      <c r="W25" s="770">
        <f>J25</f>
        <v>100</v>
      </c>
      <c r="X25" s="771"/>
      <c r="Y25" s="3227"/>
      <c r="Z25" s="55" t="str">
        <f>Q25</f>
        <v>基础设施水平</v>
      </c>
      <c r="AA25" s="1809">
        <f>D25/F25</f>
        <v>1</v>
      </c>
      <c r="AB25" s="1809">
        <f>D25/H25</f>
        <v>1</v>
      </c>
      <c r="AC25" s="1809">
        <f>D25/J25</f>
        <v>1</v>
      </c>
    </row>
    <row r="26" spans="1:29" s="117" customFormat="1" ht="15">
      <c r="A26" s="649"/>
      <c r="B26" s="632"/>
      <c r="C26" s="2696"/>
      <c r="D26" s="448"/>
      <c r="E26" s="2697"/>
      <c r="F26" s="448"/>
      <c r="G26" s="2697"/>
      <c r="H26" s="448"/>
      <c r="I26" s="2697"/>
      <c r="J26" s="448"/>
      <c r="K26" s="672"/>
      <c r="L26" s="1130"/>
      <c r="M26" s="1131"/>
      <c r="N26" s="1131"/>
      <c r="O26" s="1132"/>
      <c r="P26" s="3227"/>
      <c r="Q26" s="1793"/>
      <c r="R26" s="769"/>
      <c r="S26" s="770"/>
      <c r="T26" s="769"/>
      <c r="U26" s="770"/>
      <c r="V26" s="769"/>
      <c r="W26" s="770"/>
      <c r="X26" s="771"/>
      <c r="Y26" s="3227"/>
      <c r="Z26" s="55"/>
      <c r="AA26" s="772">
        <v>1</v>
      </c>
      <c r="AB26" s="772">
        <v>1</v>
      </c>
      <c r="AC26" s="772">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227"/>
      <c r="Q27" s="1808" t="str">
        <f t="shared" si="8"/>
        <v>临街状况</v>
      </c>
      <c r="R27" s="773" t="s">
        <v>17</v>
      </c>
      <c r="S27" s="774">
        <f t="shared" ref="S27:S40" si="10">F27</f>
        <v>100</v>
      </c>
      <c r="T27" s="773" t="s">
        <v>17</v>
      </c>
      <c r="U27" s="774">
        <f t="shared" ref="U27:U40" si="11">H27</f>
        <v>100</v>
      </c>
      <c r="V27" s="773" t="s">
        <v>17</v>
      </c>
      <c r="W27" s="774">
        <f t="shared" ref="W27:W40" si="12">J27</f>
        <v>100</v>
      </c>
      <c r="X27" s="1811"/>
      <c r="Y27" s="3227"/>
      <c r="Z27" s="1812" t="str">
        <f t="shared" ref="Z27:Z40" si="13">Q27</f>
        <v>临街状况</v>
      </c>
      <c r="AA27" s="1809">
        <f t="shared" si="3"/>
        <v>1</v>
      </c>
      <c r="AB27" s="1809">
        <f t="shared" si="4"/>
        <v>1</v>
      </c>
      <c r="AC27" s="1809">
        <f t="shared" si="5"/>
        <v>1</v>
      </c>
    </row>
    <row r="28" spans="1:29" ht="27">
      <c r="A28" s="428"/>
      <c r="B28" s="633" t="s">
        <v>2691</v>
      </c>
      <c r="C28" s="2709">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227"/>
      <c r="Q28" s="1808" t="str">
        <f t="shared" si="8"/>
        <v>毗邻道路的类型与等级</v>
      </c>
      <c r="R28" s="773" t="s">
        <v>17</v>
      </c>
      <c r="S28" s="774">
        <f t="shared" si="10"/>
        <v>100</v>
      </c>
      <c r="T28" s="773" t="s">
        <v>17</v>
      </c>
      <c r="U28" s="774">
        <f t="shared" si="11"/>
        <v>100</v>
      </c>
      <c r="V28" s="773" t="s">
        <v>17</v>
      </c>
      <c r="W28" s="774">
        <f t="shared" si="12"/>
        <v>100</v>
      </c>
      <c r="X28" s="1811"/>
      <c r="Y28" s="3227"/>
      <c r="Z28" s="1812" t="str">
        <f t="shared" si="13"/>
        <v>毗邻道路的类型与等级</v>
      </c>
      <c r="AA28" s="1809">
        <f t="shared" si="3"/>
        <v>1</v>
      </c>
      <c r="AB28" s="1809">
        <f t="shared" si="4"/>
        <v>1</v>
      </c>
      <c r="AC28" s="1809">
        <f t="shared" si="5"/>
        <v>1</v>
      </c>
    </row>
    <row r="29" spans="1:29" ht="15">
      <c r="A29" s="428"/>
      <c r="B29" s="632"/>
      <c r="C29" s="447"/>
      <c r="D29" s="448"/>
      <c r="E29" s="2607"/>
      <c r="F29" s="448"/>
      <c r="G29" s="2607"/>
      <c r="H29" s="448"/>
      <c r="I29" s="2607"/>
      <c r="J29" s="448"/>
      <c r="K29" s="613"/>
      <c r="L29" s="1138"/>
      <c r="M29" s="1129"/>
      <c r="N29" s="1129"/>
      <c r="O29" s="1137"/>
      <c r="P29" s="3227"/>
      <c r="Q29" s="1808"/>
      <c r="R29" s="773"/>
      <c r="S29" s="774"/>
      <c r="T29" s="773"/>
      <c r="U29" s="774"/>
      <c r="V29" s="773"/>
      <c r="W29" s="774"/>
      <c r="X29" s="1811"/>
      <c r="Y29" s="3227"/>
      <c r="Z29" s="1812"/>
      <c r="AA29" s="1809">
        <v>1</v>
      </c>
      <c r="AB29" s="1809">
        <v>1</v>
      </c>
      <c r="AC29" s="1809">
        <v>1</v>
      </c>
    </row>
    <row r="30" spans="1:29" ht="15">
      <c r="A30" s="428"/>
      <c r="B30" s="654" t="s">
        <v>2750</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227"/>
      <c r="Q30" s="1808" t="str">
        <f t="shared" si="8"/>
        <v>土地级别</v>
      </c>
      <c r="R30" s="773" t="s">
        <v>17</v>
      </c>
      <c r="S30" s="774">
        <f t="shared" si="10"/>
        <v>100</v>
      </c>
      <c r="T30" s="773" t="s">
        <v>17</v>
      </c>
      <c r="U30" s="774">
        <f t="shared" si="11"/>
        <v>100</v>
      </c>
      <c r="V30" s="773" t="s">
        <v>17</v>
      </c>
      <c r="W30" s="774">
        <f t="shared" si="12"/>
        <v>100</v>
      </c>
      <c r="X30" s="1811"/>
      <c r="Y30" s="3227"/>
      <c r="Z30" s="1812" t="str">
        <f t="shared" si="13"/>
        <v>土地级别</v>
      </c>
      <c r="AA30" s="1809">
        <f t="shared" si="3"/>
        <v>1</v>
      </c>
      <c r="AB30" s="1809">
        <f t="shared" si="4"/>
        <v>1</v>
      </c>
      <c r="AC30" s="1809">
        <f t="shared" si="5"/>
        <v>1</v>
      </c>
    </row>
    <row r="31" spans="1:29" ht="15">
      <c r="A31" s="404"/>
      <c r="B31" s="2674">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227"/>
      <c r="Q31" s="1808">
        <f t="shared" si="8"/>
        <v>111</v>
      </c>
      <c r="R31" s="773" t="s">
        <v>17</v>
      </c>
      <c r="S31" s="774">
        <f t="shared" si="10"/>
        <v>100</v>
      </c>
      <c r="T31" s="773" t="s">
        <v>17</v>
      </c>
      <c r="U31" s="774">
        <f t="shared" si="11"/>
        <v>100</v>
      </c>
      <c r="V31" s="773" t="s">
        <v>17</v>
      </c>
      <c r="W31" s="774">
        <f t="shared" si="12"/>
        <v>100</v>
      </c>
      <c r="X31" s="1811"/>
      <c r="Y31" s="3227"/>
      <c r="Z31" s="1812">
        <f t="shared" si="13"/>
        <v>111</v>
      </c>
      <c r="AA31" s="1809">
        <f t="shared" si="3"/>
        <v>1</v>
      </c>
      <c r="AB31" s="1809">
        <f t="shared" si="4"/>
        <v>1</v>
      </c>
      <c r="AC31" s="1809">
        <f t="shared" si="5"/>
        <v>1</v>
      </c>
    </row>
    <row r="32" spans="1:29" ht="15">
      <c r="A32" s="675"/>
      <c r="B32" s="2710">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28" t="s">
        <v>2565</v>
      </c>
      <c r="Q32" s="1808">
        <f t="shared" si="8"/>
        <v>111</v>
      </c>
      <c r="R32" s="773" t="s">
        <v>17</v>
      </c>
      <c r="S32" s="774">
        <f t="shared" si="10"/>
        <v>100</v>
      </c>
      <c r="T32" s="773" t="s">
        <v>17</v>
      </c>
      <c r="U32" s="774">
        <f t="shared" si="11"/>
        <v>100</v>
      </c>
      <c r="V32" s="773" t="s">
        <v>17</v>
      </c>
      <c r="W32" s="774">
        <f t="shared" si="12"/>
        <v>100</v>
      </c>
      <c r="X32" s="1811"/>
      <c r="Y32" s="3229" t="s">
        <v>2565</v>
      </c>
      <c r="Z32" s="1812">
        <f t="shared" si="13"/>
        <v>111</v>
      </c>
      <c r="AA32" s="1809">
        <f t="shared" si="3"/>
        <v>1</v>
      </c>
      <c r="AB32" s="1809">
        <f t="shared" si="4"/>
        <v>1</v>
      </c>
      <c r="AC32" s="1809">
        <f t="shared" si="5"/>
        <v>1</v>
      </c>
    </row>
    <row r="33" spans="1:29" s="471" customFormat="1" ht="15.75" thickBot="1">
      <c r="A33" s="676"/>
      <c r="B33" s="2711">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229"/>
      <c r="Q33" s="1808">
        <f t="shared" si="8"/>
        <v>111</v>
      </c>
      <c r="R33" s="776" t="s">
        <v>17</v>
      </c>
      <c r="S33" s="777">
        <f t="shared" si="10"/>
        <v>100</v>
      </c>
      <c r="T33" s="776" t="s">
        <v>17</v>
      </c>
      <c r="U33" s="777">
        <f t="shared" si="11"/>
        <v>100</v>
      </c>
      <c r="V33" s="776" t="s">
        <v>17</v>
      </c>
      <c r="W33" s="777">
        <f t="shared" si="12"/>
        <v>100</v>
      </c>
      <c r="X33" s="778"/>
      <c r="Y33" s="3229"/>
      <c r="Z33" s="779">
        <f t="shared" si="13"/>
        <v>111</v>
      </c>
      <c r="AA33" s="1809">
        <f t="shared" si="3"/>
        <v>1</v>
      </c>
      <c r="AB33" s="1809">
        <f t="shared" si="4"/>
        <v>1</v>
      </c>
      <c r="AC33" s="1809">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229"/>
      <c r="Q34" s="1808" t="str">
        <f>B34</f>
        <v>宗地面积</v>
      </c>
      <c r="R34" s="773" t="s">
        <v>17</v>
      </c>
      <c r="S34" s="774" t="e">
        <f t="shared" si="10"/>
        <v>#N/A</v>
      </c>
      <c r="T34" s="773" t="s">
        <v>17</v>
      </c>
      <c r="U34" s="774" t="e">
        <f t="shared" si="11"/>
        <v>#N/A</v>
      </c>
      <c r="V34" s="773" t="s">
        <v>17</v>
      </c>
      <c r="W34" s="774" t="e">
        <f t="shared" si="12"/>
        <v>#N/A</v>
      </c>
      <c r="X34" s="1811"/>
      <c r="Y34" s="3229"/>
      <c r="Z34" s="1812" t="str">
        <f t="shared" si="13"/>
        <v>宗地面积</v>
      </c>
      <c r="AA34" s="1809" t="e">
        <f t="shared" si="3"/>
        <v>#N/A</v>
      </c>
      <c r="AB34" s="1809" t="e">
        <f t="shared" si="4"/>
        <v>#N/A</v>
      </c>
      <c r="AC34" s="1809" t="e">
        <f t="shared" si="5"/>
        <v>#N/A</v>
      </c>
    </row>
    <row r="35" spans="1:29" ht="15">
      <c r="A35" s="472"/>
      <c r="B35" s="422" t="s">
        <v>2752</v>
      </c>
      <c r="C35" s="2609"/>
      <c r="D35" s="435">
        <v>100</v>
      </c>
      <c r="E35" s="2609"/>
      <c r="F35" s="435">
        <f>SUMIF(110:110,E35,111:111)-SUMIF(110:110,C35,111:111)+100</f>
        <v>100</v>
      </c>
      <c r="G35" s="2609"/>
      <c r="H35" s="435">
        <f>SUMIF(110:110,G35,111:111)-SUMIF(110:110,C35,111:111)+100</f>
        <v>100</v>
      </c>
      <c r="I35" s="2609"/>
      <c r="J35" s="435">
        <f>SUMIF(110:110,I35,111:111)-SUMIF(110:110,C35,111:111)+100</f>
        <v>100</v>
      </c>
      <c r="K35" s="612"/>
      <c r="L35" s="1138"/>
      <c r="M35" s="1129"/>
      <c r="N35" s="1129"/>
      <c r="O35" s="1137"/>
      <c r="P35" s="3229"/>
      <c r="Q35" s="1808" t="str">
        <f t="shared" ref="Q35:Q40" si="14">B35</f>
        <v>宗地形状</v>
      </c>
      <c r="R35" s="773" t="s">
        <v>17</v>
      </c>
      <c r="S35" s="774">
        <f t="shared" si="10"/>
        <v>100</v>
      </c>
      <c r="T35" s="773" t="s">
        <v>17</v>
      </c>
      <c r="U35" s="774">
        <f t="shared" si="11"/>
        <v>100</v>
      </c>
      <c r="V35" s="773" t="s">
        <v>17</v>
      </c>
      <c r="W35" s="774">
        <f t="shared" si="12"/>
        <v>100</v>
      </c>
      <c r="X35" s="1811"/>
      <c r="Y35" s="3229"/>
      <c r="Z35" s="1812" t="str">
        <f t="shared" si="13"/>
        <v>宗地形状</v>
      </c>
      <c r="AA35" s="1809">
        <f t="shared" si="3"/>
        <v>1</v>
      </c>
      <c r="AB35" s="1809">
        <f t="shared" si="4"/>
        <v>1</v>
      </c>
      <c r="AC35" s="1809">
        <f t="shared" si="5"/>
        <v>1</v>
      </c>
    </row>
    <row r="36" spans="1:29" s="117" customFormat="1" ht="15">
      <c r="A36" s="473"/>
      <c r="B36" s="422" t="s">
        <v>2754</v>
      </c>
      <c r="C36" s="2698"/>
      <c r="D36" s="136">
        <v>100</v>
      </c>
      <c r="E36" s="2698"/>
      <c r="F36" s="435">
        <f>SUMIF(112:112,E36,113:113)-SUMIF(112:112,C36,113:113)+100</f>
        <v>100</v>
      </c>
      <c r="G36" s="2698"/>
      <c r="H36" s="435">
        <f>SUMIF(112:112,G36,113:113)-SUMIF(112:112,C36,113:113)+100</f>
        <v>100</v>
      </c>
      <c r="I36" s="2698"/>
      <c r="J36" s="435">
        <f>SUMIF(112:112,I36,113:113)-SUMIF(112:112,C36,113:113)+100</f>
        <v>100</v>
      </c>
      <c r="K36" s="612"/>
      <c r="L36" s="1130"/>
      <c r="M36" s="1131"/>
      <c r="N36" s="1131"/>
      <c r="O36" s="1132"/>
      <c r="P36" s="3229"/>
      <c r="Q36" s="1808" t="str">
        <f t="shared" si="14"/>
        <v>宗地开发程度</v>
      </c>
      <c r="R36" s="769" t="s">
        <v>17</v>
      </c>
      <c r="S36" s="770">
        <f t="shared" si="10"/>
        <v>100</v>
      </c>
      <c r="T36" s="769" t="s">
        <v>17</v>
      </c>
      <c r="U36" s="770">
        <f t="shared" si="11"/>
        <v>100</v>
      </c>
      <c r="V36" s="769" t="s">
        <v>17</v>
      </c>
      <c r="W36" s="770">
        <f t="shared" si="12"/>
        <v>100</v>
      </c>
      <c r="X36" s="771"/>
      <c r="Y36" s="3229"/>
      <c r="Z36" s="55" t="str">
        <f t="shared" si="13"/>
        <v>宗地开发程度</v>
      </c>
      <c r="AA36" s="772">
        <f t="shared" si="3"/>
        <v>1</v>
      </c>
      <c r="AB36" s="772">
        <f t="shared" si="4"/>
        <v>1</v>
      </c>
      <c r="AC36" s="772">
        <f t="shared" si="5"/>
        <v>1</v>
      </c>
    </row>
    <row r="37" spans="1:29" ht="15">
      <c r="A37" s="472"/>
      <c r="B37" s="422" t="s">
        <v>2755</v>
      </c>
      <c r="C37" s="2609"/>
      <c r="D37" s="435">
        <v>100</v>
      </c>
      <c r="E37" s="2609"/>
      <c r="F37" s="435">
        <f>SUMIF(114:114,E37,115:115)-SUMIF(114:114,C37,115:115)+100</f>
        <v>100</v>
      </c>
      <c r="G37" s="2609"/>
      <c r="H37" s="435">
        <f>SUMIF(114:114,G37,115:115)-SUMIF(114:114,C37,115:115)+100</f>
        <v>100</v>
      </c>
      <c r="I37" s="2609"/>
      <c r="J37" s="435">
        <f>SUMIF(114:114,I37,115:115)-SUMIF(114:114,C37,115:115)+100</f>
        <v>100</v>
      </c>
      <c r="K37" s="612"/>
      <c r="L37" s="1138"/>
      <c r="M37" s="1129"/>
      <c r="N37" s="1129"/>
      <c r="O37" s="1137"/>
      <c r="P37" s="3229" t="s">
        <v>2565</v>
      </c>
      <c r="Q37" s="1808" t="str">
        <f t="shared" si="14"/>
        <v>工程地质条件</v>
      </c>
      <c r="R37" s="773" t="s">
        <v>17</v>
      </c>
      <c r="S37" s="774">
        <f t="shared" si="10"/>
        <v>100</v>
      </c>
      <c r="T37" s="773" t="s">
        <v>17</v>
      </c>
      <c r="U37" s="774">
        <f t="shared" si="11"/>
        <v>100</v>
      </c>
      <c r="V37" s="773" t="s">
        <v>17</v>
      </c>
      <c r="W37" s="774">
        <f t="shared" si="12"/>
        <v>100</v>
      </c>
      <c r="X37" s="1811"/>
      <c r="Y37" s="3229" t="s">
        <v>2565</v>
      </c>
      <c r="Z37" s="1812" t="str">
        <f t="shared" si="13"/>
        <v>工程地质条件</v>
      </c>
      <c r="AA37" s="1809">
        <f t="shared" si="3"/>
        <v>1</v>
      </c>
      <c r="AB37" s="1809">
        <f t="shared" si="4"/>
        <v>1</v>
      </c>
      <c r="AC37" s="1809">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229"/>
      <c r="Q38" s="1808">
        <f t="shared" si="14"/>
        <v>111</v>
      </c>
      <c r="R38" s="773" t="s">
        <v>17</v>
      </c>
      <c r="S38" s="774">
        <f t="shared" si="10"/>
        <v>100</v>
      </c>
      <c r="T38" s="773" t="s">
        <v>17</v>
      </c>
      <c r="U38" s="774">
        <f t="shared" si="11"/>
        <v>100</v>
      </c>
      <c r="V38" s="773" t="s">
        <v>17</v>
      </c>
      <c r="W38" s="774">
        <f t="shared" si="12"/>
        <v>100</v>
      </c>
      <c r="X38" s="1811"/>
      <c r="Y38" s="3229"/>
      <c r="Z38" s="1812">
        <f t="shared" si="13"/>
        <v>111</v>
      </c>
      <c r="AA38" s="1809">
        <f t="shared" si="3"/>
        <v>1</v>
      </c>
      <c r="AB38" s="1809">
        <f t="shared" si="4"/>
        <v>1</v>
      </c>
      <c r="AC38" s="1809">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229"/>
      <c r="Q39" s="1808">
        <f t="shared" si="14"/>
        <v>111</v>
      </c>
      <c r="R39" s="773" t="s">
        <v>17</v>
      </c>
      <c r="S39" s="774">
        <f t="shared" si="10"/>
        <v>100</v>
      </c>
      <c r="T39" s="773" t="s">
        <v>17</v>
      </c>
      <c r="U39" s="774">
        <f t="shared" si="11"/>
        <v>100</v>
      </c>
      <c r="V39" s="773" t="s">
        <v>17</v>
      </c>
      <c r="W39" s="774">
        <f t="shared" si="12"/>
        <v>100</v>
      </c>
      <c r="X39" s="1811"/>
      <c r="Y39" s="3229"/>
      <c r="Z39" s="1812">
        <f t="shared" si="13"/>
        <v>111</v>
      </c>
      <c r="AA39" s="1809">
        <f t="shared" si="3"/>
        <v>1</v>
      </c>
      <c r="AB39" s="1809">
        <f t="shared" si="4"/>
        <v>1</v>
      </c>
      <c r="AC39" s="1809">
        <f t="shared" si="5"/>
        <v>1</v>
      </c>
    </row>
    <row r="40" spans="1:29" s="471" customFormat="1" ht="15.75" thickBot="1">
      <c r="A40" s="468"/>
      <c r="B40" s="1385">
        <v>111</v>
      </c>
      <c r="C40" s="2699"/>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229"/>
      <c r="Q40" s="1808">
        <f t="shared" si="14"/>
        <v>111</v>
      </c>
      <c r="R40" s="776" t="s">
        <v>17</v>
      </c>
      <c r="S40" s="777">
        <f t="shared" si="10"/>
        <v>100</v>
      </c>
      <c r="T40" s="776" t="s">
        <v>17</v>
      </c>
      <c r="U40" s="777">
        <f t="shared" si="11"/>
        <v>100</v>
      </c>
      <c r="V40" s="776" t="s">
        <v>17</v>
      </c>
      <c r="W40" s="777">
        <f t="shared" si="12"/>
        <v>100</v>
      </c>
      <c r="X40" s="778"/>
      <c r="Y40" s="3229"/>
      <c r="Z40" s="779">
        <f t="shared" si="13"/>
        <v>111</v>
      </c>
      <c r="AA40" s="1809">
        <f t="shared" si="3"/>
        <v>1</v>
      </c>
      <c r="AB40" s="1809">
        <f t="shared" si="4"/>
        <v>1</v>
      </c>
      <c r="AC40" s="1809">
        <f t="shared" si="5"/>
        <v>1</v>
      </c>
    </row>
    <row r="41" spans="1:29" ht="15">
      <c r="A41" s="479" t="s">
        <v>2720</v>
      </c>
      <c r="B41" s="2700" t="s">
        <v>2799</v>
      </c>
      <c r="C41" s="682" t="s">
        <v>1</v>
      </c>
      <c r="D41" s="481"/>
      <c r="E41" s="482"/>
      <c r="F41" s="483"/>
      <c r="G41" s="484"/>
      <c r="H41" s="485"/>
      <c r="I41" s="482"/>
      <c r="J41" s="485"/>
      <c r="K41" s="782"/>
      <c r="L41" s="1141"/>
      <c r="M41" s="1129"/>
      <c r="N41" s="1129"/>
      <c r="O41" s="1142"/>
      <c r="P41" s="3224" t="str">
        <f>A41</f>
        <v>成交单价</v>
      </c>
      <c r="Q41" s="3224"/>
      <c r="R41" s="3230">
        <f>E41</f>
        <v>0</v>
      </c>
      <c r="S41" s="3230"/>
      <c r="T41" s="3230">
        <f>G41</f>
        <v>0</v>
      </c>
      <c r="U41" s="3230"/>
      <c r="V41" s="3230">
        <f>I41</f>
        <v>0</v>
      </c>
      <c r="W41" s="3230"/>
      <c r="X41" s="758"/>
      <c r="Y41" s="780"/>
      <c r="Z41" s="758"/>
      <c r="AA41" s="758"/>
      <c r="AB41" s="758"/>
      <c r="AC41" s="758"/>
    </row>
    <row r="42" spans="1:29" ht="15.75" thickBot="1">
      <c r="A42" s="486" t="s">
        <v>2669</v>
      </c>
      <c r="B42" s="683"/>
      <c r="C42" s="490" t="e">
        <f>R43</f>
        <v>#DIV/0!</v>
      </c>
      <c r="D42" s="489"/>
      <c r="E42" s="490" t="e">
        <f>R42</f>
        <v>#DIV/0!</v>
      </c>
      <c r="F42" s="491"/>
      <c r="G42" s="488" t="e">
        <f>T42</f>
        <v>#DIV/0!</v>
      </c>
      <c r="H42" s="489"/>
      <c r="I42" s="490" t="e">
        <f>V42</f>
        <v>#DIV/0!</v>
      </c>
      <c r="J42" s="489"/>
      <c r="K42" s="783"/>
      <c r="L42" s="1141"/>
      <c r="M42" s="1129"/>
      <c r="N42" s="1129"/>
      <c r="O42" s="1142"/>
      <c r="P42" s="3224" t="str">
        <f>A42</f>
        <v>比较价值（元/平方米）</v>
      </c>
      <c r="Q42" s="3224"/>
      <c r="R42" s="3217" t="e">
        <f>ROUND(PRODUCT(R41,AA7:AA40),0)</f>
        <v>#DIV/0!</v>
      </c>
      <c r="S42" s="3217"/>
      <c r="T42" s="3217" t="e">
        <f>ROUND(PRODUCT(T41,AB7:AB40),0)</f>
        <v>#DIV/0!</v>
      </c>
      <c r="U42" s="3217"/>
      <c r="V42" s="3217" t="e">
        <f>ROUND(PRODUCT(V41,AC7:AC40),0)</f>
        <v>#DIV/0!</v>
      </c>
      <c r="W42" s="3217"/>
      <c r="X42" s="758"/>
      <c r="Y42" s="758"/>
      <c r="Z42" s="758"/>
      <c r="AA42" s="758"/>
      <c r="AB42" s="758"/>
      <c r="AC42" s="758"/>
    </row>
    <row r="43" spans="1:29" ht="15.75" thickBot="1">
      <c r="A43" s="492" t="s">
        <v>2670</v>
      </c>
      <c r="B43" s="493"/>
      <c r="C43" s="494" t="e">
        <f>R43</f>
        <v>#DIV/0!</v>
      </c>
      <c r="D43" s="494"/>
      <c r="E43" s="494"/>
      <c r="F43" s="494"/>
      <c r="G43" s="494"/>
      <c r="H43" s="494"/>
      <c r="I43" s="494"/>
      <c r="J43" s="494"/>
      <c r="K43" s="784"/>
      <c r="L43" s="1141"/>
      <c r="M43" s="1129"/>
      <c r="N43" s="1129"/>
      <c r="O43" s="1142"/>
      <c r="P43" s="3218" t="str">
        <f>A43</f>
        <v>估价对象XX用房的比较价值（楼面单价，元/平方米）</v>
      </c>
      <c r="Q43" s="3219"/>
      <c r="R43" s="3220" t="e">
        <f>ROUND(AVERAGE(R42:V42),0)</f>
        <v>#DIV/0!</v>
      </c>
      <c r="S43" s="3220"/>
      <c r="T43" s="3220"/>
      <c r="U43" s="3220"/>
      <c r="V43" s="3220"/>
      <c r="W43" s="3220"/>
      <c r="X43" s="758"/>
      <c r="Y43" s="758"/>
      <c r="Z43" s="758"/>
      <c r="AA43" s="758"/>
      <c r="AB43" s="758"/>
      <c r="AC43" s="758"/>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9"/>
      <c r="N46" s="1129"/>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1"/>
      <c r="D49" s="759"/>
      <c r="E49" s="759"/>
      <c r="F49" s="759"/>
      <c r="G49" s="759"/>
      <c r="H49" s="759"/>
      <c r="I49" s="759"/>
      <c r="J49" s="759"/>
      <c r="K49" s="1146"/>
      <c r="L49" s="1147"/>
      <c r="M49" s="1143"/>
      <c r="N49" s="1143"/>
      <c r="O49" s="1143"/>
    </row>
    <row r="50" spans="1:17" ht="27">
      <c r="A50" s="684" t="s">
        <v>2757</v>
      </c>
      <c r="B50" s="685" t="s">
        <v>2758</v>
      </c>
      <c r="C50" s="2701" t="s">
        <v>2759</v>
      </c>
      <c r="D50" s="2702" t="s">
        <v>2760</v>
      </c>
      <c r="E50" s="686" t="s">
        <v>2761</v>
      </c>
      <c r="F50" s="687" t="s">
        <v>2762</v>
      </c>
      <c r="G50" s="3221" t="s">
        <v>2763</v>
      </c>
      <c r="H50" s="3222"/>
      <c r="I50" s="1812" t="s">
        <v>2800</v>
      </c>
      <c r="J50" s="1812" t="str">
        <f>项目基本情况!F35</f>
        <v>江苏省泰州市</v>
      </c>
      <c r="K50" s="2704" t="s">
        <v>2765</v>
      </c>
      <c r="L50" s="1104"/>
      <c r="M50" s="1142"/>
      <c r="N50" s="1142"/>
      <c r="O50" s="1142"/>
    </row>
    <row r="51" spans="1:17" s="692" customFormat="1">
      <c r="A51" s="688" t="s">
        <v>2766</v>
      </c>
      <c r="B51" s="689" t="e">
        <f>C43</f>
        <v>#DIV/0!</v>
      </c>
      <c r="C51" s="690">
        <v>1</v>
      </c>
      <c r="D51" s="1161">
        <v>1</v>
      </c>
      <c r="E51" s="690">
        <f>'数据-汇总表'!E8+'数据-汇总表'!E9</f>
        <v>3992.9400000000005</v>
      </c>
      <c r="F51" s="691" t="e">
        <f t="shared" ref="F51:F60" si="15">ROUND(B51*E51/10000,0)</f>
        <v>#DIV/0!</v>
      </c>
      <c r="G51" s="3223"/>
      <c r="H51" s="3224"/>
      <c r="I51" s="941">
        <v>1</v>
      </c>
      <c r="J51" s="941">
        <v>1</v>
      </c>
      <c r="K51" s="1143"/>
      <c r="L51" s="940"/>
      <c r="M51" s="940"/>
      <c r="N51" s="940"/>
      <c r="O51" s="940"/>
    </row>
    <row r="52" spans="1:17" s="692" customFormat="1">
      <c r="A52" s="693" t="s">
        <v>2767</v>
      </c>
      <c r="B52" s="262" t="e">
        <f>ROUND($C$43*C52*D52,0)</f>
        <v>#DIV/0!</v>
      </c>
      <c r="C52" s="200">
        <f t="shared" ref="C52:C60" si="16">IF($C$50="北京市系数",I52,J52)</f>
        <v>0</v>
      </c>
      <c r="D52" s="1162">
        <v>0.25</v>
      </c>
      <c r="E52" s="694"/>
      <c r="F52" s="691" t="e">
        <f t="shared" si="15"/>
        <v>#DIV/0!</v>
      </c>
      <c r="G52" s="3225" t="s">
        <v>2768</v>
      </c>
      <c r="H52" s="1102">
        <f>项目基本情况!B37</f>
        <v>0</v>
      </c>
      <c r="I52" s="941">
        <f>SUMIF(修正!A45:A56,H52,修正!B45:B56)</f>
        <v>0</v>
      </c>
      <c r="J52" s="942"/>
      <c r="K52" s="1142"/>
      <c r="L52" s="940"/>
      <c r="M52" s="940"/>
      <c r="N52" s="940"/>
      <c r="O52" s="940"/>
    </row>
    <row r="53" spans="1:17" s="692" customFormat="1">
      <c r="A53" s="693" t="s">
        <v>2769</v>
      </c>
      <c r="B53" s="262" t="e">
        <f t="shared" ref="B53:B60" si="17">ROUND($C$43*C53*D53,0)</f>
        <v>#DIV/0!</v>
      </c>
      <c r="C53" s="200">
        <f t="shared" si="16"/>
        <v>0</v>
      </c>
      <c r="D53" s="1162">
        <v>0.25</v>
      </c>
      <c r="E53" s="694"/>
      <c r="F53" s="691" t="e">
        <f t="shared" si="15"/>
        <v>#DIV/0!</v>
      </c>
      <c r="G53" s="3225"/>
      <c r="H53" s="1102">
        <f>项目基本情况!B37</f>
        <v>0</v>
      </c>
      <c r="I53" s="941">
        <f>SUMIF(修正!A45:A56,H53,修正!C45:C56)</f>
        <v>0</v>
      </c>
      <c r="J53" s="942"/>
      <c r="K53" s="1143"/>
      <c r="L53" s="940"/>
      <c r="M53" s="940"/>
      <c r="N53" s="940"/>
      <c r="O53" s="940"/>
    </row>
    <row r="54" spans="1:17" s="692" customFormat="1">
      <c r="A54" s="693" t="s">
        <v>2770</v>
      </c>
      <c r="B54" s="262" t="e">
        <f t="shared" si="17"/>
        <v>#DIV/0!</v>
      </c>
      <c r="C54" s="200">
        <f t="shared" si="16"/>
        <v>0</v>
      </c>
      <c r="D54" s="1162">
        <v>0.25</v>
      </c>
      <c r="E54" s="694"/>
      <c r="F54" s="691" t="e">
        <f t="shared" si="15"/>
        <v>#DIV/0!</v>
      </c>
      <c r="G54" s="3225"/>
      <c r="H54" s="1102">
        <f>项目基本情况!B37</f>
        <v>0</v>
      </c>
      <c r="I54" s="941">
        <f>SUMIF(修正!A45:A56,H54,修正!D45:D56)</f>
        <v>0</v>
      </c>
      <c r="J54" s="942"/>
      <c r="K54" s="1142"/>
      <c r="L54" s="940"/>
      <c r="M54" s="940"/>
      <c r="N54" s="940"/>
      <c r="O54" s="940"/>
    </row>
    <row r="55" spans="1:17" s="692" customFormat="1">
      <c r="A55" s="693" t="s">
        <v>2771</v>
      </c>
      <c r="B55" s="262" t="e">
        <f t="shared" si="17"/>
        <v>#DIV/0!</v>
      </c>
      <c r="C55" s="200">
        <f t="shared" si="16"/>
        <v>0</v>
      </c>
      <c r="D55" s="1162">
        <v>0.25</v>
      </c>
      <c r="E55" s="694"/>
      <c r="F55" s="691" t="e">
        <f t="shared" si="15"/>
        <v>#DIV/0!</v>
      </c>
      <c r="G55" s="3225"/>
      <c r="H55" s="1102">
        <f>项目基本情况!B37</f>
        <v>0</v>
      </c>
      <c r="I55" s="941">
        <f>SUMIF(修正!A45:A56,H55,修正!E45:E56)</f>
        <v>0</v>
      </c>
      <c r="J55" s="942"/>
      <c r="K55" s="1143"/>
      <c r="L55" s="940"/>
      <c r="M55" s="940"/>
      <c r="N55" s="940"/>
      <c r="O55" s="940"/>
    </row>
    <row r="56" spans="1:17" s="692" customFormat="1">
      <c r="A56" s="693" t="s">
        <v>2772</v>
      </c>
      <c r="B56" s="262" t="e">
        <f t="shared" si="17"/>
        <v>#DIV/0!</v>
      </c>
      <c r="C56" s="200">
        <f t="shared" si="16"/>
        <v>0</v>
      </c>
      <c r="D56" s="1162">
        <v>0.25</v>
      </c>
      <c r="E56" s="261">
        <f>'数据-汇总表'!E11</f>
        <v>0</v>
      </c>
      <c r="F56" s="691" t="e">
        <f t="shared" si="15"/>
        <v>#DIV/0!</v>
      </c>
      <c r="G56" s="2705" t="s">
        <v>2773</v>
      </c>
      <c r="H56" s="1102">
        <f>项目基本情况!C37</f>
        <v>0</v>
      </c>
      <c r="I56" s="941">
        <f>SUMIF(修正!A45:A56,H56,修正!F45:F56)</f>
        <v>0</v>
      </c>
      <c r="J56" s="942"/>
      <c r="K56" s="1142"/>
      <c r="L56" s="940"/>
      <c r="M56" s="940"/>
      <c r="N56" s="940"/>
      <c r="O56" s="940"/>
    </row>
    <row r="57" spans="1:17" s="692" customFormat="1">
      <c r="A57" s="693" t="s">
        <v>2774</v>
      </c>
      <c r="B57" s="262" t="e">
        <f t="shared" si="17"/>
        <v>#DIV/0!</v>
      </c>
      <c r="C57" s="200">
        <f t="shared" si="16"/>
        <v>0</v>
      </c>
      <c r="D57" s="1162">
        <v>0.25</v>
      </c>
      <c r="E57" s="261">
        <f>'数据-汇总表'!E12</f>
        <v>0</v>
      </c>
      <c r="F57" s="691" t="e">
        <f t="shared" si="15"/>
        <v>#DIV/0!</v>
      </c>
      <c r="G57" s="1107" t="s">
        <v>2775</v>
      </c>
      <c r="H57" s="1102">
        <f>IF(G57="商业",项目基本情况!B37,IF(G57="办公",项目基本情况!C37,IF(G57="住宅",项目基本情况!D37,项目基本情况!E37)))</f>
        <v>0</v>
      </c>
      <c r="I57" s="941">
        <f>SUMIF(修正!A45:A56,H57,修正!G45:G56)</f>
        <v>0</v>
      </c>
      <c r="J57" s="942"/>
      <c r="K57" s="1143"/>
      <c r="L57" s="940"/>
      <c r="M57" s="940"/>
      <c r="N57" s="940"/>
      <c r="O57" s="940"/>
    </row>
    <row r="58" spans="1:17" s="692" customFormat="1">
      <c r="A58" s="693" t="s">
        <v>2776</v>
      </c>
      <c r="B58" s="262" t="e">
        <f t="shared" si="17"/>
        <v>#DIV/0!</v>
      </c>
      <c r="C58" s="200">
        <f t="shared" si="16"/>
        <v>0</v>
      </c>
      <c r="D58" s="1162">
        <v>0.25</v>
      </c>
      <c r="E58" s="261">
        <f>'数据-汇总表'!E13</f>
        <v>0</v>
      </c>
      <c r="F58" s="691" t="e">
        <f t="shared" si="15"/>
        <v>#DIV/0!</v>
      </c>
      <c r="G58" s="1107" t="s">
        <v>2777</v>
      </c>
      <c r="H58" s="1102">
        <f>IF(G58="商业",项目基本情况!B37,IF(G58="办公",项目基本情况!C37,IF(G58="住宅",项目基本情况!D37,项目基本情况!E37)))</f>
        <v>0</v>
      </c>
      <c r="I58" s="941">
        <f>SUMIF(修正!A45:A56,H58,修正!H45:H56)</f>
        <v>0</v>
      </c>
      <c r="J58" s="942"/>
      <c r="K58" s="1142"/>
      <c r="L58" s="940"/>
      <c r="M58" s="940"/>
      <c r="N58" s="940"/>
      <c r="O58" s="940"/>
    </row>
    <row r="59" spans="1:17" s="692" customFormat="1">
      <c r="A59" s="693" t="s">
        <v>2778</v>
      </c>
      <c r="B59" s="262" t="e">
        <f t="shared" si="17"/>
        <v>#DIV/0!</v>
      </c>
      <c r="C59" s="200">
        <f t="shared" si="16"/>
        <v>0</v>
      </c>
      <c r="D59" s="1162">
        <v>0.25</v>
      </c>
      <c r="E59" s="261">
        <f>'数据-汇总表'!E14</f>
        <v>0</v>
      </c>
      <c r="F59" s="691" t="e">
        <f t="shared" si="15"/>
        <v>#DIV/0!</v>
      </c>
      <c r="G59" s="2705" t="s">
        <v>2768</v>
      </c>
      <c r="H59" s="1102">
        <f>项目基本情况!B37</f>
        <v>0</v>
      </c>
      <c r="I59" s="941">
        <f>SUMIF(修正!A45:A56,H59,修正!H45:H56)</f>
        <v>0</v>
      </c>
      <c r="J59" s="942"/>
      <c r="K59" s="1143"/>
      <c r="L59" s="940"/>
      <c r="M59" s="940"/>
      <c r="N59" s="940"/>
      <c r="O59" s="940"/>
    </row>
    <row r="60" spans="1:17" s="692" customFormat="1" ht="15" thickBot="1">
      <c r="A60" s="693" t="s">
        <v>2779</v>
      </c>
      <c r="B60" s="262" t="e">
        <f t="shared" si="17"/>
        <v>#DIV/0!</v>
      </c>
      <c r="C60" s="200">
        <f t="shared" si="16"/>
        <v>0</v>
      </c>
      <c r="D60" s="1162">
        <v>0.25</v>
      </c>
      <c r="E60" s="261">
        <f>'数据-汇总表'!E15</f>
        <v>0</v>
      </c>
      <c r="F60" s="691" t="e">
        <f t="shared" si="15"/>
        <v>#DIV/0!</v>
      </c>
      <c r="G60" s="2706" t="s">
        <v>2773</v>
      </c>
      <c r="H60" s="1112">
        <f>项目基本情况!C37</f>
        <v>0</v>
      </c>
      <c r="I60" s="941">
        <f>SUMIF(修正!A45:A56,H60,修正!H45:H56)</f>
        <v>0</v>
      </c>
      <c r="J60" s="942"/>
      <c r="K60" s="1142"/>
      <c r="L60" s="940"/>
      <c r="M60" s="940"/>
      <c r="N60" s="940"/>
      <c r="O60" s="940"/>
    </row>
    <row r="61" spans="1:17" s="692" customFormat="1" ht="15" thickBot="1">
      <c r="A61" s="695" t="s">
        <v>2780</v>
      </c>
      <c r="B61" s="696" t="s">
        <v>28</v>
      </c>
      <c r="C61" s="696" t="s">
        <v>29</v>
      </c>
      <c r="D61" s="696" t="s">
        <v>1026</v>
      </c>
      <c r="E61" s="696">
        <f>IF(B41="楼面地价",SUM(E51:E60),'数据-汇总表'!D3)</f>
        <v>0</v>
      </c>
      <c r="F61" s="697" t="e">
        <f>IF(B41="楼面地价",SUM(F51:F60),ROUND(C43*E61/10000,0))</f>
        <v>#DIV/0!</v>
      </c>
      <c r="G61" s="1156"/>
      <c r="H61" s="1156"/>
      <c r="I61" s="1156"/>
      <c r="J61" s="1156"/>
      <c r="K61" s="1103"/>
      <c r="L61" s="940"/>
      <c r="M61" s="940"/>
      <c r="N61" s="940"/>
      <c r="O61" s="940"/>
    </row>
    <row r="62" spans="1:17">
      <c r="A62" s="1142"/>
      <c r="B62" s="1144"/>
      <c r="C62" s="1148"/>
      <c r="D62" s="1142"/>
      <c r="E62" s="1142"/>
      <c r="F62" s="1142"/>
      <c r="G62" s="1142"/>
      <c r="H62" s="1142"/>
      <c r="I62" s="1142"/>
      <c r="J62" s="1142"/>
      <c r="K62" s="1103"/>
      <c r="L62" s="1104"/>
      <c r="M62" s="1142"/>
      <c r="N62" s="1142"/>
      <c r="O62" s="1142"/>
    </row>
    <row r="63" spans="1:17">
      <c r="A63" s="1142"/>
      <c r="B63" s="1144"/>
      <c r="C63" s="760" t="str">
        <f>YEAR(C7)&amp;"-"&amp;MONTH(C7)&amp;"-1"</f>
        <v>2019-9-1</v>
      </c>
      <c r="D63" s="760">
        <f>EDATE(C63,-3)</f>
        <v>43617</v>
      </c>
      <c r="E63" s="760">
        <f>EDATE(D63,-3)</f>
        <v>43525</v>
      </c>
      <c r="F63" s="760">
        <f t="shared" ref="F63:O63" si="18">EDATE(E63,-3)</f>
        <v>43435</v>
      </c>
      <c r="G63" s="760">
        <f t="shared" si="18"/>
        <v>43344</v>
      </c>
      <c r="H63" s="760">
        <f t="shared" si="18"/>
        <v>43252</v>
      </c>
      <c r="I63" s="760">
        <f t="shared" si="18"/>
        <v>43160</v>
      </c>
      <c r="J63" s="760">
        <f t="shared" si="18"/>
        <v>43070</v>
      </c>
      <c r="K63" s="760">
        <f t="shared" si="18"/>
        <v>42979</v>
      </c>
      <c r="L63" s="760">
        <f t="shared" si="18"/>
        <v>42887</v>
      </c>
      <c r="M63" s="760">
        <f t="shared" si="18"/>
        <v>42795</v>
      </c>
      <c r="N63" s="760">
        <f t="shared" si="18"/>
        <v>42705</v>
      </c>
      <c r="O63" s="760">
        <f t="shared" si="18"/>
        <v>42614</v>
      </c>
    </row>
    <row r="64" spans="1:17" ht="21.75" thickBot="1">
      <c r="A64" s="762" t="s">
        <v>2674</v>
      </c>
      <c r="B64" s="758"/>
      <c r="C64" s="763"/>
      <c r="D64" s="763"/>
      <c r="E64" s="763"/>
      <c r="F64" s="764"/>
      <c r="G64" s="764"/>
      <c r="H64" s="763"/>
      <c r="I64" s="763"/>
      <c r="J64" s="763"/>
      <c r="K64" s="765"/>
      <c r="L64" s="766"/>
      <c r="M64" s="763"/>
      <c r="N64" s="763"/>
      <c r="O64" s="1157"/>
      <c r="P64" s="503"/>
      <c r="Q64" s="504"/>
    </row>
    <row r="65" spans="1:17" s="508" customFormat="1" ht="15">
      <c r="A65" s="2707" t="s">
        <v>2781</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7"/>
    </row>
    <row r="66" spans="1:17" s="117" customFormat="1" ht="30.75" customHeight="1">
      <c r="A66" s="2712" t="s">
        <v>2801</v>
      </c>
      <c r="B66" s="332" t="str">
        <f>"北京市平均增长率"&amp;TEXT(基准地价修正!P24,"0.00%")</f>
        <v>北京市平均增长率1.40%</v>
      </c>
      <c r="C66" s="603">
        <v>100</v>
      </c>
      <c r="D66" s="595"/>
      <c r="E66" s="595"/>
      <c r="F66" s="595"/>
      <c r="G66" s="595"/>
      <c r="H66" s="595"/>
      <c r="I66" s="595"/>
      <c r="J66" s="595"/>
      <c r="K66" s="595"/>
      <c r="L66" s="595"/>
      <c r="M66" s="1565"/>
      <c r="N66" s="1565"/>
      <c r="O66" s="1567"/>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2588</v>
      </c>
      <c r="B70" s="528" t="s">
        <v>2554</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2557</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2784</v>
      </c>
      <c r="C87" s="573" t="s">
        <v>2597</v>
      </c>
      <c r="D87" s="573" t="s">
        <v>2598</v>
      </c>
      <c r="E87" s="573" t="s">
        <v>2599</v>
      </c>
      <c r="F87" s="573" t="s">
        <v>2600</v>
      </c>
      <c r="G87" s="573" t="s">
        <v>2601</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2785</v>
      </c>
      <c r="C89" s="573" t="s">
        <v>2597</v>
      </c>
      <c r="D89" s="573" t="s">
        <v>2598</v>
      </c>
      <c r="E89" s="573" t="s">
        <v>2599</v>
      </c>
      <c r="F89" s="573" t="s">
        <v>2600</v>
      </c>
      <c r="G89" s="573" t="s">
        <v>2601</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2802</v>
      </c>
      <c r="C93" s="660" t="s">
        <v>2675</v>
      </c>
      <c r="D93" s="660" t="s">
        <v>2676</v>
      </c>
      <c r="E93" s="660" t="s">
        <v>2677</v>
      </c>
      <c r="F93" s="660" t="s">
        <v>2678</v>
      </c>
      <c r="G93" s="660" t="s">
        <v>2679</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2"/>
      <c r="O94" s="1152"/>
      <c r="P94" s="558"/>
      <c r="Q94" s="559"/>
    </row>
    <row r="95" spans="1:17" ht="15.75" thickTop="1">
      <c r="A95" s="534"/>
      <c r="B95" s="538" t="str">
        <f>B27</f>
        <v>临街状况</v>
      </c>
      <c r="C95" s="539" t="s">
        <v>2786</v>
      </c>
      <c r="D95" s="539" t="s">
        <v>2787</v>
      </c>
      <c r="E95" s="539" t="s">
        <v>2788</v>
      </c>
      <c r="F95" s="539" t="s">
        <v>2789</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2691</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2750</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2563</v>
      </c>
      <c r="B107" s="528" t="s">
        <v>2790</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4" t="str">
        <f t="shared" si="25"/>
        <v>(含)-</v>
      </c>
      <c r="L107" s="1764" t="str">
        <f t="shared" si="25"/>
        <v>(含)-</v>
      </c>
      <c r="M107" s="1765"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2791</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2793</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2794</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70" customWidth="1"/>
    <col min="33" max="36" width="9.375" style="2784" customWidth="1"/>
    <col min="37" max="38" width="9.375" style="2716" customWidth="1"/>
    <col min="39" max="16384" width="12" style="2716"/>
  </cols>
  <sheetData>
    <row r="1" spans="1:36" ht="28.5">
      <c r="A1" s="240" t="s">
        <v>2803</v>
      </c>
      <c r="B1" s="241"/>
      <c r="C1" s="245" t="s">
        <v>2804</v>
      </c>
      <c r="D1" s="388">
        <f>SUM(D29:D30,D33:D39)</f>
        <v>0</v>
      </c>
      <c r="E1" s="2713"/>
      <c r="F1" s="2713"/>
      <c r="G1" s="2713"/>
      <c r="H1" s="2713"/>
      <c r="I1" s="2713"/>
      <c r="J1" s="2713"/>
      <c r="K1" s="1368"/>
      <c r="L1" s="2714" t="s">
        <v>2805</v>
      </c>
      <c r="M1" s="1078">
        <f>SUMPRODUCT((区片价!B5:B9=I2)*(区片价!C3:F3=E2)*(区片价!C5:F9))</f>
        <v>0</v>
      </c>
      <c r="N1" s="1081">
        <f>SUMPRODUCT((因素修正幅度!B5:B9=I2)*(因素修正幅度!C3:F3=E2)*(因素修正幅度!C5:F9))</f>
        <v>0</v>
      </c>
      <c r="O1" s="2715"/>
      <c r="P1" s="2715"/>
      <c r="Q1" s="1368"/>
      <c r="R1" s="1600" t="s">
        <v>2806</v>
      </c>
      <c r="S1" s="1600" t="s">
        <v>2807</v>
      </c>
      <c r="T1" s="1600" t="s">
        <v>2808</v>
      </c>
      <c r="U1" s="1600" t="s">
        <v>2809</v>
      </c>
      <c r="V1" s="1600" t="s">
        <v>2810</v>
      </c>
      <c r="W1" s="1604"/>
      <c r="X1" s="1604"/>
      <c r="Y1" s="1604"/>
      <c r="Z1" s="1604"/>
      <c r="AA1" s="1604"/>
      <c r="AB1" s="1604"/>
      <c r="AC1" s="1605"/>
      <c r="AD1" s="1606"/>
      <c r="AE1" s="1606"/>
      <c r="AF1" s="1606"/>
      <c r="AG1" s="1606"/>
      <c r="AH1" s="1606"/>
      <c r="AI1" s="1606"/>
      <c r="AJ1" s="1607"/>
    </row>
    <row r="2" spans="1:36" ht="15.75">
      <c r="A2" s="245" t="s">
        <v>2811</v>
      </c>
      <c r="B2" s="248" t="e">
        <f>C26</f>
        <v>#DIV/0!</v>
      </c>
      <c r="C2" s="2717" t="s">
        <v>2812</v>
      </c>
      <c r="D2" s="2718" t="s">
        <v>2813</v>
      </c>
      <c r="E2" s="2719"/>
      <c r="F2" s="2718" t="s">
        <v>2814</v>
      </c>
      <c r="G2" s="2720">
        <f>IF(E2="商业",项目基本情况!B37,IF(E2="办公",项目基本情况!C37,IF(E2="住宅",项目基本情况!D37,项目基本情况!E37)))</f>
        <v>0</v>
      </c>
      <c r="H2" s="2718" t="s">
        <v>2815</v>
      </c>
      <c r="I2" s="2720">
        <f>IF(E2="商业",项目基本情况!B38,IF(E2="办公",项目基本情况!C38,IF(E2="住宅",项目基本情况!D38,项目基本情况!E38)))</f>
        <v>0</v>
      </c>
      <c r="J2" s="2721"/>
      <c r="K2" s="1368"/>
      <c r="L2" s="2722" t="s">
        <v>2816</v>
      </c>
      <c r="M2" s="1079">
        <f>SUMPRODUCT((区片价!B10:B28=I2)*(区片价!C3:F3=E2)*(区片价!C10:F28))</f>
        <v>0</v>
      </c>
      <c r="N2" s="1081">
        <f>SUMPRODUCT((因素修正幅度!B10:B28=I2)*(因素修正幅度!C3:F3=E2)*(因素修正幅度!C10:F28))</f>
        <v>0</v>
      </c>
      <c r="O2" s="1368"/>
      <c r="P2" s="1368"/>
      <c r="Q2" s="1368"/>
      <c r="R2" s="1600">
        <v>1</v>
      </c>
      <c r="S2" s="1600" t="e">
        <f>ROUND(IF(G3&gt;1,IF(R2&lt;7,SUMPRODUCT((B93:B98=R2)*(C92:N92=G2)*(C93:N98)),SUMIF(C92:N92,G2,C100:N100)),IF(R2&lt;7,SUMPRODUCT((B102:B107=R2)*(C92:N92=G2)*(C102:N107)),SUMIF(C92:N92,G2,C109:N109))),4)</f>
        <v>#DIV/0!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7" t="s">
        <v>2817</v>
      </c>
      <c r="B3" s="248" t="e">
        <f>ROUND(B2*10000/D1,0)</f>
        <v>#DIV/0!</v>
      </c>
      <c r="C3" s="2717" t="s">
        <v>2818</v>
      </c>
      <c r="D3" s="2718" t="s">
        <v>2819</v>
      </c>
      <c r="E3" s="2723"/>
      <c r="F3" s="2724" t="s">
        <v>2820</v>
      </c>
      <c r="G3" s="915" t="e">
        <f>IF(F3="宗地容积率",'数据-汇总表'!I4,IF(F3="估价对象容积率",'数据-汇总表'!I6,'数据-汇总表'!I7))</f>
        <v>#DIV/0!</v>
      </c>
      <c r="H3" s="198" t="s">
        <v>2821</v>
      </c>
      <c r="I3" s="943"/>
      <c r="J3" s="2721" t="s">
        <v>2822</v>
      </c>
      <c r="K3" s="1368"/>
      <c r="L3" s="2722" t="s">
        <v>2823</v>
      </c>
      <c r="M3" s="1079">
        <f>SUMPRODUCT((区片价!B29:B48=I2)*(区片价!C3:F3=E2)*(区片价!C29:F48))</f>
        <v>0</v>
      </c>
      <c r="N3" s="1081">
        <f>SUMPRODUCT((因素修正幅度!B29:B48=I2)*(因素修正幅度!C3:F3=E2)*(因素修正幅度!C29:F48))</f>
        <v>0</v>
      </c>
      <c r="O3" s="1368"/>
      <c r="P3" s="1368"/>
      <c r="Q3" s="1368"/>
      <c r="R3" s="1600">
        <v>2</v>
      </c>
      <c r="S3" s="1600" t="e">
        <f>ROUND(IF(G3&gt;1,IF(R3&lt;7,SUMPRODUCT((B93:B98=R3)*(C92:N92=G2)*(C93:N98)),SUMIF(C92:N92,G2,C100:N100)),IF(R3&lt;7,SUMPRODUCT((B102:B107=R3)*(C92:N92=G2)*(C102:N107)),SUMIF(C92:N92,G2,C109:N109))),4)</f>
        <v>#DIV/0!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19"/>
      <c r="B4" s="3320"/>
      <c r="C4" s="3320"/>
      <c r="D4" s="3321"/>
      <c r="E4" s="3321"/>
      <c r="F4" s="3321"/>
      <c r="G4" s="3321"/>
      <c r="H4" s="3321"/>
      <c r="I4" s="3321"/>
      <c r="J4" s="3322"/>
      <c r="K4" s="1368"/>
      <c r="L4" s="2722" t="s">
        <v>2824</v>
      </c>
      <c r="M4" s="1079">
        <f>SUMPRODUCT((区片价!B49:B75=I2)*(区片价!C3:F3=E2)*(区片价!C49:F75))</f>
        <v>0</v>
      </c>
      <c r="N4" s="1081">
        <f>SUMPRODUCT((因素修正幅度!B49:B75=I2)*(因素修正幅度!C3:F3=E2)*(因素修正幅度!C49:F75))</f>
        <v>0</v>
      </c>
      <c r="O4" s="1368"/>
      <c r="P4" s="1368"/>
      <c r="Q4" s="1368"/>
      <c r="R4" s="1600">
        <v>3</v>
      </c>
      <c r="S4" s="1600" t="e">
        <f>ROUND(IF(G3&gt;1,IF(R4&lt;7,SUMPRODUCT((B93:B98=R4)*(C92:N92=G2)*(C93:N98)),SUMIF(C92:N92,G2,C100:N100)),IF(R4&lt;7,SUMPRODUCT((B102:B107=R4)*(C92:N92=G2)*(C102:N107)),SUMIF(C92:N92,G2,C109:N109))),4)</f>
        <v>#DIV/0!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4" customFormat="1" ht="15.75" thickBot="1">
      <c r="A5" s="2725" t="s">
        <v>807</v>
      </c>
      <c r="B5" s="2726" t="s">
        <v>2825</v>
      </c>
      <c r="C5" s="916" t="e">
        <f>ROUND(IF(E2="商业",C6*C7+C16,(IF(E2="住宅",C6*C12+C16,C6+C16))),0)</f>
        <v>#DIV/0!</v>
      </c>
      <c r="D5" s="1785" t="e">
        <f>ROUND(C6+C16,0)</f>
        <v>#DIV/0!</v>
      </c>
      <c r="E5" s="1785"/>
      <c r="F5" s="2727"/>
      <c r="G5" s="2728"/>
      <c r="H5" s="2728"/>
      <c r="I5" s="2728"/>
      <c r="J5" s="2729"/>
      <c r="K5" s="2730"/>
      <c r="L5" s="2722" t="s">
        <v>2826</v>
      </c>
      <c r="M5" s="1079">
        <f>SUMPRODUCT((区片价!B76:B109=I2)*(区片价!C3:F3=E2)*(区片价!C76:F109))</f>
        <v>0</v>
      </c>
      <c r="N5" s="1081">
        <f>SUMPRODUCT((因素修正幅度!B76:B109=I2)*(因素修正幅度!C3:F3=E2)*(因素修正幅度!C76:F109))</f>
        <v>0</v>
      </c>
      <c r="O5" s="1368"/>
      <c r="P5" s="1368"/>
      <c r="Q5" s="1368"/>
      <c r="R5" s="1600">
        <v>4</v>
      </c>
      <c r="S5" s="1600" t="e">
        <f>ROUND(IF(G3&gt;1,IF(R5&lt;7,SUMPRODUCT((B93:B98=R5)*(C92:N92=G2)*(C93:N98)),SUMIF(C92:N92,G2,C100:N100)),IF(R5&lt;7,SUMPRODUCT((B102:B107=R5)*(C92:N92=G2)*(C102:N107)),SUMIF(C92:N92,G2,C109:N109))),4)</f>
        <v>#DIV/0!</v>
      </c>
      <c r="T5" s="1600" t="e">
        <f t="shared" si="0"/>
        <v>#DIV/0!</v>
      </c>
      <c r="U5" s="1601"/>
      <c r="V5" s="1600" t="e">
        <f t="shared" si="1"/>
        <v>#DIV/0!</v>
      </c>
      <c r="W5" s="1604"/>
      <c r="X5" s="1604"/>
      <c r="Y5" s="1604"/>
      <c r="Z5" s="1604"/>
      <c r="AA5" s="1604"/>
      <c r="AB5" s="1604"/>
      <c r="AC5" s="2731"/>
      <c r="AD5" s="2732"/>
      <c r="AE5" s="2732"/>
      <c r="AF5" s="2732"/>
      <c r="AG5" s="2732"/>
      <c r="AH5" s="2732"/>
      <c r="AI5" s="2732"/>
      <c r="AJ5" s="2733"/>
    </row>
    <row r="6" spans="1:36" ht="15.75" thickBot="1">
      <c r="A6" s="2735" t="s">
        <v>2827</v>
      </c>
      <c r="B6" s="2736" t="s">
        <v>2828</v>
      </c>
      <c r="C6" s="917">
        <f>SUMIF(L1:L12,G2,M1:M12)</f>
        <v>0</v>
      </c>
      <c r="D6" s="2737" t="s">
        <v>2829</v>
      </c>
      <c r="E6" s="2738"/>
      <c r="F6" s="2738"/>
      <c r="G6" s="2739"/>
      <c r="H6" s="2739"/>
      <c r="I6" s="2739"/>
      <c r="J6" s="2740"/>
      <c r="K6" s="1840"/>
      <c r="L6" s="2722" t="s">
        <v>2830</v>
      </c>
      <c r="M6" s="1079">
        <f>SUMPRODUCT((区片价!B110:B157=I2)*(区片价!C3:F3=E2)*(区片价!C110:F157))</f>
        <v>0</v>
      </c>
      <c r="N6" s="1081">
        <f>SUMPRODUCT((因素修正幅度!B110:B157=I2)*(因素修正幅度!C3:F3=E2)*(因素修正幅度!C110:F157))</f>
        <v>0</v>
      </c>
      <c r="O6" s="1368"/>
      <c r="P6" s="1368"/>
      <c r="Q6" s="1368"/>
      <c r="R6" s="1600">
        <v>5</v>
      </c>
      <c r="S6" s="1600" t="e">
        <f>ROUND(IF(G3&gt;1,IF(R6&lt;7,SUMPRODUCT((B93:B98=R6)*(C92:N92=G2)*(C93:N98)),SUMIF(C92:N92,G2,C100:N100)),IF(R6&lt;7,SUMPRODUCT((B102:B107=R6)*(C92:N92=G2)*(C102:N107)),SUMIF(C92:N92,G2,C109:N109))),4)</f>
        <v>#DIV/0!</v>
      </c>
      <c r="T6" s="1600" t="e">
        <f t="shared" si="0"/>
        <v>#DIV/0!</v>
      </c>
      <c r="U6" s="1601"/>
      <c r="V6" s="1600" t="e">
        <f t="shared" si="1"/>
        <v>#DIV/0!</v>
      </c>
      <c r="W6" s="1604"/>
      <c r="X6" s="1604"/>
      <c r="Y6" s="1604"/>
      <c r="Z6" s="1604"/>
      <c r="AA6" s="1604"/>
      <c r="AB6" s="1604"/>
      <c r="AC6" s="2731"/>
      <c r="AD6" s="2732"/>
      <c r="AE6" s="2732"/>
      <c r="AF6" s="2732"/>
      <c r="AG6" s="2732"/>
      <c r="AH6" s="2732"/>
      <c r="AI6" s="2732"/>
      <c r="AJ6" s="2733"/>
    </row>
    <row r="7" spans="1:36" ht="24">
      <c r="A7" s="3323" t="str">
        <f>IF(E2="商业",IF(C8="不临58条商业街","",2),"")</f>
        <v/>
      </c>
      <c r="B7" s="2741" t="s">
        <v>2831</v>
      </c>
      <c r="C7" s="918" t="e">
        <f>IF(C8="不临58条商业街",1,ROUND(1+(1.6*E8+1.2*E9+0.8*E10+0.4*E11)*C9,4))</f>
        <v>#DIV/0!</v>
      </c>
      <c r="D7" s="2742" t="s">
        <v>2832</v>
      </c>
      <c r="E7" s="944"/>
      <c r="F7" s="2743"/>
      <c r="G7" s="2744"/>
      <c r="H7" s="2744"/>
      <c r="I7" s="2744"/>
      <c r="J7" s="2745"/>
      <c r="K7" s="1840"/>
      <c r="L7" s="2722" t="s">
        <v>2833</v>
      </c>
      <c r="M7" s="1079">
        <f>SUMPRODUCT((区片价!B158:B205=I2)*(区片价!C3:F3=E2)*(区片价!C158:F205))</f>
        <v>0</v>
      </c>
      <c r="N7" s="1081">
        <f>SUMPRODUCT((因素修正幅度!B158:B205=I2)*(因素修正幅度!C3:F3=E2)*(因素修正幅度!C158:F205))</f>
        <v>0</v>
      </c>
      <c r="O7" s="1368"/>
      <c r="P7" s="1368"/>
      <c r="Q7" s="1368"/>
      <c r="R7" s="1600">
        <v>6</v>
      </c>
      <c r="S7" s="1600" t="e">
        <f>ROUND(IF(G3&gt;1,IF(R7&lt;7,SUMPRODUCT((B93:B98=R7)*(C92:N92=G2)*(C93:N98)),SUMIF(C92:N92,G2,C100:N100)),IF(R7&lt;7,SUMPRODUCT((B102:B107=R7)*(C92:N92=G2)*(C102:N107)),SUMIF(C92:N92,G2,C109:N109))),4)</f>
        <v>#DIV/0!</v>
      </c>
      <c r="T7" s="1600" t="e">
        <f t="shared" si="0"/>
        <v>#DIV/0!</v>
      </c>
      <c r="U7" s="1601"/>
      <c r="V7" s="1600" t="e">
        <f t="shared" si="1"/>
        <v>#DIV/0!</v>
      </c>
      <c r="W7" s="1814" t="s">
        <v>2834</v>
      </c>
      <c r="X7" s="1602">
        <f>G2</f>
        <v>0</v>
      </c>
      <c r="Y7" s="1602" t="s">
        <v>2835</v>
      </c>
      <c r="Z7" s="1603" t="e">
        <f>G3</f>
        <v>#DIV/0!</v>
      </c>
      <c r="AA7" s="1604"/>
      <c r="AB7" s="1604"/>
      <c r="AC7" s="1605"/>
      <c r="AD7" s="1606"/>
      <c r="AE7" s="1606"/>
      <c r="AF7" s="1606"/>
      <c r="AG7" s="1606"/>
      <c r="AH7" s="1606"/>
      <c r="AI7" s="1606"/>
      <c r="AJ7" s="1607"/>
    </row>
    <row r="8" spans="1:36" ht="15">
      <c r="A8" s="3324"/>
      <c r="B8" s="198" t="s">
        <v>2836</v>
      </c>
      <c r="C8" s="2746"/>
      <c r="D8" s="919" t="s">
        <v>139</v>
      </c>
      <c r="E8" s="920" t="e">
        <f>ROUND(C11/E7,4)</f>
        <v>#DIV/0!</v>
      </c>
      <c r="F8" s="2747" t="s">
        <v>2837</v>
      </c>
      <c r="G8" s="2748"/>
      <c r="H8" s="2748"/>
      <c r="I8" s="2748"/>
      <c r="J8" s="2749"/>
      <c r="K8" s="1368"/>
      <c r="L8" s="2722" t="s">
        <v>2838</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16" t="s">
        <v>2839</v>
      </c>
      <c r="X8" s="3317"/>
      <c r="Y8" s="1608" t="s">
        <v>2840</v>
      </c>
      <c r="Z8" s="1608" t="s">
        <v>2841</v>
      </c>
      <c r="AA8" s="1608" t="s">
        <v>2842</v>
      </c>
      <c r="AB8" s="1608" t="s">
        <v>2843</v>
      </c>
      <c r="AC8" s="1608" t="s">
        <v>2844</v>
      </c>
      <c r="AD8" s="1608" t="s">
        <v>2845</v>
      </c>
      <c r="AE8" s="1608" t="s">
        <v>2846</v>
      </c>
      <c r="AF8" s="1608" t="s">
        <v>2847</v>
      </c>
      <c r="AG8" s="1608" t="s">
        <v>2848</v>
      </c>
      <c r="AH8" s="1608" t="s">
        <v>2849</v>
      </c>
      <c r="AI8" s="1608" t="s">
        <v>2850</v>
      </c>
      <c r="AJ8" s="1608" t="s">
        <v>2851</v>
      </c>
    </row>
    <row r="9" spans="1:36" ht="15">
      <c r="A9" s="3324"/>
      <c r="B9" s="198" t="s">
        <v>2852</v>
      </c>
      <c r="C9" s="921">
        <f>SUMIF(修正!C59:C119,C8,修正!E59:E119)</f>
        <v>0</v>
      </c>
      <c r="D9" s="200" t="s">
        <v>140</v>
      </c>
      <c r="E9" s="200" t="e">
        <f>ROUND(C11/E7,4)</f>
        <v>#DIV/0!</v>
      </c>
      <c r="F9" s="2747" t="s">
        <v>2853</v>
      </c>
      <c r="G9" s="2748"/>
      <c r="H9" s="2748"/>
      <c r="I9" s="2748"/>
      <c r="J9" s="2749"/>
      <c r="K9" s="1368"/>
      <c r="L9" s="2722" t="s">
        <v>2854</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18" t="s">
        <v>2855</v>
      </c>
      <c r="X9" s="1609" t="s">
        <v>2856</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24"/>
      <c r="B10" s="198" t="s">
        <v>2857</v>
      </c>
      <c r="C10" s="200">
        <f>SUMIF(修正!C59:C119,C8,修正!F59:F119)</f>
        <v>0</v>
      </c>
      <c r="D10" s="200" t="s">
        <v>141</v>
      </c>
      <c r="E10" s="200" t="e">
        <f>ROUND(C11/E7,4)</f>
        <v>#DIV/0!</v>
      </c>
      <c r="F10" s="2747" t="s">
        <v>2858</v>
      </c>
      <c r="G10" s="2748"/>
      <c r="H10" s="2748"/>
      <c r="I10" s="2748"/>
      <c r="J10" s="2749"/>
      <c r="K10" s="1368"/>
      <c r="L10" s="2722" t="s">
        <v>2859</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18"/>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24"/>
      <c r="B11" s="2750" t="s">
        <v>2860</v>
      </c>
      <c r="C11" s="922">
        <f>C10/4</f>
        <v>0</v>
      </c>
      <c r="D11" s="922" t="s">
        <v>142</v>
      </c>
      <c r="E11" s="922" t="e">
        <f>ROUND(C11/E7,4)</f>
        <v>#DIV/0!</v>
      </c>
      <c r="F11" s="2751" t="s">
        <v>2861</v>
      </c>
      <c r="G11" s="2752"/>
      <c r="H11" s="2752"/>
      <c r="I11" s="2752"/>
      <c r="J11" s="2753"/>
      <c r="K11" s="1368"/>
      <c r="L11" s="2722" t="s">
        <v>2862</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18" t="s">
        <v>2863</v>
      </c>
      <c r="X11" s="1612" t="s">
        <v>2864</v>
      </c>
      <c r="Y11" s="1613" t="e">
        <f>$G$3</f>
        <v>#DIV/0!</v>
      </c>
      <c r="Z11" s="1613" t="e">
        <f t="shared" ref="Z11:AJ11" si="3">$G$3</f>
        <v>#DIV/0!</v>
      </c>
      <c r="AA11" s="1613" t="e">
        <f t="shared" si="3"/>
        <v>#DIV/0!</v>
      </c>
      <c r="AB11" s="1613" t="e">
        <f t="shared" si="3"/>
        <v>#DIV/0!</v>
      </c>
      <c r="AC11" s="1613" t="e">
        <f t="shared" si="3"/>
        <v>#DIV/0!</v>
      </c>
      <c r="AD11" s="1613" t="e">
        <f t="shared" si="3"/>
        <v>#DIV/0!</v>
      </c>
      <c r="AE11" s="1613" t="e">
        <f t="shared" si="3"/>
        <v>#DIV/0!</v>
      </c>
      <c r="AF11" s="1613" t="e">
        <f t="shared" si="3"/>
        <v>#DIV/0!</v>
      </c>
      <c r="AG11" s="1613" t="e">
        <f t="shared" si="3"/>
        <v>#DIV/0!</v>
      </c>
      <c r="AH11" s="1613" t="e">
        <f t="shared" si="3"/>
        <v>#DIV/0!</v>
      </c>
      <c r="AI11" s="1613" t="e">
        <f t="shared" si="3"/>
        <v>#DIV/0!</v>
      </c>
      <c r="AJ11" s="1613" t="e">
        <f t="shared" si="3"/>
        <v>#DIV/0!</v>
      </c>
    </row>
    <row r="12" spans="1:36" ht="25.5" thickBot="1">
      <c r="A12" s="3323" t="s">
        <v>2865</v>
      </c>
      <c r="B12" s="2754" t="s">
        <v>2866</v>
      </c>
      <c r="C12" s="918">
        <f>ROUND(C15*D15*E15*F15*G15*H15*I15*J15,4)</f>
        <v>1</v>
      </c>
      <c r="D12" s="2755" t="s">
        <v>2867</v>
      </c>
      <c r="E12" s="2756"/>
      <c r="F12" s="2756"/>
      <c r="G12" s="2757"/>
      <c r="H12" s="2757"/>
      <c r="I12" s="2757"/>
      <c r="J12" s="2758"/>
      <c r="K12" s="1368"/>
      <c r="L12" s="2759" t="s">
        <v>2868</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18"/>
      <c r="X12" s="1614" t="s">
        <v>2869</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25"/>
      <c r="B13" s="2760" t="s">
        <v>2870</v>
      </c>
      <c r="C13" s="2761" t="s">
        <v>2871</v>
      </c>
      <c r="D13" s="1806" t="s">
        <v>2872</v>
      </c>
      <c r="E13" s="1806" t="s">
        <v>2873</v>
      </c>
      <c r="F13" s="30" t="s">
        <v>2874</v>
      </c>
      <c r="G13" s="2762" t="s">
        <v>2875</v>
      </c>
      <c r="H13" s="2762" t="s">
        <v>2875</v>
      </c>
      <c r="I13" s="2762" t="s">
        <v>2875</v>
      </c>
      <c r="J13" s="2763" t="s">
        <v>2875</v>
      </c>
      <c r="K13" s="1368"/>
      <c r="L13" s="1368"/>
      <c r="M13" s="1368"/>
      <c r="N13" s="1368"/>
      <c r="O13" s="1368"/>
      <c r="P13" s="1368"/>
      <c r="Q13" s="1368"/>
      <c r="R13" s="1600">
        <v>12</v>
      </c>
      <c r="S13" s="1601"/>
      <c r="T13" s="1600" t="e">
        <f t="shared" si="0"/>
        <v>#DIV/0!</v>
      </c>
      <c r="U13" s="1601"/>
      <c r="V13" s="1600" t="e">
        <f t="shared" si="1"/>
        <v>#DIV/0!</v>
      </c>
      <c r="W13" s="3318"/>
      <c r="X13" s="1614"/>
      <c r="Y13" s="1611" t="e">
        <f>(-0.163*(Y12^2)-0.59*Y12+7617)*(10^(-4))/Y11</f>
        <v>#DIV/0!</v>
      </c>
      <c r="Z13" s="1611" t="e">
        <f t="shared" ref="Z13:AJ13" si="5">(-0.163*(Z12^2)-0.59*Z12+7617)*(10^(-4))/Z11</f>
        <v>#DIV/0!</v>
      </c>
      <c r="AA13" s="1611" t="e">
        <f t="shared" si="5"/>
        <v>#DIV/0!</v>
      </c>
      <c r="AB13" s="1611" t="e">
        <f t="shared" si="5"/>
        <v>#DIV/0!</v>
      </c>
      <c r="AC13" s="1611" t="e">
        <f t="shared" si="5"/>
        <v>#DIV/0!</v>
      </c>
      <c r="AD13" s="1611" t="e">
        <f t="shared" si="5"/>
        <v>#DIV/0!</v>
      </c>
      <c r="AE13" s="1611" t="e">
        <f t="shared" si="5"/>
        <v>#DIV/0!</v>
      </c>
      <c r="AF13" s="1611" t="e">
        <f t="shared" si="5"/>
        <v>#DIV/0!</v>
      </c>
      <c r="AG13" s="1611" t="e">
        <f t="shared" si="5"/>
        <v>#DIV/0!</v>
      </c>
      <c r="AH13" s="1611" t="e">
        <f t="shared" si="5"/>
        <v>#DIV/0!</v>
      </c>
      <c r="AI13" s="1611" t="e">
        <f t="shared" si="5"/>
        <v>#DIV/0!</v>
      </c>
      <c r="AJ13" s="1611" t="e">
        <f t="shared" si="5"/>
        <v>#DIV/0!</v>
      </c>
    </row>
    <row r="14" spans="1:36" ht="15">
      <c r="A14" s="3325"/>
      <c r="B14" s="2764"/>
      <c r="C14" s="2765"/>
      <c r="D14" s="2766"/>
      <c r="E14" s="2766"/>
      <c r="F14" s="2767"/>
      <c r="G14" s="2768" t="s">
        <v>2876</v>
      </c>
      <c r="H14" s="2769"/>
      <c r="I14" s="2770"/>
      <c r="J14" s="2771"/>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26"/>
      <c r="B15" s="2772" t="s">
        <v>2877</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323" t="s">
        <v>2882</v>
      </c>
      <c r="B16" s="2741" t="s">
        <v>2883</v>
      </c>
      <c r="C16" s="2928" t="e">
        <f>ROUND(IF(F17="与级别开发程度一致",0,(G17-E17)/C17),0)</f>
        <v>#DIV/0!</v>
      </c>
      <c r="D16" s="3337" t="s">
        <v>2887</v>
      </c>
      <c r="E16" s="3338"/>
      <c r="F16" s="3337" t="s">
        <v>2884</v>
      </c>
      <c r="G16" s="3338"/>
      <c r="H16" s="2775"/>
      <c r="I16" s="2775"/>
      <c r="J16" s="2932"/>
      <c r="K16" s="2775"/>
      <c r="L16" s="2775"/>
      <c r="M16" s="2775"/>
      <c r="N16" s="2775"/>
      <c r="O16" s="2776"/>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27"/>
      <c r="B17" s="2939" t="s">
        <v>2886</v>
      </c>
      <c r="C17" s="2940">
        <f>SUMPRODUCT((修正!A2:A5=E2)*(修正!B1:M1=G2)*(修正!B2:M5))</f>
        <v>0</v>
      </c>
      <c r="D17" s="229" t="str">
        <f>IF(OR(G2="八级",G2="九级",G2="十级",G2="十一级",G2="十二级"),"五通一平","七通一平")</f>
        <v>七通一平</v>
      </c>
      <c r="E17" s="2929">
        <f>SUMPRODUCT((修正!B1:M1=G2)*(修正!B15:M15))</f>
        <v>0</v>
      </c>
      <c r="F17" s="2930"/>
      <c r="G17" s="2931">
        <f>SUM(H17:O17)</f>
        <v>0</v>
      </c>
      <c r="H17" s="2940">
        <f>SUMPRODUCT((七通一平=H16)*(修正!B1:M1=G2)*(修正!B6:M14))</f>
        <v>0</v>
      </c>
      <c r="I17" s="2940">
        <f>SUMPRODUCT((七通一平=I16)*(修正!B1:M1=G2)*(修正!B6:M14))</f>
        <v>0</v>
      </c>
      <c r="J17" s="2941">
        <f>SUMPRODUCT((七通一平=J16)*(修正!B1:M1=G2)*(修正!B6:M14))</f>
        <v>0</v>
      </c>
      <c r="K17" s="2940">
        <f>SUMPRODUCT((七通一平=K16)*(修正!B1:M1=G2)*(修正!B6:M14))</f>
        <v>0</v>
      </c>
      <c r="L17" s="2940">
        <f>SUMPRODUCT((七通一平=L16)*(修正!B1:M1=G2)*(修正!B6:M14))</f>
        <v>0</v>
      </c>
      <c r="M17" s="2940">
        <f>SUMPRODUCT((七通一平=M16)*(修正!B1:M1=G2)*(修正!B6:M14))</f>
        <v>0</v>
      </c>
      <c r="N17" s="2940">
        <f>SUMPRODUCT((七通一平=N16)*(修正!B1:M1=G2)*(修正!B6:M14))</f>
        <v>0</v>
      </c>
      <c r="O17" s="2942">
        <f>SUMPRODUCT((七通一平=O16)*(修正!B1:M1=G2)*(修正!B6:M14))</f>
        <v>0</v>
      </c>
      <c r="Q17" s="1368"/>
      <c r="R17" s="1368"/>
      <c r="S17" s="1368"/>
      <c r="T17" s="1368"/>
      <c r="U17" s="1368"/>
      <c r="V17" s="1368"/>
      <c r="W17" s="1368"/>
      <c r="X17" s="1368"/>
      <c r="Y17" s="1368"/>
      <c r="Z17" s="1369"/>
      <c r="AE17" s="2779"/>
      <c r="AF17" s="2779"/>
      <c r="AG17" s="2716"/>
      <c r="AH17" s="2716"/>
      <c r="AI17" s="2716"/>
      <c r="AJ17" s="2716"/>
    </row>
    <row r="18" spans="1:37" s="2734" customFormat="1" ht="15.75" thickBot="1">
      <c r="A18" s="2933" t="s">
        <v>808</v>
      </c>
      <c r="B18" s="2934" t="s">
        <v>2889</v>
      </c>
      <c r="C18" s="2935">
        <f>SUMIF(修正!C18:C39,E3,修正!E18:E39)</f>
        <v>0</v>
      </c>
      <c r="D18" s="2936"/>
      <c r="E18" s="2937"/>
      <c r="F18" s="2937"/>
      <c r="G18" s="2937"/>
      <c r="H18" s="2937"/>
      <c r="I18" s="2937"/>
      <c r="J18" s="2938"/>
      <c r="K18" s="1375"/>
      <c r="O18" s="1373"/>
      <c r="P18" s="1373"/>
      <c r="Q18" s="1374"/>
      <c r="R18" s="1374"/>
      <c r="S18" s="1374"/>
      <c r="T18" s="1369"/>
      <c r="U18" s="1369"/>
      <c r="V18" s="1369"/>
      <c r="W18" s="1368"/>
      <c r="X18" s="1368"/>
      <c r="Y18" s="1368"/>
      <c r="Z18" s="1375"/>
      <c r="AA18" s="1376"/>
      <c r="AB18" s="1376"/>
      <c r="AC18" s="1376"/>
      <c r="AD18" s="1376"/>
      <c r="AE18" s="1370"/>
      <c r="AF18" s="1370"/>
      <c r="AG18" s="2784"/>
      <c r="AH18" s="2784"/>
      <c r="AI18" s="2784"/>
    </row>
    <row r="19" spans="1:37" s="2734" customFormat="1" ht="27.75" thickBot="1">
      <c r="A19" s="2780" t="s">
        <v>809</v>
      </c>
      <c r="B19" s="2781" t="s">
        <v>2890</v>
      </c>
      <c r="C19" s="923" t="e">
        <f>ROUND(IF(H19="按公示增长率计算",SUMPRODUCT((地价!A3:A27=YEAR(G19)&amp;"-"&amp;ROUNDUP(MONTH(G19)/3,0))*(地价!X2:AB2=E2)*(地价!X3:AB27)),IF(H19="地价指数",M20/M19,(1+I19)^O19)),4)</f>
        <v>#VALUE!</v>
      </c>
      <c r="D19" s="2785" t="s">
        <v>2891</v>
      </c>
      <c r="E19" s="924">
        <v>41640</v>
      </c>
      <c r="F19" s="2785" t="s">
        <v>2892</v>
      </c>
      <c r="G19" s="925">
        <f>'数据-取费表'!B2</f>
        <v>43711</v>
      </c>
      <c r="H19" s="2786"/>
      <c r="I19" s="926" t="str">
        <f>IF(H19="季度增幅（自定义）",SUMIF(N21:N24,E2,O21:O24),"")</f>
        <v/>
      </c>
      <c r="J19" s="2783"/>
      <c r="K19" s="1375"/>
      <c r="L19" s="2787" t="s">
        <v>2893</v>
      </c>
      <c r="M19" s="1732">
        <f>ROUND(SUMIF(地价!B2:F2,E2,地价!B27:F27),0)</f>
        <v>0</v>
      </c>
      <c r="N19" s="2788" t="s">
        <v>2894</v>
      </c>
      <c r="O19" s="927">
        <f>ROUNDDOWN(DATEDIF(E19,G19,"M")/3,0)</f>
        <v>22</v>
      </c>
      <c r="P19" s="1372"/>
      <c r="Q19" s="1374"/>
      <c r="R19" s="1374"/>
      <c r="S19" s="1374"/>
      <c r="T19" s="1369"/>
      <c r="U19" s="1369"/>
      <c r="V19" s="1369"/>
      <c r="W19" s="1368"/>
      <c r="X19" s="1368"/>
      <c r="Y19" s="1368"/>
      <c r="Z19" s="1375"/>
      <c r="AA19" s="1376"/>
      <c r="AB19" s="1376"/>
      <c r="AC19" s="1376"/>
      <c r="AD19" s="1376"/>
      <c r="AE19" s="1376"/>
      <c r="AF19" s="2789"/>
      <c r="AG19" s="2790"/>
      <c r="AH19" s="2784"/>
      <c r="AI19" s="2791"/>
      <c r="AJ19" s="2791"/>
      <c r="AK19" s="2791"/>
    </row>
    <row r="20" spans="1:37" s="2734" customFormat="1" ht="27.75" thickBot="1">
      <c r="A20" s="2792" t="s">
        <v>810</v>
      </c>
      <c r="B20" s="2793" t="s">
        <v>2895</v>
      </c>
      <c r="C20" s="928" t="e">
        <f>ROUND(POWER(1+G20,J20-I20)*(POWER(1+G20,I20)-1)/(POWER(1+G20,J20)-1),4)</f>
        <v>#DIV/0!</v>
      </c>
      <c r="D20" s="2794" t="s">
        <v>2896</v>
      </c>
      <c r="E20" s="1766">
        <f ca="1">存贷款利率!D4/100</f>
        <v>4.3499999999999997E-2</v>
      </c>
      <c r="F20" s="2794" t="s">
        <v>2888</v>
      </c>
      <c r="G20" s="933">
        <f>SUMIF(M26:P26,E2,M28:P28)</f>
        <v>0</v>
      </c>
      <c r="H20" s="2794" t="s">
        <v>2897</v>
      </c>
      <c r="I20" s="934" t="e">
        <f>SUMIF('数据-取费表'!C6:C15,E2,'数据-取费表'!F6:F15)/COUNTIF('数据-取费表'!C6:C15,E2)</f>
        <v>#DIV/0!</v>
      </c>
      <c r="J20" s="935">
        <f>IF(E2="住宅",70,IF(E2="商业",40,50))</f>
        <v>50</v>
      </c>
      <c r="K20" s="1375"/>
      <c r="L20" s="2795" t="s">
        <v>2898</v>
      </c>
      <c r="M20" s="1733">
        <f>ROUND(SUMPRODUCT((地价!A4:A27=YEAR(G19)&amp;"-"&amp;ROUNDUP(MONTH(G19)/3,0))*(地价!B2:F2=E2)*(地价!B4:F27)),0)</f>
        <v>0</v>
      </c>
      <c r="N20" s="2796" t="s">
        <v>2899</v>
      </c>
      <c r="O20" s="2797" t="s">
        <v>2900</v>
      </c>
      <c r="P20" s="2798" t="s">
        <v>2901</v>
      </c>
      <c r="R20" s="1374"/>
      <c r="S20" s="1374"/>
      <c r="T20" s="1369"/>
      <c r="U20" s="1369"/>
      <c r="V20" s="1369"/>
      <c r="W20" s="1368"/>
      <c r="X20" s="1368"/>
      <c r="Y20" s="1368"/>
      <c r="Z20" s="1375"/>
      <c r="AA20" s="1376"/>
      <c r="AB20" s="1376"/>
      <c r="AC20" s="1376"/>
      <c r="AD20" s="1376"/>
      <c r="AE20" s="1376"/>
      <c r="AF20" s="1376"/>
    </row>
    <row r="21" spans="1:37" s="2734" customFormat="1" ht="15">
      <c r="A21" s="2799" t="s">
        <v>811</v>
      </c>
      <c r="B21" s="2800" t="s">
        <v>2902</v>
      </c>
      <c r="C21" s="936" t="e">
        <f>IF(B21="容积率修正",IF(G3&lt;=10,D22,J22),C23)</f>
        <v>#DIV/0!</v>
      </c>
      <c r="D21" s="2801"/>
      <c r="E21" s="2801"/>
      <c r="F21" s="2801"/>
      <c r="G21" s="2801"/>
      <c r="H21" s="2801"/>
      <c r="I21" s="2801"/>
      <c r="J21" s="2802"/>
      <c r="K21" s="1375"/>
      <c r="N21" s="2803" t="s">
        <v>2903</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4" customFormat="1" ht="14.25">
      <c r="A22" s="2660" t="s">
        <v>2904</v>
      </c>
      <c r="B22" s="2804" t="s">
        <v>2905</v>
      </c>
      <c r="C22" s="1808" t="s">
        <v>2906</v>
      </c>
      <c r="D22" s="1808" t="e">
        <f>IF(E22=G22,F22,IF(G3&lt;=10,ROUND(F22+(H22-F22)*(G3-E22)/(G22-E22),4),"——"))</f>
        <v>#DIV/0!</v>
      </c>
      <c r="E22" s="915" t="e">
        <f>ROUNDDOWN(G3,1)</f>
        <v>#DIV/0!</v>
      </c>
      <c r="F22" s="1808"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5" t="e">
        <f>ROUNDUP(G3,1)</f>
        <v>#DIV/0!</v>
      </c>
      <c r="H22" s="1808"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8" t="s">
        <v>155</v>
      </c>
      <c r="J22" s="937" t="e">
        <f>IF(G3&gt;10,D113,"——")</f>
        <v>#DIV/0!</v>
      </c>
      <c r="K22" s="1375"/>
      <c r="N22" s="2803" t="s">
        <v>2907</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7.75" thickBot="1">
      <c r="A23" s="2660" t="s">
        <v>2908</v>
      </c>
      <c r="B23" s="2805" t="s">
        <v>2909</v>
      </c>
      <c r="C23" s="1012" t="e">
        <f>ROUND(IF(G3&gt;1,IF(I3&lt;7,SUMPRODUCT((B93:B98=I3)*(C92:N92=G2)*(C93:N98)),SUMIF(C92:N92,G2,C100:N100)),IF(I3&lt;7,SUMPRODUCT((B102:B107=I3)*(C92:N92=G2)*(C102:N107)),SUMIF(C92:N92,G2,C109:N109))),4)</f>
        <v>#DIV/0!</v>
      </c>
      <c r="D23" s="2769"/>
      <c r="E23" s="2769"/>
      <c r="F23" s="2806"/>
      <c r="G23" s="2807"/>
      <c r="H23" s="2808"/>
      <c r="I23" s="2809"/>
      <c r="J23" s="2810"/>
      <c r="K23" s="1368"/>
      <c r="N23" s="2803" t="s">
        <v>2910</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4"/>
    </row>
    <row r="24" spans="1:37" s="2734" customFormat="1" ht="15.75" thickBot="1">
      <c r="A24" s="2792" t="s">
        <v>812</v>
      </c>
      <c r="B24" s="2781" t="s">
        <v>2911</v>
      </c>
      <c r="C24" s="923">
        <f>SUMIF(A45:A88,E2,B45:B88)</f>
        <v>0</v>
      </c>
      <c r="D24" s="2782"/>
      <c r="E24" s="2811"/>
      <c r="F24" s="2811"/>
      <c r="G24" s="2811"/>
      <c r="H24" s="2811"/>
      <c r="I24" s="2811"/>
      <c r="J24" s="2812"/>
      <c r="K24" s="1375"/>
      <c r="N24" s="2813" t="s">
        <v>2912</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75" thickBot="1">
      <c r="A25" s="2792" t="s">
        <v>813</v>
      </c>
      <c r="B25" s="2814" t="s">
        <v>2913</v>
      </c>
      <c r="C25" s="929"/>
      <c r="D25" s="2744"/>
      <c r="E25" s="2744"/>
      <c r="F25" s="2815"/>
      <c r="G25" s="2744"/>
      <c r="H25" s="2744"/>
      <c r="I25" s="2744"/>
      <c r="J25" s="2745"/>
      <c r="K25" s="1368"/>
      <c r="N25" s="2816" t="s">
        <v>2914</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5">
      <c r="A26" s="2817"/>
      <c r="B26" s="2804" t="s">
        <v>2915</v>
      </c>
      <c r="C26" s="206" t="e">
        <f>E29+SUM(E33:E39)</f>
        <v>#DIV/0!</v>
      </c>
      <c r="D26" s="2818"/>
      <c r="E26" s="2769"/>
      <c r="F26" s="2819"/>
      <c r="G26" s="2769"/>
      <c r="H26" s="2769"/>
      <c r="I26" s="2769"/>
      <c r="J26" s="2820"/>
      <c r="K26" s="1368"/>
      <c r="L26" s="2773" t="s">
        <v>2813</v>
      </c>
      <c r="M26" s="919" t="s">
        <v>2878</v>
      </c>
      <c r="N26" s="919" t="s">
        <v>2879</v>
      </c>
      <c r="O26" s="919" t="s">
        <v>2880</v>
      </c>
      <c r="P26" s="2774" t="s">
        <v>2881</v>
      </c>
      <c r="R26" s="1374"/>
      <c r="S26" s="1374"/>
      <c r="T26" s="1369"/>
      <c r="U26" s="1369"/>
      <c r="V26" s="1369"/>
      <c r="W26" s="1368"/>
      <c r="X26" s="1368"/>
      <c r="Y26" s="1368"/>
      <c r="Z26" s="1375"/>
      <c r="AA26" s="1376"/>
      <c r="AB26" s="1376"/>
      <c r="AC26" s="1376"/>
      <c r="AD26" s="1376"/>
    </row>
    <row r="27" spans="1:37" ht="15.75" thickBot="1">
      <c r="A27" s="2817"/>
      <c r="B27" s="2821" t="s">
        <v>2916</v>
      </c>
      <c r="C27" s="930" t="e">
        <f>E30+SUM(I33:I39)</f>
        <v>#DIV/0!</v>
      </c>
      <c r="D27" s="2822"/>
      <c r="E27" s="2823"/>
      <c r="F27" s="2824"/>
      <c r="G27" s="2823"/>
      <c r="H27" s="2823"/>
      <c r="I27" s="2823"/>
      <c r="J27" s="2825"/>
      <c r="K27" s="1368"/>
      <c r="L27" s="2777" t="s">
        <v>2885</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26"/>
      <c r="B28" s="2827" t="s">
        <v>2917</v>
      </c>
      <c r="C28" s="2828" t="s">
        <v>2918</v>
      </c>
      <c r="D28" s="2828" t="s">
        <v>2919</v>
      </c>
      <c r="E28" s="2829" t="s">
        <v>2920</v>
      </c>
      <c r="F28" s="2830"/>
      <c r="G28" s="2757"/>
      <c r="H28" s="2757"/>
      <c r="I28" s="2757"/>
      <c r="J28" s="2758"/>
      <c r="K28" s="1368"/>
      <c r="L28" s="2778" t="s">
        <v>2888</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1"/>
      <c r="B29" s="2832" t="s">
        <v>2921</v>
      </c>
      <c r="C29" s="206" t="e">
        <f>ROUND(C5*C18*C19*C20*C21*C24,0)</f>
        <v>#DIV/0!</v>
      </c>
      <c r="D29" s="2833"/>
      <c r="E29" s="941" t="e">
        <f>ROUND(C29*D29/10000,0)</f>
        <v>#DIV/0!</v>
      </c>
      <c r="F29" s="2834" t="s">
        <v>2922</v>
      </c>
      <c r="G29" s="2835"/>
      <c r="H29" s="2835"/>
      <c r="I29" s="2835"/>
      <c r="J29" s="2836"/>
      <c r="K29" s="1368"/>
      <c r="L29" s="1368"/>
      <c r="M29" s="1368"/>
      <c r="N29" s="1368"/>
      <c r="O29" s="1373"/>
      <c r="P29" s="1373"/>
      <c r="Q29" s="1374"/>
      <c r="R29" s="1374"/>
      <c r="S29" s="1374"/>
      <c r="T29" s="1369"/>
      <c r="U29" s="1369"/>
      <c r="V29" s="1369"/>
      <c r="W29" s="1368"/>
      <c r="X29" s="1368"/>
      <c r="Y29" s="1368"/>
      <c r="Z29" s="1375"/>
      <c r="AA29" s="1376"/>
      <c r="AB29" s="1376"/>
      <c r="AC29" s="1376"/>
      <c r="AD29" s="1376"/>
      <c r="AE29" s="2779"/>
      <c r="AF29" s="2779"/>
      <c r="AG29" s="2716"/>
      <c r="AH29" s="2716"/>
      <c r="AI29" s="2716"/>
      <c r="AJ29" s="2716"/>
    </row>
    <row r="30" spans="1:37" ht="25.5" thickBot="1">
      <c r="A30" s="2837"/>
      <c r="B30" s="2838" t="s">
        <v>2923</v>
      </c>
      <c r="C30" s="229" t="e">
        <f>ROUND(IF(E2="工业",C29*M39,C29*M38),0)</f>
        <v>#DIV/0!</v>
      </c>
      <c r="D30" s="2839"/>
      <c r="E30" s="941" t="e">
        <f>ROUND(C30*D30/10000,0)</f>
        <v>#DIV/0!</v>
      </c>
      <c r="F30" s="2840" t="s">
        <v>2924</v>
      </c>
      <c r="G30" s="2841"/>
      <c r="H30" s="2841"/>
      <c r="I30" s="2841"/>
      <c r="J30" s="2842"/>
      <c r="K30" s="1368"/>
      <c r="L30" s="1368"/>
      <c r="M30" s="1368"/>
      <c r="N30" s="1368"/>
      <c r="O30" s="1373"/>
      <c r="P30" s="1373"/>
      <c r="Q30" s="1374"/>
      <c r="R30" s="1374"/>
      <c r="S30" s="1374"/>
      <c r="T30" s="1369"/>
      <c r="U30" s="1369"/>
      <c r="V30" s="1369"/>
      <c r="W30" s="1368"/>
      <c r="X30" s="1368"/>
      <c r="Y30" s="1368"/>
      <c r="Z30" s="1375"/>
      <c r="AA30" s="1376"/>
      <c r="AB30" s="1376"/>
      <c r="AC30" s="1376"/>
      <c r="AD30" s="1376"/>
      <c r="AE30" s="2779"/>
      <c r="AF30" s="2779"/>
      <c r="AG30" s="2716"/>
      <c r="AH30" s="2716"/>
      <c r="AI30" s="2716"/>
      <c r="AJ30" s="2716"/>
    </row>
    <row r="31" spans="1:37" ht="14.25">
      <c r="A31" s="2843"/>
      <c r="B31" s="2844" t="s">
        <v>2925</v>
      </c>
      <c r="C31" s="2845" t="s">
        <v>2926</v>
      </c>
      <c r="D31" s="2757"/>
      <c r="E31" s="2845"/>
      <c r="F31" s="2845"/>
      <c r="G31" s="2755" t="s">
        <v>2927</v>
      </c>
      <c r="H31" s="2757"/>
      <c r="I31" s="2846"/>
      <c r="J31" s="2758"/>
      <c r="K31" s="1368"/>
      <c r="L31" s="1368"/>
      <c r="M31" s="1368"/>
      <c r="N31" s="1368"/>
      <c r="O31" s="1373"/>
      <c r="P31" s="1373"/>
      <c r="Q31" s="1374"/>
      <c r="R31" s="1374"/>
      <c r="S31" s="1374"/>
      <c r="T31" s="1369"/>
      <c r="U31" s="1369"/>
      <c r="V31" s="1369"/>
      <c r="W31" s="1368"/>
      <c r="X31" s="1368"/>
      <c r="Y31" s="1368"/>
      <c r="Z31" s="1375"/>
      <c r="AA31" s="1376"/>
      <c r="AB31" s="1376"/>
      <c r="AC31" s="1376"/>
      <c r="AD31" s="1376"/>
      <c r="AE31" s="2779"/>
      <c r="AF31" s="2779"/>
      <c r="AG31" s="2716"/>
      <c r="AH31" s="2716"/>
      <c r="AI31" s="2716"/>
      <c r="AJ31" s="2716"/>
    </row>
    <row r="32" spans="1:37" ht="24">
      <c r="A32" s="2831"/>
      <c r="B32" s="2847"/>
      <c r="C32" s="501" t="s">
        <v>2918</v>
      </c>
      <c r="D32" s="498" t="s">
        <v>2919</v>
      </c>
      <c r="E32" s="498" t="s">
        <v>2920</v>
      </c>
      <c r="F32" s="388" t="s">
        <v>2928</v>
      </c>
      <c r="G32" s="2848" t="s">
        <v>2918</v>
      </c>
      <c r="H32" s="2848" t="s">
        <v>2919</v>
      </c>
      <c r="I32" s="2848" t="s">
        <v>2920</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9"/>
      <c r="AF32" s="2779"/>
      <c r="AG32" s="2716"/>
      <c r="AH32" s="2716"/>
      <c r="AI32" s="2716"/>
      <c r="AJ32" s="2716"/>
    </row>
    <row r="33" spans="1:37" ht="36" customHeight="1">
      <c r="A33" s="3334" t="s">
        <v>2929</v>
      </c>
      <c r="B33" s="2849" t="s">
        <v>2930</v>
      </c>
      <c r="C33" s="206" t="e">
        <f>ROUND(D5*C19*C20*C24*F33,0)</f>
        <v>#DIV/0!</v>
      </c>
      <c r="D33" s="2833"/>
      <c r="E33" s="200" t="e">
        <f>ROUND(C33*D33/10000,0)</f>
        <v>#DIV/0!</v>
      </c>
      <c r="F33" s="200">
        <f>SUMIF(修正!A45:A56,G2,修正!B45:B56)</f>
        <v>0</v>
      </c>
      <c r="G33" s="200" t="e">
        <f t="shared" ref="G33" si="6">ROUND(IF(E2="工业",C33*$M$39,C33*$M$38),0)</f>
        <v>#DIV/0!</v>
      </c>
      <c r="H33" s="200">
        <f>D33</f>
        <v>0</v>
      </c>
      <c r="I33" s="200" t="e">
        <f>ROUND(G33*H33/10000,0)</f>
        <v>#DIV/0!</v>
      </c>
      <c r="J33" s="285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35"/>
      <c r="B34" s="2761" t="s">
        <v>2931</v>
      </c>
      <c r="C34" s="206" t="e">
        <f>ROUND(D5*C19*C20*C24*F34,0)</f>
        <v>#DIV/0!</v>
      </c>
      <c r="D34" s="283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35"/>
      <c r="B35" s="2761" t="s">
        <v>2932</v>
      </c>
      <c r="C35" s="206" t="e">
        <f>ROUND(D5*C19*C20*C24*F35,0)</f>
        <v>#DIV/0!</v>
      </c>
      <c r="D35" s="2833"/>
      <c r="E35" s="200" t="e">
        <f t="shared" si="7"/>
        <v>#DIV/0!</v>
      </c>
      <c r="F35" s="200">
        <f>SUMIF(修正!A45:A56,G2,修正!D45:D56)</f>
        <v>0</v>
      </c>
      <c r="G35" s="200" t="e">
        <f>ROUND(IF(E2="工业",C35*$M$39,C35*$M$38),0)</f>
        <v>#DIV/0!</v>
      </c>
      <c r="H35" s="200">
        <f t="shared" si="8"/>
        <v>0</v>
      </c>
      <c r="I35" s="200" t="e">
        <f t="shared" si="9"/>
        <v>#DIV/0!</v>
      </c>
      <c r="J35" s="2850"/>
      <c r="K35" s="1368"/>
      <c r="L35" s="1368"/>
      <c r="M35" s="1368"/>
      <c r="N35" s="1368"/>
      <c r="O35" s="1368"/>
      <c r="P35" s="1368"/>
      <c r="Q35" s="1368"/>
      <c r="R35" s="1368"/>
      <c r="S35" s="1368"/>
      <c r="T35" s="1368"/>
      <c r="U35" s="1368"/>
      <c r="V35" s="1368"/>
      <c r="W35" s="1368"/>
      <c r="X35" s="1368"/>
      <c r="Y35" s="1368"/>
      <c r="Z35" s="1369"/>
    </row>
    <row r="36" spans="1:37" ht="13.5" thickBot="1">
      <c r="A36" s="3336"/>
      <c r="B36" s="2761" t="s">
        <v>2933</v>
      </c>
      <c r="C36" s="206" t="e">
        <f>ROUND(D5*C19*C20*C24*F36,0)</f>
        <v>#DIV/0!</v>
      </c>
      <c r="D36" s="2833"/>
      <c r="E36" s="200" t="e">
        <f t="shared" si="7"/>
        <v>#DIV/0!</v>
      </c>
      <c r="F36" s="200">
        <f>SUMIF(修正!A45:A56,G2,修正!E45:E56)</f>
        <v>0</v>
      </c>
      <c r="G36" s="200" t="e">
        <f>ROUND(IF(E2="工业",C36*$M$39,C36*$M$38),0)</f>
        <v>#DIV/0!</v>
      </c>
      <c r="H36" s="200">
        <f t="shared" si="8"/>
        <v>0</v>
      </c>
      <c r="I36" s="200" t="e">
        <f t="shared" si="9"/>
        <v>#DIV/0!</v>
      </c>
      <c r="J36" s="2850"/>
      <c r="K36" s="1368"/>
      <c r="L36" s="2715"/>
      <c r="M36" s="2715"/>
      <c r="N36" s="1368"/>
      <c r="O36" s="1368"/>
      <c r="P36" s="1368"/>
      <c r="Q36" s="1368"/>
      <c r="R36" s="1368"/>
      <c r="S36" s="1368"/>
      <c r="T36" s="1368"/>
      <c r="U36" s="1368"/>
      <c r="V36" s="1368"/>
      <c r="W36" s="1368"/>
      <c r="X36" s="1368"/>
      <c r="Y36" s="1368"/>
      <c r="Z36" s="1369"/>
    </row>
    <row r="37" spans="1:37">
      <c r="A37" s="2851"/>
      <c r="B37" s="2761" t="s">
        <v>2934</v>
      </c>
      <c r="C37" s="200" t="e">
        <f>ROUND(D5*C19*C20*C24*F37,0)</f>
        <v>#DIV/0!</v>
      </c>
      <c r="D37" s="2833"/>
      <c r="E37" s="200" t="e">
        <f t="shared" si="7"/>
        <v>#DIV/0!</v>
      </c>
      <c r="F37" s="206">
        <f>SUMIF(修正!A45:A56,G2,修正!F45:F56)</f>
        <v>0</v>
      </c>
      <c r="G37" s="200" t="e">
        <f>ROUND(IF(E2="工业",C37*$M$39,C37*$M$38),0)</f>
        <v>#DIV/0!</v>
      </c>
      <c r="H37" s="200">
        <f t="shared" si="8"/>
        <v>0</v>
      </c>
      <c r="I37" s="200" t="e">
        <f t="shared" si="9"/>
        <v>#DIV/0!</v>
      </c>
      <c r="J37" s="2850"/>
      <c r="K37" s="1368"/>
      <c r="L37" s="2852" t="s">
        <v>2935</v>
      </c>
      <c r="M37" s="2853"/>
      <c r="N37" s="1368"/>
      <c r="O37" s="1368"/>
      <c r="P37" s="1368"/>
      <c r="Q37" s="1368"/>
      <c r="R37" s="1368"/>
      <c r="S37" s="1368"/>
      <c r="T37" s="1368"/>
      <c r="U37" s="1368"/>
      <c r="V37" s="1368"/>
      <c r="W37" s="1368"/>
      <c r="X37" s="1368"/>
      <c r="Y37" s="1368"/>
      <c r="Z37" s="1369"/>
    </row>
    <row r="38" spans="1:37">
      <c r="A38" s="2851"/>
      <c r="B38" s="2761" t="s">
        <v>2936</v>
      </c>
      <c r="C38" s="200" t="e">
        <f>ROUND(D5*C19*C41*C24*F38,0)</f>
        <v>#DIV/0!</v>
      </c>
      <c r="D38" s="2833"/>
      <c r="E38" s="200" t="e">
        <f t="shared" si="7"/>
        <v>#DIV/0!</v>
      </c>
      <c r="F38" s="206">
        <f>SUMIF(修正!A45:A56,G2,修正!G45:G56)</f>
        <v>0</v>
      </c>
      <c r="G38" s="200" t="e">
        <f>ROUND(IF(E2="工业",C38*$M$39,C38*$M$38),0)</f>
        <v>#DIV/0!</v>
      </c>
      <c r="H38" s="200">
        <f t="shared" si="8"/>
        <v>0</v>
      </c>
      <c r="I38" s="200" t="e">
        <f t="shared" si="9"/>
        <v>#DIV/0!</v>
      </c>
      <c r="J38" s="2850"/>
      <c r="K38" s="1368"/>
      <c r="L38" s="1885" t="s">
        <v>2937</v>
      </c>
      <c r="M38" s="2854">
        <v>0.25</v>
      </c>
      <c r="N38" s="1368"/>
      <c r="O38" s="1368"/>
      <c r="P38" s="1368"/>
      <c r="Q38" s="1368"/>
      <c r="R38" s="1368"/>
      <c r="S38" s="1368"/>
      <c r="T38" s="1368"/>
      <c r="U38" s="1368"/>
      <c r="V38" s="1368"/>
      <c r="W38" s="1368"/>
      <c r="X38" s="1368"/>
      <c r="Y38" s="1368"/>
      <c r="Z38" s="1369"/>
    </row>
    <row r="39" spans="1:37" ht="13.5" thickBot="1">
      <c r="A39" s="2837"/>
      <c r="B39" s="2855" t="s">
        <v>2938</v>
      </c>
      <c r="C39" s="229" t="e">
        <f>ROUND(D5*C19*C41*C24*F39,0)</f>
        <v>#DIV/0!</v>
      </c>
      <c r="D39" s="2839"/>
      <c r="E39" s="229" t="e">
        <f t="shared" si="7"/>
        <v>#DIV/0!</v>
      </c>
      <c r="F39" s="931">
        <f>SUMIF(修正!A45:A56,G2,修正!H45:H56)</f>
        <v>0</v>
      </c>
      <c r="G39" s="229" t="e">
        <f>ROUND(IF(E2="工业",C39*$M$39,C39*$M$38),0)</f>
        <v>#DIV/0!</v>
      </c>
      <c r="H39" s="229">
        <f t="shared" si="8"/>
        <v>0</v>
      </c>
      <c r="I39" s="229" t="e">
        <f t="shared" si="9"/>
        <v>#DIV/0!</v>
      </c>
      <c r="J39" s="2856"/>
      <c r="K39" s="1368"/>
      <c r="L39" s="2857" t="s">
        <v>2881</v>
      </c>
      <c r="M39" s="285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26" t="s">
        <v>3047</v>
      </c>
      <c r="C41" s="388" t="e">
        <f>ROUND(POWER(1+E41,H41-G41)*(POWER(1+E41,G41)-1)/(POWER(1+E41,H41)-1),4)</f>
        <v>#DIV/0!</v>
      </c>
      <c r="D41" s="200" t="s">
        <v>2888</v>
      </c>
      <c r="E41" s="2925">
        <f>G20</f>
        <v>0</v>
      </c>
      <c r="F41" s="200" t="s">
        <v>2897</v>
      </c>
      <c r="G41" s="218"/>
      <c r="H41" s="200">
        <v>50</v>
      </c>
      <c r="Z41" s="1369"/>
      <c r="AA41" s="1369"/>
      <c r="AB41" s="1369"/>
      <c r="AC41" s="1369"/>
      <c r="AD41" s="1369"/>
      <c r="AE41" s="1369"/>
      <c r="AF41" s="1369"/>
      <c r="AG41" s="1369"/>
      <c r="AH41" s="1369"/>
      <c r="AI41" s="1369"/>
      <c r="AJ41" s="1369"/>
    </row>
    <row r="42" spans="1:37" s="1368" customFormat="1">
      <c r="A42" s="1369"/>
      <c r="B42" s="2859"/>
      <c r="Z42" s="1369"/>
      <c r="AA42" s="1369"/>
      <c r="AB42" s="1369"/>
      <c r="AC42" s="1369"/>
      <c r="AD42" s="1369"/>
      <c r="AE42" s="1369"/>
      <c r="AF42" s="1369"/>
      <c r="AG42" s="1369"/>
      <c r="AH42" s="1369"/>
      <c r="AI42" s="1369"/>
      <c r="AJ42" s="1369"/>
    </row>
    <row r="43" spans="1:37" s="1368" customFormat="1">
      <c r="A43" s="1369"/>
      <c r="B43" s="2859"/>
      <c r="Z43" s="1369"/>
      <c r="AA43" s="1369"/>
      <c r="AB43" s="1369"/>
      <c r="AC43" s="1369"/>
      <c r="AD43" s="1369"/>
      <c r="AE43" s="1369"/>
      <c r="AF43" s="1369"/>
      <c r="AG43" s="1369"/>
      <c r="AH43" s="1369"/>
      <c r="AI43" s="1369"/>
      <c r="AJ43" s="1369"/>
    </row>
    <row r="44" spans="1:37" s="1368" customFormat="1">
      <c r="A44" s="1369"/>
      <c r="B44" s="2859"/>
      <c r="Z44" s="1369"/>
      <c r="AA44" s="1369"/>
      <c r="AB44" s="1369"/>
      <c r="AC44" s="1369"/>
      <c r="AD44" s="1369"/>
      <c r="AE44" s="1369"/>
      <c r="AF44" s="1369"/>
      <c r="AG44" s="1369"/>
      <c r="AH44" s="1369"/>
      <c r="AI44" s="1369"/>
      <c r="AJ44" s="1369"/>
    </row>
    <row r="45" spans="1:37" s="1368" customFormat="1" ht="15.75" thickBot="1">
      <c r="A45" s="2860" t="s">
        <v>2939</v>
      </c>
      <c r="B45" s="2861"/>
      <c r="C45" s="7"/>
      <c r="D45" s="7"/>
      <c r="E45" s="7"/>
      <c r="F45" s="6"/>
      <c r="G45" s="6"/>
      <c r="H45" s="6"/>
      <c r="I45" s="7"/>
      <c r="J45" s="7"/>
      <c r="K45" s="7"/>
      <c r="L45" s="7"/>
      <c r="M45" s="7"/>
      <c r="N45" s="2779"/>
      <c r="Z45" s="1369"/>
      <c r="AA45" s="1369"/>
      <c r="AB45" s="1369"/>
      <c r="AC45" s="1369"/>
      <c r="AD45" s="1369"/>
      <c r="AE45" s="1369"/>
      <c r="AF45" s="1369"/>
      <c r="AG45" s="1369"/>
      <c r="AH45" s="1369"/>
      <c r="AI45" s="1369"/>
      <c r="AJ45" s="1369"/>
    </row>
    <row r="46" spans="1:37" s="1368" customFormat="1" ht="15">
      <c r="A46" s="2862" t="s">
        <v>2940</v>
      </c>
      <c r="B46" s="2863">
        <f>1+E48</f>
        <v>1</v>
      </c>
      <c r="C46" s="2864"/>
      <c r="D46" s="813"/>
      <c r="E46" s="814"/>
      <c r="F46" s="2865"/>
      <c r="G46" s="6"/>
      <c r="H46" s="7"/>
      <c r="I46" s="7"/>
      <c r="J46" s="7"/>
      <c r="K46" s="7"/>
      <c r="L46" s="7"/>
      <c r="M46" s="7"/>
      <c r="N46" s="2779"/>
      <c r="Z46" s="1369"/>
      <c r="AA46" s="1369"/>
      <c r="AB46" s="1369"/>
      <c r="AC46" s="1369"/>
      <c r="AD46" s="1369"/>
      <c r="AE46" s="1369"/>
      <c r="AF46" s="1369"/>
      <c r="AG46" s="1369"/>
      <c r="AH46" s="1369"/>
      <c r="AI46" s="1369"/>
      <c r="AJ46" s="1369"/>
    </row>
    <row r="47" spans="1:37" s="1368" customFormat="1" ht="24.75">
      <c r="A47" s="2866" t="s">
        <v>2941</v>
      </c>
      <c r="B47" s="1807" t="s">
        <v>2942</v>
      </c>
      <c r="C47" s="1807" t="s">
        <v>2943</v>
      </c>
      <c r="D47" s="1807" t="s">
        <v>2944</v>
      </c>
      <c r="E47" s="818" t="s">
        <v>2945</v>
      </c>
      <c r="F47" s="2867" t="s">
        <v>2946</v>
      </c>
      <c r="G47" s="1807" t="s">
        <v>754</v>
      </c>
      <c r="H47" s="2868" t="s">
        <v>2947</v>
      </c>
      <c r="I47" s="1807" t="s">
        <v>2948</v>
      </c>
      <c r="J47" s="603" t="s">
        <v>2597</v>
      </c>
      <c r="K47" s="603" t="s">
        <v>2598</v>
      </c>
      <c r="L47" s="603" t="s">
        <v>2599</v>
      </c>
      <c r="M47" s="603" t="s">
        <v>2600</v>
      </c>
      <c r="N47" s="603" t="s">
        <v>2601</v>
      </c>
      <c r="AA47" s="1369"/>
      <c r="AB47" s="1369"/>
      <c r="AC47" s="1369"/>
      <c r="AD47" s="1369"/>
      <c r="AE47" s="1369"/>
      <c r="AF47" s="1369"/>
      <c r="AG47" s="1369"/>
      <c r="AH47" s="1369"/>
      <c r="AI47" s="1369"/>
      <c r="AJ47" s="1369"/>
      <c r="AK47" s="1369"/>
    </row>
    <row r="48" spans="1:37" s="1368" customFormat="1" ht="38.25">
      <c r="A48" s="2866" t="s">
        <v>2949</v>
      </c>
      <c r="B48" s="2869" t="str">
        <f>估价对象房地状况!C4</f>
        <v>估价对象位于XX商圈，周边商业氛围成熟，人流量大，商业繁华度好</v>
      </c>
      <c r="C48" s="2766"/>
      <c r="D48" s="1284">
        <f t="shared" ref="D48:D56" si="10">SUMIF($J$47:$N$47,C48,J48:N48)</f>
        <v>0</v>
      </c>
      <c r="E48" s="820">
        <f>ROUND(SUM(D48:D56),4)</f>
        <v>0</v>
      </c>
      <c r="F48" s="2497"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51">
      <c r="A49" s="2866" t="s">
        <v>2950</v>
      </c>
      <c r="B49" s="2870" t="str">
        <f>估价对象房地状况!C18</f>
        <v>估价对象周边道路状况、公共交通通达情况、停车便捷程度，综合评价交通便捷度较好</v>
      </c>
      <c r="C49" s="2766"/>
      <c r="D49" s="1284">
        <f t="shared" si="10"/>
        <v>0</v>
      </c>
      <c r="E49" s="821"/>
      <c r="F49" s="2497"/>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66" t="s">
        <v>2951</v>
      </c>
      <c r="B50" s="2870">
        <f>估价对象房地状况!C19</f>
        <v>0</v>
      </c>
      <c r="C50" s="2766"/>
      <c r="D50" s="1284">
        <f t="shared" si="10"/>
        <v>0</v>
      </c>
      <c r="E50" s="821"/>
      <c r="F50" s="2497"/>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66" t="s">
        <v>2952</v>
      </c>
      <c r="B51" s="2871" t="s">
        <v>2953</v>
      </c>
      <c r="C51" s="2766"/>
      <c r="D51" s="1284">
        <f t="shared" si="10"/>
        <v>0</v>
      </c>
      <c r="E51" s="821"/>
      <c r="F51" s="2497"/>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66" t="s">
        <v>2954</v>
      </c>
      <c r="B52" s="2870">
        <f>估价对象房地状况!C24</f>
        <v>0</v>
      </c>
      <c r="C52" s="2766"/>
      <c r="D52" s="1284">
        <f t="shared" si="10"/>
        <v>0</v>
      </c>
      <c r="E52" s="821"/>
      <c r="F52" s="2497"/>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66" t="s">
        <v>2955</v>
      </c>
      <c r="B53" s="2872" t="s">
        <v>2956</v>
      </c>
      <c r="C53" s="2766"/>
      <c r="D53" s="1284">
        <f t="shared" si="10"/>
        <v>0</v>
      </c>
      <c r="E53" s="821"/>
      <c r="F53" s="2497"/>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5.5">
      <c r="A54" s="2873" t="s">
        <v>2957</v>
      </c>
      <c r="B54" s="1723" t="str">
        <f>估价对象房地状况!C21</f>
        <v>估价对象所在区域公共配套设施齐备情况</v>
      </c>
      <c r="C54" s="2766"/>
      <c r="D54" s="1284">
        <f t="shared" si="10"/>
        <v>0</v>
      </c>
      <c r="E54" s="821"/>
      <c r="F54" s="2497"/>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5.5">
      <c r="A55" s="2873" t="s">
        <v>2958</v>
      </c>
      <c r="B55" s="2870" t="str">
        <f>估价对象房地状况!C22</f>
        <v>估价对象所在区域基础设施水平</v>
      </c>
      <c r="C55" s="2766"/>
      <c r="D55" s="1284">
        <f t="shared" si="10"/>
        <v>0</v>
      </c>
      <c r="E55" s="821"/>
      <c r="F55" s="2497"/>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39" thickBot="1">
      <c r="A56" s="2874" t="s">
        <v>2959</v>
      </c>
      <c r="B56" s="2875" t="str">
        <f>估价对象房地状况!C20</f>
        <v>区域自然环境：；人文环境；综合评价环境状况一般</v>
      </c>
      <c r="C56" s="2766"/>
      <c r="D56" s="1284">
        <f t="shared" si="10"/>
        <v>0</v>
      </c>
      <c r="E56" s="824"/>
      <c r="F56" s="2497"/>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62" t="s">
        <v>2960</v>
      </c>
      <c r="B57" s="2863">
        <f>1+E59</f>
        <v>1</v>
      </c>
      <c r="C57" s="813"/>
      <c r="D57" s="813"/>
      <c r="E57" s="814"/>
      <c r="F57" s="286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66" t="s">
        <v>2941</v>
      </c>
      <c r="B58" s="1807"/>
      <c r="C58" s="1807" t="s">
        <v>2943</v>
      </c>
      <c r="D58" s="1807" t="s">
        <v>2944</v>
      </c>
      <c r="E58" s="818" t="s">
        <v>2945</v>
      </c>
      <c r="F58" s="2867" t="s">
        <v>2961</v>
      </c>
      <c r="G58" s="1807" t="s">
        <v>754</v>
      </c>
      <c r="H58" s="2868" t="s">
        <v>2947</v>
      </c>
      <c r="I58" s="1807" t="s">
        <v>2948</v>
      </c>
      <c r="J58" s="603" t="s">
        <v>2597</v>
      </c>
      <c r="K58" s="603" t="s">
        <v>2598</v>
      </c>
      <c r="L58" s="603" t="s">
        <v>2599</v>
      </c>
      <c r="M58" s="603" t="s">
        <v>2600</v>
      </c>
      <c r="N58" s="603" t="s">
        <v>2601</v>
      </c>
      <c r="AA58" s="1369"/>
      <c r="AB58" s="1369"/>
      <c r="AC58" s="1369"/>
      <c r="AD58" s="1369"/>
      <c r="AE58" s="1369"/>
      <c r="AF58" s="1369"/>
      <c r="AG58" s="1369"/>
      <c r="AH58" s="1369"/>
      <c r="AI58" s="1369"/>
      <c r="AJ58" s="1369"/>
      <c r="AK58" s="1369"/>
    </row>
    <row r="59" spans="1:37" s="1368" customFormat="1" ht="38.25">
      <c r="A59" s="2866" t="s">
        <v>2962</v>
      </c>
      <c r="B59" s="2869" t="str">
        <f>估价对象房地状况!C17</f>
        <v>估价对象位于XX商圈，周边办公楼项目较多，入驻率高，办公集聚程度较好</v>
      </c>
      <c r="C59" s="2766"/>
      <c r="D59" s="1284">
        <f t="shared" ref="D59:D67" si="15">SUMIF($J$58:$N$58,C59,J59:N59)</f>
        <v>0</v>
      </c>
      <c r="E59" s="820">
        <f>ROUND(SUM(D59:D67),4)</f>
        <v>0</v>
      </c>
      <c r="F59" s="2497" t="str">
        <f>IF(E2="办公",SUMIF(L1:L12,G2,N1:N12),"——")</f>
        <v>——</v>
      </c>
      <c r="G59" s="1282"/>
      <c r="H59" s="1286" t="str">
        <f t="shared" ref="H59:H67" si="16">IFERROR(ROUNDDOWN($F$59*I59/2,4),"——")</f>
        <v>——</v>
      </c>
      <c r="I59" s="819">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51">
      <c r="A60" s="2866" t="s">
        <v>2950</v>
      </c>
      <c r="B60" s="2870" t="str">
        <f>估价对象房地状况!C18</f>
        <v>估价对象周边道路状况、公共交通通达情况、停车便捷程度，综合评价交通便捷度较好</v>
      </c>
      <c r="C60" s="2766"/>
      <c r="D60" s="1284">
        <f t="shared" si="15"/>
        <v>0</v>
      </c>
      <c r="E60" s="821"/>
      <c r="F60" s="2497"/>
      <c r="G60" s="1282"/>
      <c r="H60" s="1286" t="str">
        <f t="shared" si="16"/>
        <v>——</v>
      </c>
      <c r="I60" s="819">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66" t="s">
        <v>2951</v>
      </c>
      <c r="B61" s="2870">
        <f>估价对象房地状况!C19</f>
        <v>0</v>
      </c>
      <c r="C61" s="2766"/>
      <c r="D61" s="1284">
        <f t="shared" si="15"/>
        <v>0</v>
      </c>
      <c r="E61" s="821"/>
      <c r="F61" s="2497"/>
      <c r="G61" s="1282"/>
      <c r="H61" s="1286" t="str">
        <f t="shared" si="16"/>
        <v>——</v>
      </c>
      <c r="I61" s="819">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66" t="s">
        <v>2952</v>
      </c>
      <c r="B62" s="2871" t="s">
        <v>2953</v>
      </c>
      <c r="C62" s="2766"/>
      <c r="D62" s="1284">
        <f t="shared" si="15"/>
        <v>0</v>
      </c>
      <c r="E62" s="821"/>
      <c r="F62" s="2497"/>
      <c r="G62" s="1282"/>
      <c r="H62" s="1286" t="str">
        <f t="shared" si="16"/>
        <v>——</v>
      </c>
      <c r="I62" s="819">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66" t="s">
        <v>2954</v>
      </c>
      <c r="B63" s="2870">
        <f>估价对象房地状况!C24</f>
        <v>0</v>
      </c>
      <c r="C63" s="2766"/>
      <c r="D63" s="1284">
        <f t="shared" si="15"/>
        <v>0</v>
      </c>
      <c r="E63" s="821"/>
      <c r="F63" s="2497"/>
      <c r="G63" s="1282"/>
      <c r="H63" s="1286" t="str">
        <f t="shared" si="16"/>
        <v>——</v>
      </c>
      <c r="I63" s="819">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66" t="s">
        <v>2955</v>
      </c>
      <c r="B64" s="2872" t="s">
        <v>2956</v>
      </c>
      <c r="C64" s="2766"/>
      <c r="D64" s="1284">
        <f t="shared" si="15"/>
        <v>0</v>
      </c>
      <c r="E64" s="821"/>
      <c r="F64" s="2497"/>
      <c r="G64" s="1282"/>
      <c r="H64" s="1286" t="str">
        <f t="shared" si="16"/>
        <v>——</v>
      </c>
      <c r="I64" s="819">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5.5">
      <c r="A65" s="2866" t="s">
        <v>2957</v>
      </c>
      <c r="B65" s="1723" t="str">
        <f>估价对象房地状况!C21</f>
        <v>估价对象所在区域公共配套设施齐备情况</v>
      </c>
      <c r="C65" s="2766"/>
      <c r="D65" s="1284">
        <f t="shared" si="15"/>
        <v>0</v>
      </c>
      <c r="E65" s="821"/>
      <c r="F65" s="2497"/>
      <c r="G65" s="1282"/>
      <c r="H65" s="1286" t="str">
        <f t="shared" si="16"/>
        <v>——</v>
      </c>
      <c r="I65" s="819">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5.5">
      <c r="A66" s="2866" t="s">
        <v>2958</v>
      </c>
      <c r="B66" s="1723" t="str">
        <f>估价对象房地状况!C22</f>
        <v>估价对象所在区域基础设施水平</v>
      </c>
      <c r="C66" s="2766"/>
      <c r="D66" s="1284">
        <f t="shared" si="15"/>
        <v>0</v>
      </c>
      <c r="E66" s="821"/>
      <c r="F66" s="2497"/>
      <c r="G66" s="1282"/>
      <c r="H66" s="1286" t="str">
        <f t="shared" si="16"/>
        <v>——</v>
      </c>
      <c r="I66" s="819">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39" thickBot="1">
      <c r="A67" s="2874" t="s">
        <v>2959</v>
      </c>
      <c r="B67" s="2876" t="str">
        <f>估价对象房地状况!C20</f>
        <v>区域自然环境：；人文环境；综合评价环境状况一般</v>
      </c>
      <c r="C67" s="2766"/>
      <c r="D67" s="1284">
        <f t="shared" si="15"/>
        <v>0</v>
      </c>
      <c r="E67" s="824"/>
      <c r="F67" s="2497"/>
      <c r="G67" s="1282"/>
      <c r="H67" s="1286" t="str">
        <f t="shared" si="16"/>
        <v>——</v>
      </c>
      <c r="I67" s="823">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62" t="s">
        <v>2963</v>
      </c>
      <c r="B68" s="2863">
        <f>1+E70</f>
        <v>1</v>
      </c>
      <c r="C68" s="813"/>
      <c r="D68" s="813"/>
      <c r="E68" s="814"/>
      <c r="F68" s="286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66" t="s">
        <v>2941</v>
      </c>
      <c r="B69" s="1807"/>
      <c r="C69" s="1807" t="s">
        <v>2943</v>
      </c>
      <c r="D69" s="1807" t="s">
        <v>2944</v>
      </c>
      <c r="E69" s="818" t="s">
        <v>2945</v>
      </c>
      <c r="F69" s="2867" t="s">
        <v>2961</v>
      </c>
      <c r="G69" s="1807" t="s">
        <v>754</v>
      </c>
      <c r="H69" s="2868" t="s">
        <v>2947</v>
      </c>
      <c r="I69" s="1807" t="s">
        <v>2948</v>
      </c>
      <c r="J69" s="603" t="s">
        <v>2597</v>
      </c>
      <c r="K69" s="603" t="s">
        <v>2598</v>
      </c>
      <c r="L69" s="603" t="s">
        <v>2599</v>
      </c>
      <c r="M69" s="603" t="s">
        <v>2600</v>
      </c>
      <c r="N69" s="603" t="s">
        <v>2601</v>
      </c>
      <c r="AA69" s="1369"/>
      <c r="AB69" s="1369"/>
      <c r="AC69" s="1369"/>
      <c r="AD69" s="1369"/>
      <c r="AE69" s="1369"/>
      <c r="AF69" s="1369"/>
      <c r="AG69" s="1369"/>
      <c r="AH69" s="1369"/>
      <c r="AI69" s="1369"/>
      <c r="AJ69" s="1369"/>
      <c r="AK69" s="1369"/>
    </row>
    <row r="70" spans="1:37" s="1368" customFormat="1" ht="51">
      <c r="A70" s="2866" t="s">
        <v>2964</v>
      </c>
      <c r="B70" s="2869" t="str">
        <f>估价对象房地状况!C15</f>
        <v>估价对象周边居住用地比例、居住小区规模和社区发展完善程度，综合评价居住社区成熟度一般</v>
      </c>
      <c r="C70" s="2766"/>
      <c r="D70" s="1284">
        <f t="shared" ref="D70:D78" si="20">SUMIF($J$69:$N$69,C70,J70:N70)</f>
        <v>0</v>
      </c>
      <c r="E70" s="820">
        <f>ROUND(SUM(D70:D78),4)</f>
        <v>0</v>
      </c>
      <c r="F70" s="2497"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51">
      <c r="A71" s="2866" t="s">
        <v>2950</v>
      </c>
      <c r="B71" s="2870" t="str">
        <f>估价对象房地状况!C18</f>
        <v>估价对象周边道路状况、公共交通通达情况、停车便捷程度，综合评价交通便捷度较好</v>
      </c>
      <c r="C71" s="2766"/>
      <c r="D71" s="1284">
        <f t="shared" si="20"/>
        <v>0</v>
      </c>
      <c r="E71" s="825"/>
      <c r="F71" s="2497"/>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66" t="s">
        <v>2951</v>
      </c>
      <c r="B72" s="2870">
        <f>估价对象房地状况!C19</f>
        <v>0</v>
      </c>
      <c r="C72" s="2766"/>
      <c r="D72" s="1284">
        <f t="shared" si="20"/>
        <v>0</v>
      </c>
      <c r="E72" s="825"/>
      <c r="F72" s="2497"/>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66" t="s">
        <v>2965</v>
      </c>
      <c r="B73" s="2870">
        <f>估价对象房地状况!C24</f>
        <v>0</v>
      </c>
      <c r="C73" s="2766"/>
      <c r="D73" s="1284">
        <f t="shared" si="20"/>
        <v>0</v>
      </c>
      <c r="E73" s="825"/>
      <c r="F73" s="2497"/>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5.5">
      <c r="A74" s="2866" t="s">
        <v>2957</v>
      </c>
      <c r="B74" s="1723" t="str">
        <f>估价对象房地状况!C21</f>
        <v>估价对象所在区域公共配套设施齐备情况</v>
      </c>
      <c r="C74" s="2766"/>
      <c r="D74" s="1284">
        <f t="shared" si="20"/>
        <v>0</v>
      </c>
      <c r="E74" s="825"/>
      <c r="F74" s="2497"/>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5.5">
      <c r="A75" s="2866" t="s">
        <v>2958</v>
      </c>
      <c r="B75" s="1723" t="str">
        <f>估价对象房地状况!C22</f>
        <v>估价对象所在区域基础设施水平</v>
      </c>
      <c r="C75" s="2766"/>
      <c r="D75" s="1284">
        <f t="shared" si="20"/>
        <v>0</v>
      </c>
      <c r="E75" s="825"/>
      <c r="F75" s="2497"/>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5" customFormat="1" ht="24">
      <c r="A76" s="2866" t="s">
        <v>2955</v>
      </c>
      <c r="B76" s="2872" t="s">
        <v>2956</v>
      </c>
      <c r="C76" s="2766"/>
      <c r="D76" s="1284">
        <f t="shared" si="20"/>
        <v>0</v>
      </c>
      <c r="E76" s="825"/>
      <c r="F76" s="2497"/>
      <c r="G76" s="1282"/>
      <c r="H76" s="1286" t="str">
        <f t="shared" si="21"/>
        <v>——</v>
      </c>
      <c r="I76" s="819">
        <v>0.05</v>
      </c>
      <c r="J76" s="1283">
        <f t="shared" si="22"/>
        <v>0</v>
      </c>
      <c r="K76" s="1283">
        <f t="shared" si="23"/>
        <v>0</v>
      </c>
      <c r="L76" s="1283">
        <v>0</v>
      </c>
      <c r="M76" s="1283">
        <f t="shared" si="24"/>
        <v>0</v>
      </c>
      <c r="N76" s="1283">
        <f t="shared" si="24"/>
        <v>0</v>
      </c>
      <c r="AA76" s="2877"/>
      <c r="AB76" s="1369"/>
      <c r="AC76" s="1369"/>
      <c r="AD76" s="1369"/>
      <c r="AE76" s="1369"/>
      <c r="AF76" s="1369"/>
      <c r="AG76" s="1369"/>
      <c r="AH76" s="2877"/>
      <c r="AI76" s="2877"/>
      <c r="AJ76" s="2877"/>
      <c r="AK76" s="2877"/>
    </row>
    <row r="77" spans="1:37" ht="38.25">
      <c r="A77" s="2866" t="s">
        <v>2959</v>
      </c>
      <c r="B77" s="2869" t="str">
        <f>估价对象房地状况!C20</f>
        <v>区域自然环境：；人文环境；综合评价环境状况一般</v>
      </c>
      <c r="C77" s="2766"/>
      <c r="D77" s="1284">
        <f t="shared" si="20"/>
        <v>0</v>
      </c>
      <c r="E77" s="825"/>
      <c r="F77" s="2497"/>
      <c r="G77" s="1282"/>
      <c r="H77" s="1286" t="str">
        <f t="shared" si="21"/>
        <v>——</v>
      </c>
      <c r="I77" s="819">
        <v>0.15</v>
      </c>
      <c r="J77" s="1283">
        <f t="shared" si="22"/>
        <v>0</v>
      </c>
      <c r="K77" s="1283">
        <f t="shared" si="23"/>
        <v>0</v>
      </c>
      <c r="L77" s="1283">
        <v>0</v>
      </c>
      <c r="M77" s="1283">
        <f t="shared" si="24"/>
        <v>0</v>
      </c>
      <c r="N77" s="1283">
        <f t="shared" si="24"/>
        <v>0</v>
      </c>
      <c r="Z77" s="2716"/>
      <c r="AA77" s="2784"/>
      <c r="AG77" s="1370"/>
      <c r="AK77" s="2784"/>
    </row>
    <row r="78" spans="1:37" ht="24.75" thickBot="1">
      <c r="A78" s="2874" t="s">
        <v>2966</v>
      </c>
      <c r="B78" s="2878"/>
      <c r="C78" s="2766"/>
      <c r="D78" s="1284">
        <f t="shared" si="20"/>
        <v>0</v>
      </c>
      <c r="E78" s="826"/>
      <c r="F78" s="2497"/>
      <c r="G78" s="1282"/>
      <c r="H78" s="1286" t="str">
        <f t="shared" si="21"/>
        <v>——</v>
      </c>
      <c r="I78" s="823">
        <v>0.04</v>
      </c>
      <c r="J78" s="1283">
        <f t="shared" si="22"/>
        <v>0</v>
      </c>
      <c r="K78" s="1283">
        <f t="shared" si="23"/>
        <v>0</v>
      </c>
      <c r="L78" s="1283">
        <v>0</v>
      </c>
      <c r="M78" s="1283">
        <f t="shared" si="24"/>
        <v>0</v>
      </c>
      <c r="N78" s="1283">
        <f t="shared" si="24"/>
        <v>0</v>
      </c>
      <c r="Z78" s="2716"/>
      <c r="AA78" s="2784"/>
      <c r="AG78" s="1370"/>
      <c r="AK78" s="2784"/>
    </row>
    <row r="79" spans="1:37" ht="15">
      <c r="A79" s="2862" t="s">
        <v>2967</v>
      </c>
      <c r="B79" s="2863">
        <f>1+E81</f>
        <v>1</v>
      </c>
      <c r="C79" s="813"/>
      <c r="D79" s="813"/>
      <c r="E79" s="814"/>
      <c r="F79" s="2865"/>
      <c r="G79" s="6"/>
      <c r="H79" s="6"/>
      <c r="I79" s="6"/>
      <c r="J79" s="7"/>
      <c r="K79" s="7"/>
      <c r="L79" s="7"/>
      <c r="M79" s="7"/>
      <c r="N79" s="7"/>
      <c r="Z79" s="2716"/>
      <c r="AA79" s="2784"/>
      <c r="AG79" s="1370"/>
      <c r="AK79" s="2784"/>
    </row>
    <row r="80" spans="1:37" ht="24.75">
      <c r="A80" s="2866" t="s">
        <v>2941</v>
      </c>
      <c r="B80" s="1807"/>
      <c r="C80" s="1807" t="s">
        <v>2943</v>
      </c>
      <c r="D80" s="1807" t="s">
        <v>2944</v>
      </c>
      <c r="E80" s="818" t="s">
        <v>2945</v>
      </c>
      <c r="F80" s="2867" t="s">
        <v>2961</v>
      </c>
      <c r="G80" s="1807" t="s">
        <v>754</v>
      </c>
      <c r="H80" s="2868" t="s">
        <v>2947</v>
      </c>
      <c r="I80" s="1807" t="s">
        <v>2948</v>
      </c>
      <c r="J80" s="603" t="s">
        <v>2597</v>
      </c>
      <c r="K80" s="603" t="s">
        <v>2598</v>
      </c>
      <c r="L80" s="603" t="s">
        <v>2599</v>
      </c>
      <c r="M80" s="603" t="s">
        <v>2600</v>
      </c>
      <c r="N80" s="603" t="s">
        <v>2601</v>
      </c>
      <c r="Z80" s="2716"/>
      <c r="AA80" s="2784"/>
      <c r="AG80" s="1370"/>
      <c r="AK80" s="2784"/>
    </row>
    <row r="81" spans="1:37" ht="38.25">
      <c r="A81" s="2866" t="s">
        <v>2968</v>
      </c>
      <c r="B81" s="2870" t="str">
        <f>估价对象房地状况!G15</f>
        <v>估价对象位于XX开发区，园区建设成熟度XX，产业集聚程度XX</v>
      </c>
      <c r="C81" s="2766"/>
      <c r="D81" s="1284">
        <f t="shared" ref="D81:D88" si="25">SUMIF($J$80:$N$80,C81,J81:N81)</f>
        <v>0</v>
      </c>
      <c r="E81" s="820">
        <f>ROUND(SUM(D81:D88),4)</f>
        <v>0</v>
      </c>
      <c r="F81" s="2497"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6"/>
      <c r="AA81" s="2784"/>
      <c r="AG81" s="1370"/>
      <c r="AK81" s="2784"/>
    </row>
    <row r="82" spans="1:37" ht="51">
      <c r="A82" s="2866" t="s">
        <v>2950</v>
      </c>
      <c r="B82" s="2870" t="str">
        <f>估价对象房地状况!G16</f>
        <v>估价对象周边道路状况、公共交通通达情况、停车便捷程度，综合评价交通便捷度较好</v>
      </c>
      <c r="C82" s="2766"/>
      <c r="D82" s="1284">
        <f t="shared" si="25"/>
        <v>0</v>
      </c>
      <c r="E82" s="825"/>
      <c r="F82" s="2497"/>
      <c r="G82" s="1282"/>
      <c r="H82" s="1286" t="str">
        <f t="shared" si="26"/>
        <v>——</v>
      </c>
      <c r="I82" s="819">
        <v>0.33</v>
      </c>
      <c r="J82" s="1283">
        <f t="shared" si="27"/>
        <v>0</v>
      </c>
      <c r="K82" s="1283">
        <f t="shared" si="28"/>
        <v>0</v>
      </c>
      <c r="L82" s="1283">
        <v>0</v>
      </c>
      <c r="M82" s="1283">
        <f t="shared" si="29"/>
        <v>0</v>
      </c>
      <c r="N82" s="1283">
        <f t="shared" si="29"/>
        <v>0</v>
      </c>
      <c r="Z82" s="2716"/>
      <c r="AA82" s="2784"/>
      <c r="AG82" s="1370"/>
      <c r="AK82" s="2784"/>
    </row>
    <row r="83" spans="1:37" ht="24">
      <c r="A83" s="2866" t="s">
        <v>2951</v>
      </c>
      <c r="B83" s="2870">
        <f>估价对象房地状况!G17</f>
        <v>0</v>
      </c>
      <c r="C83" s="2766"/>
      <c r="D83" s="1284">
        <f t="shared" si="25"/>
        <v>0</v>
      </c>
      <c r="E83" s="825"/>
      <c r="F83" s="2497"/>
      <c r="G83" s="1282"/>
      <c r="H83" s="1286" t="str">
        <f t="shared" si="26"/>
        <v>——</v>
      </c>
      <c r="I83" s="819">
        <v>0.05</v>
      </c>
      <c r="J83" s="1283">
        <f t="shared" si="27"/>
        <v>0</v>
      </c>
      <c r="K83" s="1283">
        <f t="shared" si="28"/>
        <v>0</v>
      </c>
      <c r="L83" s="1283">
        <v>0</v>
      </c>
      <c r="M83" s="1283">
        <f t="shared" si="29"/>
        <v>0</v>
      </c>
      <c r="N83" s="1283">
        <f t="shared" si="29"/>
        <v>0</v>
      </c>
      <c r="Z83" s="2716"/>
      <c r="AA83" s="2784"/>
      <c r="AG83" s="1370"/>
      <c r="AK83" s="2784"/>
    </row>
    <row r="84" spans="1:37" ht="14.25">
      <c r="A84" s="2866" t="s">
        <v>2965</v>
      </c>
      <c r="B84" s="2870">
        <f>估价对象房地状况!G22</f>
        <v>0</v>
      </c>
      <c r="C84" s="2766"/>
      <c r="D84" s="1284">
        <f t="shared" si="25"/>
        <v>0</v>
      </c>
      <c r="E84" s="825"/>
      <c r="F84" s="2497"/>
      <c r="G84" s="1282"/>
      <c r="H84" s="1286" t="str">
        <f t="shared" si="26"/>
        <v>——</v>
      </c>
      <c r="I84" s="819">
        <v>0.04</v>
      </c>
      <c r="J84" s="1283">
        <f t="shared" si="27"/>
        <v>0</v>
      </c>
      <c r="K84" s="1283">
        <f t="shared" si="28"/>
        <v>0</v>
      </c>
      <c r="L84" s="1283">
        <v>0</v>
      </c>
      <c r="M84" s="1283">
        <f t="shared" si="29"/>
        <v>0</v>
      </c>
      <c r="N84" s="1283">
        <f t="shared" si="29"/>
        <v>0</v>
      </c>
      <c r="Z84" s="2716"/>
      <c r="AA84" s="2784"/>
      <c r="AG84" s="1370"/>
      <c r="AK84" s="2784"/>
    </row>
    <row r="85" spans="1:37" ht="25.5">
      <c r="A85" s="2866" t="s">
        <v>2957</v>
      </c>
      <c r="B85" s="1723" t="str">
        <f>估价对象房地状况!G19</f>
        <v>估价对象所在区域公共配套设施齐备情况</v>
      </c>
      <c r="C85" s="2766"/>
      <c r="D85" s="1284">
        <f t="shared" si="25"/>
        <v>0</v>
      </c>
      <c r="E85" s="825"/>
      <c r="F85" s="2497"/>
      <c r="G85" s="1282"/>
      <c r="H85" s="1286" t="str">
        <f t="shared" si="26"/>
        <v>——</v>
      </c>
      <c r="I85" s="819">
        <v>0.06</v>
      </c>
      <c r="J85" s="1283">
        <f t="shared" si="27"/>
        <v>0</v>
      </c>
      <c r="K85" s="1283">
        <f t="shared" si="28"/>
        <v>0</v>
      </c>
      <c r="L85" s="1283">
        <v>0</v>
      </c>
      <c r="M85" s="1283">
        <f t="shared" si="29"/>
        <v>0</v>
      </c>
      <c r="N85" s="1283">
        <f t="shared" si="29"/>
        <v>0</v>
      </c>
      <c r="Z85" s="2716"/>
      <c r="AA85" s="2784"/>
      <c r="AG85" s="1370"/>
      <c r="AK85" s="2784"/>
    </row>
    <row r="86" spans="1:37" ht="25.5">
      <c r="A86" s="2866" t="s">
        <v>2958</v>
      </c>
      <c r="B86" s="1723" t="str">
        <f>估价对象房地状况!G20</f>
        <v>估价对象所在区域基础设施水平</v>
      </c>
      <c r="C86" s="2766"/>
      <c r="D86" s="1284">
        <f t="shared" si="25"/>
        <v>0</v>
      </c>
      <c r="E86" s="825"/>
      <c r="F86" s="2497"/>
      <c r="G86" s="1282"/>
      <c r="H86" s="1286" t="str">
        <f t="shared" si="26"/>
        <v>——</v>
      </c>
      <c r="I86" s="819">
        <v>0.15</v>
      </c>
      <c r="J86" s="1283">
        <f t="shared" si="27"/>
        <v>0</v>
      </c>
      <c r="K86" s="1283">
        <f t="shared" si="28"/>
        <v>0</v>
      </c>
      <c r="L86" s="1283">
        <v>0</v>
      </c>
      <c r="M86" s="1283">
        <f t="shared" si="29"/>
        <v>0</v>
      </c>
      <c r="N86" s="1283">
        <f t="shared" si="29"/>
        <v>0</v>
      </c>
      <c r="Z86" s="2716"/>
      <c r="AA86" s="2784"/>
      <c r="AG86" s="1370"/>
      <c r="AK86" s="2784"/>
    </row>
    <row r="87" spans="1:37" ht="24">
      <c r="A87" s="2866" t="s">
        <v>2955</v>
      </c>
      <c r="B87" s="2872" t="s">
        <v>2969</v>
      </c>
      <c r="C87" s="2766"/>
      <c r="D87" s="1284">
        <f t="shared" si="25"/>
        <v>0</v>
      </c>
      <c r="E87" s="825"/>
      <c r="F87" s="2497"/>
      <c r="G87" s="1282"/>
      <c r="H87" s="1286" t="str">
        <f t="shared" si="26"/>
        <v>——</v>
      </c>
      <c r="I87" s="819">
        <v>0.05</v>
      </c>
      <c r="J87" s="1283">
        <f t="shared" si="27"/>
        <v>0</v>
      </c>
      <c r="K87" s="1283">
        <f t="shared" si="28"/>
        <v>0</v>
      </c>
      <c r="L87" s="1283">
        <v>0</v>
      </c>
      <c r="M87" s="1283">
        <f t="shared" si="29"/>
        <v>0</v>
      </c>
      <c r="N87" s="1283">
        <f t="shared" si="29"/>
        <v>0</v>
      </c>
      <c r="Z87" s="2716"/>
      <c r="AA87" s="2784"/>
      <c r="AG87" s="1370"/>
      <c r="AK87" s="2784"/>
    </row>
    <row r="88" spans="1:37" ht="39" thickBot="1">
      <c r="A88" s="2874" t="s">
        <v>2970</v>
      </c>
      <c r="B88" s="2879" t="str">
        <f>估价对象房地状况!G18</f>
        <v>该园区内是否有污染型企业，绿化情况，卫生条件，整体环境状况判断</v>
      </c>
      <c r="C88" s="2766"/>
      <c r="D88" s="1284">
        <f t="shared" si="25"/>
        <v>0</v>
      </c>
      <c r="E88" s="826"/>
      <c r="F88" s="2497"/>
      <c r="G88" s="1282"/>
      <c r="H88" s="1286" t="str">
        <f t="shared" si="26"/>
        <v>——</v>
      </c>
      <c r="I88" s="823">
        <v>0.06</v>
      </c>
      <c r="J88" s="1283">
        <f t="shared" si="27"/>
        <v>0</v>
      </c>
      <c r="K88" s="1283">
        <f t="shared" si="28"/>
        <v>0</v>
      </c>
      <c r="L88" s="1283">
        <v>0</v>
      </c>
      <c r="M88" s="1283">
        <f t="shared" si="29"/>
        <v>0</v>
      </c>
      <c r="N88" s="1283">
        <f t="shared" si="29"/>
        <v>0</v>
      </c>
      <c r="Z88" s="2716"/>
      <c r="AA88" s="2784"/>
      <c r="AG88" s="1370"/>
      <c r="AK88" s="2784"/>
    </row>
    <row r="90" spans="1:37">
      <c r="A90" s="3328" t="s">
        <v>2971</v>
      </c>
      <c r="B90" s="3328"/>
      <c r="C90" s="3328"/>
      <c r="D90" s="3328"/>
      <c r="E90" s="3328"/>
      <c r="F90" s="3328"/>
      <c r="G90" s="3328"/>
      <c r="H90" s="3328"/>
      <c r="I90" s="3328"/>
      <c r="J90" s="3328"/>
      <c r="K90" s="2880"/>
      <c r="L90" s="2880"/>
      <c r="M90" s="2880"/>
      <c r="N90" s="2880"/>
    </row>
    <row r="91" spans="1:37">
      <c r="A91" s="3330" t="s">
        <v>2972</v>
      </c>
      <c r="B91" s="3330" t="s">
        <v>2973</v>
      </c>
      <c r="C91" s="2834" t="s">
        <v>2974</v>
      </c>
      <c r="D91" s="2835"/>
      <c r="E91" s="2835"/>
      <c r="F91" s="2835"/>
      <c r="G91" s="2835"/>
      <c r="H91" s="2835"/>
      <c r="I91" s="2835"/>
      <c r="J91" s="2881"/>
      <c r="K91" s="2882"/>
      <c r="L91" s="2882"/>
      <c r="M91" s="2882"/>
      <c r="N91" s="2882"/>
    </row>
    <row r="92" spans="1:37">
      <c r="A92" s="3330"/>
      <c r="B92" s="3330"/>
      <c r="C92" s="941" t="s">
        <v>2840</v>
      </c>
      <c r="D92" s="941" t="s">
        <v>2841</v>
      </c>
      <c r="E92" s="941" t="s">
        <v>2842</v>
      </c>
      <c r="F92" s="941" t="s">
        <v>2843</v>
      </c>
      <c r="G92" s="941" t="s">
        <v>2844</v>
      </c>
      <c r="H92" s="941" t="s">
        <v>2845</v>
      </c>
      <c r="I92" s="941" t="s">
        <v>2846</v>
      </c>
      <c r="J92" s="941" t="s">
        <v>2847</v>
      </c>
      <c r="K92" s="941" t="s">
        <v>2848</v>
      </c>
      <c r="L92" s="941" t="s">
        <v>2849</v>
      </c>
      <c r="M92" s="941" t="s">
        <v>2850</v>
      </c>
      <c r="N92" s="941" t="s">
        <v>2851</v>
      </c>
    </row>
    <row r="93" spans="1:37">
      <c r="A93" s="3331" t="s">
        <v>2975</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332"/>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332"/>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332"/>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332"/>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332"/>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332"/>
      <c r="B99" s="2883" t="s">
        <v>2856</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333"/>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331" t="s">
        <v>2976</v>
      </c>
      <c r="B101" s="2887" t="s">
        <v>2977</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332"/>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332"/>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332"/>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332"/>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332"/>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332"/>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332"/>
      <c r="B108" s="3178" t="s">
        <v>2978</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333"/>
      <c r="B109" s="3179"/>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329" t="s">
        <v>2979</v>
      </c>
      <c r="B110" s="3329"/>
      <c r="C110" s="3329"/>
      <c r="D110" s="3329"/>
      <c r="E110" s="3329"/>
      <c r="F110" s="3329"/>
      <c r="G110" s="3329"/>
      <c r="H110" s="3329"/>
      <c r="I110" s="3329"/>
      <c r="J110" s="3329"/>
      <c r="K110" s="2889"/>
      <c r="L110" s="2889"/>
      <c r="M110" s="2889"/>
      <c r="N110" s="2889"/>
    </row>
    <row r="112" spans="1:14" ht="13.5" thickBot="1"/>
    <row r="113" spans="1:13" ht="25.5" thickBot="1">
      <c r="A113" s="902" t="s">
        <v>2980</v>
      </c>
      <c r="B113" s="1285" t="e">
        <f>G3</f>
        <v>#DIV/0!</v>
      </c>
      <c r="C113" s="903" t="s">
        <v>2981</v>
      </c>
      <c r="D113" s="904" t="e">
        <f>SUMPRODUCT((A115:A118=F113)*(B114:M114=H113)*B115:M118)</f>
        <v>#DIV/0!</v>
      </c>
      <c r="E113" s="2720" t="s">
        <v>2813</v>
      </c>
      <c r="F113" s="2891">
        <f>E2</f>
        <v>0</v>
      </c>
      <c r="G113" s="2720" t="s">
        <v>2814</v>
      </c>
      <c r="H113" s="2891">
        <f>G2</f>
        <v>0</v>
      </c>
      <c r="I113" s="2720"/>
      <c r="J113" s="2892"/>
      <c r="K113" s="2892"/>
      <c r="L113" s="2892"/>
      <c r="M113" s="2892"/>
    </row>
    <row r="114" spans="1:13">
      <c r="A114" s="907"/>
      <c r="B114" s="2893" t="s">
        <v>2982</v>
      </c>
      <c r="C114" s="2893" t="s">
        <v>2983</v>
      </c>
      <c r="D114" s="2893" t="s">
        <v>2984</v>
      </c>
      <c r="E114" s="2894" t="s">
        <v>2985</v>
      </c>
      <c r="F114" s="2894" t="s">
        <v>2986</v>
      </c>
      <c r="G114" s="2894" t="s">
        <v>2987</v>
      </c>
      <c r="H114" s="2895" t="s">
        <v>2988</v>
      </c>
      <c r="I114" s="2895" t="s">
        <v>2989</v>
      </c>
      <c r="J114" s="2896" t="s">
        <v>2990</v>
      </c>
      <c r="K114" s="2896" t="s">
        <v>2991</v>
      </c>
      <c r="L114" s="2896" t="s">
        <v>2992</v>
      </c>
      <c r="M114" s="2897" t="s">
        <v>2993</v>
      </c>
    </row>
    <row r="115" spans="1:13">
      <c r="A115" s="908" t="s">
        <v>2878</v>
      </c>
      <c r="B115" s="909" t="e">
        <f>ROUND(0.9335-0.0094*B113,4)</f>
        <v>#DIV/0!</v>
      </c>
      <c r="C115" s="909" t="e">
        <f>B115</f>
        <v>#DIV/0!</v>
      </c>
      <c r="D115" s="909" t="e">
        <f>ROUND(0.8331-0.0109*B113,4)</f>
        <v>#DIV/0!</v>
      </c>
      <c r="E115" s="909" t="e">
        <f>D115</f>
        <v>#DIV/0!</v>
      </c>
      <c r="F115" s="909" t="e">
        <f>E115</f>
        <v>#DIV/0!</v>
      </c>
      <c r="G115" s="909" t="e">
        <f>F115</f>
        <v>#DIV/0!</v>
      </c>
      <c r="H115" s="909" t="e">
        <f>G115</f>
        <v>#DIV/0!</v>
      </c>
      <c r="I115" s="909" t="e">
        <f>ROUND(0.689-0.0155*B113,4)</f>
        <v>#DIV/0!</v>
      </c>
      <c r="J115" s="909" t="e">
        <f t="shared" ref="J115:M118" si="33">I115</f>
        <v>#DIV/0!</v>
      </c>
      <c r="K115" s="909" t="e">
        <f t="shared" si="33"/>
        <v>#DIV/0!</v>
      </c>
      <c r="L115" s="909" t="e">
        <f t="shared" si="33"/>
        <v>#DIV/0!</v>
      </c>
      <c r="M115" s="910" t="e">
        <f t="shared" si="33"/>
        <v>#DIV/0!</v>
      </c>
    </row>
    <row r="116" spans="1:13">
      <c r="A116" s="908" t="s">
        <v>2879</v>
      </c>
      <c r="B116" s="909" t="e">
        <f>ROUND(0.949-0.012*B113,4)</f>
        <v>#DIV/0!</v>
      </c>
      <c r="C116" s="909" t="e">
        <f>B116</f>
        <v>#DIV/0!</v>
      </c>
      <c r="D116" s="909" t="e">
        <f>ROUND(0.8567-0.013*B113,4)</f>
        <v>#DIV/0!</v>
      </c>
      <c r="E116" s="909" t="e">
        <f t="shared" ref="E116:H117" si="34">D116</f>
        <v>#DIV/0!</v>
      </c>
      <c r="F116" s="909" t="e">
        <f t="shared" si="34"/>
        <v>#DIV/0!</v>
      </c>
      <c r="G116" s="909" t="e">
        <f t="shared" si="34"/>
        <v>#DIV/0!</v>
      </c>
      <c r="H116" s="909" t="e">
        <f t="shared" si="34"/>
        <v>#DIV/0!</v>
      </c>
      <c r="I116" s="909" t="e">
        <f>ROUND(0.7694-0.014*B113,4)</f>
        <v>#DIV/0!</v>
      </c>
      <c r="J116" s="909" t="e">
        <f t="shared" si="33"/>
        <v>#DIV/0!</v>
      </c>
      <c r="K116" s="909" t="e">
        <f t="shared" si="33"/>
        <v>#DIV/0!</v>
      </c>
      <c r="L116" s="909" t="e">
        <f t="shared" si="33"/>
        <v>#DIV/0!</v>
      </c>
      <c r="M116" s="910" t="e">
        <f t="shared" si="33"/>
        <v>#DIV/0!</v>
      </c>
    </row>
    <row r="117" spans="1:13">
      <c r="A117" s="908" t="s">
        <v>2880</v>
      </c>
      <c r="B117" s="909" t="e">
        <f>ROUND(0.8808-0.006*B113,4)</f>
        <v>#DIV/0!</v>
      </c>
      <c r="C117" s="909" t="e">
        <f>B117</f>
        <v>#DIV/0!</v>
      </c>
      <c r="D117" s="909" t="e">
        <f>ROUND(0.8748-0.008*B113,4)</f>
        <v>#DIV/0!</v>
      </c>
      <c r="E117" s="909" t="e">
        <f t="shared" si="34"/>
        <v>#DIV/0!</v>
      </c>
      <c r="F117" s="909" t="e">
        <f t="shared" si="34"/>
        <v>#DIV/0!</v>
      </c>
      <c r="G117" s="909" t="e">
        <f t="shared" si="34"/>
        <v>#DIV/0!</v>
      </c>
      <c r="H117" s="909" t="e">
        <f t="shared" si="34"/>
        <v>#DIV/0!</v>
      </c>
      <c r="I117" s="909" t="e">
        <f>ROUND(0.7412-0.0095*B113,4)</f>
        <v>#DIV/0!</v>
      </c>
      <c r="J117" s="909" t="e">
        <f t="shared" si="33"/>
        <v>#DIV/0!</v>
      </c>
      <c r="K117" s="909" t="e">
        <f t="shared" si="33"/>
        <v>#DIV/0!</v>
      </c>
      <c r="L117" s="909" t="e">
        <f t="shared" si="33"/>
        <v>#DIV/0!</v>
      </c>
      <c r="M117" s="910" t="e">
        <f t="shared" si="33"/>
        <v>#DIV/0!</v>
      </c>
    </row>
    <row r="118" spans="1:13" ht="13.5" thickBot="1">
      <c r="A118" s="714" t="s">
        <v>2881</v>
      </c>
      <c r="B118" s="911" t="e">
        <f>ROUND(0.7275-0.01*B113,4)</f>
        <v>#DIV/0!</v>
      </c>
      <c r="C118" s="911" t="e">
        <f>B118</f>
        <v>#DIV/0!</v>
      </c>
      <c r="D118" s="911" t="e">
        <f>ROUND(0.7043-0.012*B113,4)</f>
        <v>#DIV/0!</v>
      </c>
      <c r="E118" s="911" t="e">
        <f>D118</f>
        <v>#DIV/0!</v>
      </c>
      <c r="F118" s="911" t="e">
        <f>E118</f>
        <v>#DIV/0!</v>
      </c>
      <c r="G118" s="911" t="e">
        <f>ROUND(0.6299-0.0122*B113,4)</f>
        <v>#DIV/0!</v>
      </c>
      <c r="H118" s="911" t="e">
        <f>G118</f>
        <v>#DIV/0!</v>
      </c>
      <c r="I118" s="911" t="e">
        <f>ROUND(0.5667-0.0136*B113,4)</f>
        <v>#DIV/0!</v>
      </c>
      <c r="J118" s="911" t="e">
        <f t="shared" si="33"/>
        <v>#DIV/0!</v>
      </c>
      <c r="K118" s="911" t="e">
        <f t="shared" si="33"/>
        <v>#DIV/0!</v>
      </c>
      <c r="L118" s="911" t="e">
        <f t="shared" si="33"/>
        <v>#DIV/0!</v>
      </c>
      <c r="M118" s="912" t="e">
        <f t="shared" si="33"/>
        <v>#DIV/0!</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3049</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39" t="s">
        <v>183</v>
      </c>
      <c r="B18" s="881" t="s">
        <v>560</v>
      </c>
      <c r="C18" s="882" t="s">
        <v>561</v>
      </c>
      <c r="D18" s="883"/>
      <c r="E18" s="881">
        <v>1</v>
      </c>
      <c r="F18" s="884" t="s">
        <v>562</v>
      </c>
      <c r="G18" s="885"/>
      <c r="H18" s="877"/>
      <c r="I18" s="877"/>
    </row>
    <row r="19" spans="1:9" s="886" customFormat="1" ht="19.5" customHeight="1">
      <c r="A19" s="3339"/>
      <c r="B19" s="3339" t="s">
        <v>563</v>
      </c>
      <c r="C19" s="882" t="s">
        <v>564</v>
      </c>
      <c r="D19" s="883"/>
      <c r="E19" s="881">
        <v>0.9</v>
      </c>
      <c r="F19" s="884" t="s">
        <v>565</v>
      </c>
      <c r="G19" s="885"/>
      <c r="H19" s="877"/>
      <c r="I19" s="877"/>
    </row>
    <row r="20" spans="1:9" s="886" customFormat="1" ht="19.5" customHeight="1">
      <c r="A20" s="3339"/>
      <c r="B20" s="3339"/>
      <c r="C20" s="882" t="s">
        <v>566</v>
      </c>
      <c r="D20" s="883"/>
      <c r="E20" s="881">
        <v>1.1000000000000001</v>
      </c>
      <c r="F20" s="884" t="s">
        <v>567</v>
      </c>
      <c r="G20" s="885"/>
      <c r="H20" s="877"/>
      <c r="I20" s="877"/>
    </row>
    <row r="21" spans="1:9" s="886" customFormat="1" ht="19.5" customHeight="1">
      <c r="A21" s="3339"/>
      <c r="B21" s="3339"/>
      <c r="C21" s="882" t="s">
        <v>568</v>
      </c>
      <c r="D21" s="883"/>
      <c r="E21" s="881">
        <v>0.8</v>
      </c>
      <c r="F21" s="884" t="s">
        <v>569</v>
      </c>
      <c r="G21" s="885"/>
      <c r="H21" s="877"/>
      <c r="I21" s="877"/>
    </row>
    <row r="22" spans="1:9" s="886" customFormat="1" ht="19.5" customHeight="1">
      <c r="A22" s="3339"/>
      <c r="B22" s="3339"/>
      <c r="C22" s="882" t="s">
        <v>570</v>
      </c>
      <c r="D22" s="883"/>
      <c r="E22" s="881">
        <v>0.5</v>
      </c>
      <c r="F22" s="884"/>
      <c r="G22" s="885"/>
      <c r="H22" s="877"/>
      <c r="I22" s="877"/>
    </row>
    <row r="23" spans="1:9" s="886" customFormat="1" ht="19.5" customHeight="1">
      <c r="A23" s="3339" t="s">
        <v>184</v>
      </c>
      <c r="B23" s="881" t="s">
        <v>560</v>
      </c>
      <c r="C23" s="882" t="s">
        <v>571</v>
      </c>
      <c r="D23" s="883"/>
      <c r="E23" s="881">
        <v>1</v>
      </c>
      <c r="F23" s="884" t="s">
        <v>572</v>
      </c>
      <c r="G23" s="885"/>
      <c r="H23" s="877"/>
      <c r="I23" s="877"/>
    </row>
    <row r="24" spans="1:9" s="886" customFormat="1" ht="19.5" customHeight="1">
      <c r="A24" s="3339"/>
      <c r="B24" s="3339" t="s">
        <v>563</v>
      </c>
      <c r="C24" s="882" t="s">
        <v>573</v>
      </c>
      <c r="D24" s="883"/>
      <c r="E24" s="881">
        <v>0.5</v>
      </c>
      <c r="F24" s="884"/>
      <c r="G24" s="885"/>
      <c r="H24" s="877"/>
      <c r="I24" s="877"/>
    </row>
    <row r="25" spans="1:9" s="886" customFormat="1" ht="19.5" customHeight="1">
      <c r="A25" s="3339"/>
      <c r="B25" s="3339"/>
      <c r="C25" s="882" t="s">
        <v>574</v>
      </c>
      <c r="D25" s="883"/>
      <c r="E25" s="881">
        <v>1.1000000000000001</v>
      </c>
      <c r="F25" s="884"/>
      <c r="G25" s="885"/>
      <c r="H25" s="877"/>
      <c r="I25" s="877"/>
    </row>
    <row r="26" spans="1:9" s="886" customFormat="1" ht="19.5" customHeight="1">
      <c r="A26" s="3339"/>
      <c r="B26" s="3339"/>
      <c r="C26" s="882" t="s">
        <v>575</v>
      </c>
      <c r="D26" s="883"/>
      <c r="E26" s="881">
        <v>1.1000000000000001</v>
      </c>
      <c r="F26" s="884"/>
      <c r="G26" s="885"/>
      <c r="H26" s="877"/>
      <c r="I26" s="877"/>
    </row>
    <row r="27" spans="1:9" s="886" customFormat="1" ht="19.5" customHeight="1">
      <c r="A27" s="3339"/>
      <c r="B27" s="3339"/>
      <c r="C27" s="882" t="s">
        <v>576</v>
      </c>
      <c r="D27" s="883"/>
      <c r="E27" s="881">
        <v>0.9</v>
      </c>
      <c r="F27" s="884" t="s">
        <v>577</v>
      </c>
      <c r="G27" s="885"/>
      <c r="H27" s="877"/>
      <c r="I27" s="877"/>
    </row>
    <row r="28" spans="1:9" s="886" customFormat="1" ht="19.5" customHeight="1">
      <c r="A28" s="3339"/>
      <c r="B28" s="3339"/>
      <c r="C28" s="882" t="s">
        <v>578</v>
      </c>
      <c r="D28" s="883"/>
      <c r="E28" s="881">
        <v>0.9</v>
      </c>
      <c r="F28" s="884" t="s">
        <v>579</v>
      </c>
      <c r="G28" s="885"/>
      <c r="H28" s="877"/>
      <c r="I28" s="877"/>
    </row>
    <row r="29" spans="1:9" s="886" customFormat="1" ht="19.5" customHeight="1">
      <c r="A29" s="3339"/>
      <c r="B29" s="3339"/>
      <c r="C29" s="882" t="s">
        <v>580</v>
      </c>
      <c r="D29" s="883"/>
      <c r="E29" s="881">
        <v>0.9</v>
      </c>
      <c r="F29" s="884" t="s">
        <v>581</v>
      </c>
      <c r="G29" s="885"/>
      <c r="H29" s="877"/>
      <c r="I29" s="877"/>
    </row>
    <row r="30" spans="1:9" s="886" customFormat="1" ht="19.5" customHeight="1">
      <c r="A30" s="3339"/>
      <c r="B30" s="3339"/>
      <c r="C30" s="882" t="s">
        <v>582</v>
      </c>
      <c r="D30" s="883"/>
      <c r="E30" s="881">
        <v>0.9</v>
      </c>
      <c r="F30" s="884" t="s">
        <v>583</v>
      </c>
      <c r="G30" s="885"/>
      <c r="H30" s="877"/>
      <c r="I30" s="877"/>
    </row>
    <row r="31" spans="1:9" s="886" customFormat="1" ht="19.5" customHeight="1">
      <c r="A31" s="3339"/>
      <c r="B31" s="3339"/>
      <c r="C31" s="882" t="s">
        <v>584</v>
      </c>
      <c r="D31" s="883"/>
      <c r="E31" s="881">
        <v>0.8</v>
      </c>
      <c r="F31" s="884" t="s">
        <v>585</v>
      </c>
      <c r="G31" s="885"/>
      <c r="H31" s="877"/>
      <c r="I31" s="877"/>
    </row>
    <row r="32" spans="1:9" s="886" customFormat="1" ht="19.5" customHeight="1">
      <c r="A32" s="3339"/>
      <c r="B32" s="3339"/>
      <c r="C32" s="882" t="s">
        <v>586</v>
      </c>
      <c r="D32" s="883"/>
      <c r="E32" s="881">
        <v>0.8</v>
      </c>
      <c r="F32" s="884" t="s">
        <v>587</v>
      </c>
      <c r="G32" s="885"/>
      <c r="H32" s="877"/>
      <c r="I32" s="877"/>
    </row>
    <row r="33" spans="1:9" s="886" customFormat="1" ht="19.5" customHeight="1">
      <c r="A33" s="3339" t="s">
        <v>185</v>
      </c>
      <c r="B33" s="881" t="s">
        <v>560</v>
      </c>
      <c r="C33" s="882" t="s">
        <v>588</v>
      </c>
      <c r="D33" s="883"/>
      <c r="E33" s="881">
        <v>1</v>
      </c>
      <c r="F33" s="884" t="s">
        <v>589</v>
      </c>
      <c r="G33" s="885"/>
      <c r="H33" s="877"/>
      <c r="I33" s="877"/>
    </row>
    <row r="34" spans="1:9" s="886" customFormat="1" ht="19.5" customHeight="1">
      <c r="A34" s="3339"/>
      <c r="B34" s="881" t="s">
        <v>563</v>
      </c>
      <c r="C34" s="882" t="s">
        <v>590</v>
      </c>
      <c r="D34" s="883"/>
      <c r="E34" s="881">
        <v>1.5</v>
      </c>
      <c r="F34" s="884" t="s">
        <v>591</v>
      </c>
      <c r="G34" s="885"/>
      <c r="H34" s="877"/>
      <c r="I34" s="877"/>
    </row>
    <row r="35" spans="1:9" s="886" customFormat="1" ht="19.5" customHeight="1">
      <c r="A35" s="3339" t="s">
        <v>186</v>
      </c>
      <c r="B35" s="881" t="s">
        <v>560</v>
      </c>
      <c r="C35" s="882" t="s">
        <v>592</v>
      </c>
      <c r="D35" s="883"/>
      <c r="E35" s="881">
        <v>1</v>
      </c>
      <c r="F35" s="884" t="s">
        <v>593</v>
      </c>
      <c r="G35" s="885"/>
      <c r="H35" s="877"/>
      <c r="I35" s="877"/>
    </row>
    <row r="36" spans="1:9" s="886" customFormat="1" ht="19.5" customHeight="1">
      <c r="A36" s="3339"/>
      <c r="B36" s="3339" t="s">
        <v>563</v>
      </c>
      <c r="C36" s="882" t="s">
        <v>594</v>
      </c>
      <c r="D36" s="883"/>
      <c r="E36" s="881">
        <v>1</v>
      </c>
      <c r="F36" s="884" t="s">
        <v>595</v>
      </c>
      <c r="G36" s="885"/>
      <c r="H36" s="877"/>
      <c r="I36" s="877"/>
    </row>
    <row r="37" spans="1:9" s="886" customFormat="1" ht="19.5" customHeight="1">
      <c r="A37" s="3339"/>
      <c r="B37" s="3339"/>
      <c r="C37" s="882" t="s">
        <v>596</v>
      </c>
      <c r="D37" s="883"/>
      <c r="E37" s="881">
        <v>1.5</v>
      </c>
      <c r="F37" s="884" t="s">
        <v>597</v>
      </c>
      <c r="G37" s="885"/>
      <c r="H37" s="877"/>
      <c r="I37" s="877"/>
    </row>
    <row r="38" spans="1:9" s="886" customFormat="1" ht="19.5" customHeight="1">
      <c r="A38" s="3339"/>
      <c r="B38" s="3339"/>
      <c r="C38" s="882" t="s">
        <v>598</v>
      </c>
      <c r="D38" s="883"/>
      <c r="E38" s="881">
        <v>1</v>
      </c>
      <c r="F38" s="884" t="s">
        <v>599</v>
      </c>
      <c r="G38" s="885"/>
      <c r="H38" s="877"/>
      <c r="I38" s="877"/>
    </row>
    <row r="39" spans="1:9" s="886" customFormat="1" ht="19.5" customHeight="1">
      <c r="A39" s="3339"/>
      <c r="B39" s="3339"/>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39" t="s">
        <v>614</v>
      </c>
      <c r="C61" s="817" t="s">
        <v>615</v>
      </c>
      <c r="D61" s="817" t="s">
        <v>616</v>
      </c>
      <c r="E61" s="894">
        <v>0.5</v>
      </c>
      <c r="F61" s="881">
        <v>80</v>
      </c>
    </row>
    <row r="62" spans="1:8" s="877" customFormat="1" ht="24">
      <c r="A62" s="881">
        <v>2</v>
      </c>
      <c r="B62" s="3339"/>
      <c r="C62" s="817" t="s">
        <v>617</v>
      </c>
      <c r="D62" s="817" t="s">
        <v>618</v>
      </c>
      <c r="E62" s="894">
        <v>0.5</v>
      </c>
      <c r="F62" s="881">
        <v>80</v>
      </c>
    </row>
    <row r="63" spans="1:8" s="877" customFormat="1" ht="36">
      <c r="A63" s="881">
        <v>3</v>
      </c>
      <c r="B63" s="3339"/>
      <c r="C63" s="817" t="s">
        <v>619</v>
      </c>
      <c r="D63" s="817" t="s">
        <v>620</v>
      </c>
      <c r="E63" s="894">
        <v>0.5</v>
      </c>
      <c r="F63" s="881">
        <v>80</v>
      </c>
    </row>
    <row r="64" spans="1:8" s="877" customFormat="1" ht="36">
      <c r="A64" s="881">
        <v>4</v>
      </c>
      <c r="B64" s="3339"/>
      <c r="C64" s="817" t="s">
        <v>621</v>
      </c>
      <c r="D64" s="817" t="s">
        <v>622</v>
      </c>
      <c r="E64" s="894">
        <v>0.4</v>
      </c>
      <c r="F64" s="881">
        <v>60</v>
      </c>
    </row>
    <row r="65" spans="1:6" s="877" customFormat="1" ht="36">
      <c r="A65" s="881">
        <v>5</v>
      </c>
      <c r="B65" s="3339"/>
      <c r="C65" s="817" t="s">
        <v>623</v>
      </c>
      <c r="D65" s="817" t="s">
        <v>624</v>
      </c>
      <c r="E65" s="894">
        <v>0.2</v>
      </c>
      <c r="F65" s="881">
        <v>30</v>
      </c>
    </row>
    <row r="66" spans="1:6" s="877" customFormat="1" ht="36">
      <c r="A66" s="881">
        <v>6</v>
      </c>
      <c r="B66" s="3339"/>
      <c r="C66" s="817" t="s">
        <v>625</v>
      </c>
      <c r="D66" s="817" t="s">
        <v>626</v>
      </c>
      <c r="E66" s="894">
        <v>0.3</v>
      </c>
      <c r="F66" s="881">
        <v>50</v>
      </c>
    </row>
    <row r="67" spans="1:6" s="877" customFormat="1" ht="36">
      <c r="A67" s="881">
        <v>7</v>
      </c>
      <c r="B67" s="3339"/>
      <c r="C67" s="817" t="s">
        <v>627</v>
      </c>
      <c r="D67" s="817" t="s">
        <v>628</v>
      </c>
      <c r="E67" s="894">
        <v>0.2</v>
      </c>
      <c r="F67" s="881">
        <v>30</v>
      </c>
    </row>
    <row r="68" spans="1:6" s="877" customFormat="1" ht="36">
      <c r="A68" s="881">
        <v>8</v>
      </c>
      <c r="B68" s="3339"/>
      <c r="C68" s="817" t="s">
        <v>629</v>
      </c>
      <c r="D68" s="817" t="s">
        <v>630</v>
      </c>
      <c r="E68" s="894">
        <v>0.2</v>
      </c>
      <c r="F68" s="881">
        <v>30</v>
      </c>
    </row>
    <row r="69" spans="1:6" s="877" customFormat="1" ht="36">
      <c r="A69" s="881">
        <v>9</v>
      </c>
      <c r="B69" s="3339"/>
      <c r="C69" s="817" t="s">
        <v>631</v>
      </c>
      <c r="D69" s="817" t="s">
        <v>632</v>
      </c>
      <c r="E69" s="894">
        <v>0.2</v>
      </c>
      <c r="F69" s="881">
        <v>30</v>
      </c>
    </row>
    <row r="70" spans="1:6" s="877" customFormat="1" ht="48">
      <c r="A70" s="881">
        <v>10</v>
      </c>
      <c r="B70" s="3339"/>
      <c r="C70" s="817" t="s">
        <v>633</v>
      </c>
      <c r="D70" s="817" t="s">
        <v>634</v>
      </c>
      <c r="E70" s="894">
        <v>0.2</v>
      </c>
      <c r="F70" s="881">
        <v>30</v>
      </c>
    </row>
    <row r="71" spans="1:6" s="877" customFormat="1" ht="48">
      <c r="A71" s="881">
        <v>11</v>
      </c>
      <c r="B71" s="3339"/>
      <c r="C71" s="817" t="s">
        <v>635</v>
      </c>
      <c r="D71" s="817" t="s">
        <v>636</v>
      </c>
      <c r="E71" s="894">
        <v>0.2</v>
      </c>
      <c r="F71" s="881">
        <v>30</v>
      </c>
    </row>
    <row r="72" spans="1:6" s="877" customFormat="1" ht="36">
      <c r="A72" s="881">
        <v>12</v>
      </c>
      <c r="B72" s="3339"/>
      <c r="C72" s="817" t="s">
        <v>637</v>
      </c>
      <c r="D72" s="817" t="s">
        <v>638</v>
      </c>
      <c r="E72" s="894">
        <v>0.5</v>
      </c>
      <c r="F72" s="881">
        <v>80</v>
      </c>
    </row>
    <row r="73" spans="1:6" s="877" customFormat="1" ht="24">
      <c r="A73" s="881">
        <v>13</v>
      </c>
      <c r="B73" s="3339"/>
      <c r="C73" s="817" t="s">
        <v>639</v>
      </c>
      <c r="D73" s="817" t="s">
        <v>640</v>
      </c>
      <c r="E73" s="894">
        <v>0.4</v>
      </c>
      <c r="F73" s="881">
        <v>60</v>
      </c>
    </row>
    <row r="74" spans="1:6" s="877" customFormat="1" ht="24">
      <c r="A74" s="881">
        <v>14</v>
      </c>
      <c r="B74" s="3339"/>
      <c r="C74" s="817" t="s">
        <v>641</v>
      </c>
      <c r="D74" s="817" t="s">
        <v>642</v>
      </c>
      <c r="E74" s="894">
        <v>0.2</v>
      </c>
      <c r="F74" s="881">
        <v>30</v>
      </c>
    </row>
    <row r="75" spans="1:6" s="877" customFormat="1" ht="24">
      <c r="A75" s="881">
        <v>15</v>
      </c>
      <c r="B75" s="3339"/>
      <c r="C75" s="817" t="s">
        <v>643</v>
      </c>
      <c r="D75" s="817" t="s">
        <v>644</v>
      </c>
      <c r="E75" s="894">
        <v>0.2</v>
      </c>
      <c r="F75" s="881">
        <v>30</v>
      </c>
    </row>
    <row r="76" spans="1:6" s="877" customFormat="1" ht="24">
      <c r="A76" s="881">
        <v>16</v>
      </c>
      <c r="B76" s="3339" t="s">
        <v>645</v>
      </c>
      <c r="C76" s="817" t="s">
        <v>646</v>
      </c>
      <c r="D76" s="817" t="s">
        <v>647</v>
      </c>
      <c r="E76" s="894">
        <v>0.5</v>
      </c>
      <c r="F76" s="881">
        <v>80</v>
      </c>
    </row>
    <row r="77" spans="1:6" s="877" customFormat="1" ht="24">
      <c r="A77" s="881">
        <v>17</v>
      </c>
      <c r="B77" s="3339"/>
      <c r="C77" s="817" t="s">
        <v>648</v>
      </c>
      <c r="D77" s="817" t="s">
        <v>649</v>
      </c>
      <c r="E77" s="894">
        <v>0.5</v>
      </c>
      <c r="F77" s="881">
        <v>80</v>
      </c>
    </row>
    <row r="78" spans="1:6" s="877" customFormat="1" ht="24">
      <c r="A78" s="881">
        <v>18</v>
      </c>
      <c r="B78" s="3339"/>
      <c r="C78" s="817" t="s">
        <v>650</v>
      </c>
      <c r="D78" s="817" t="s">
        <v>651</v>
      </c>
      <c r="E78" s="894">
        <v>0.2</v>
      </c>
      <c r="F78" s="881">
        <v>30</v>
      </c>
    </row>
    <row r="79" spans="1:6" s="877" customFormat="1" ht="24">
      <c r="A79" s="881">
        <v>19</v>
      </c>
      <c r="B79" s="3339"/>
      <c r="C79" s="817" t="s">
        <v>652</v>
      </c>
      <c r="D79" s="817" t="s">
        <v>653</v>
      </c>
      <c r="E79" s="894">
        <v>0.5</v>
      </c>
      <c r="F79" s="881">
        <v>80</v>
      </c>
    </row>
    <row r="80" spans="1:6" s="877" customFormat="1" ht="36">
      <c r="A80" s="881">
        <v>20</v>
      </c>
      <c r="B80" s="3339"/>
      <c r="C80" s="817" t="s">
        <v>654</v>
      </c>
      <c r="D80" s="817" t="s">
        <v>655</v>
      </c>
      <c r="E80" s="894">
        <v>0.2</v>
      </c>
      <c r="F80" s="881">
        <v>30</v>
      </c>
    </row>
    <row r="81" spans="1:6" s="877" customFormat="1" ht="36">
      <c r="A81" s="881">
        <v>21</v>
      </c>
      <c r="B81" s="3339"/>
      <c r="C81" s="817" t="s">
        <v>656</v>
      </c>
      <c r="D81" s="817" t="s">
        <v>657</v>
      </c>
      <c r="E81" s="894">
        <v>0.2</v>
      </c>
      <c r="F81" s="881">
        <v>30</v>
      </c>
    </row>
    <row r="82" spans="1:6" s="877" customFormat="1" ht="48">
      <c r="A82" s="881">
        <v>22</v>
      </c>
      <c r="B82" s="3339"/>
      <c r="C82" s="817" t="s">
        <v>658</v>
      </c>
      <c r="D82" s="817" t="s">
        <v>659</v>
      </c>
      <c r="E82" s="894">
        <v>0.2</v>
      </c>
      <c r="F82" s="881">
        <v>30</v>
      </c>
    </row>
    <row r="83" spans="1:6" s="877" customFormat="1" ht="48">
      <c r="A83" s="881">
        <v>23</v>
      </c>
      <c r="B83" s="3339"/>
      <c r="C83" s="817" t="s">
        <v>660</v>
      </c>
      <c r="D83" s="817" t="s">
        <v>661</v>
      </c>
      <c r="E83" s="894">
        <v>0.2</v>
      </c>
      <c r="F83" s="881">
        <v>30</v>
      </c>
    </row>
    <row r="84" spans="1:6" s="877" customFormat="1" ht="36">
      <c r="A84" s="881">
        <v>24</v>
      </c>
      <c r="B84" s="3339"/>
      <c r="C84" s="817" t="s">
        <v>662</v>
      </c>
      <c r="D84" s="817" t="s">
        <v>663</v>
      </c>
      <c r="E84" s="894">
        <v>0.2</v>
      </c>
      <c r="F84" s="881">
        <v>30</v>
      </c>
    </row>
    <row r="85" spans="1:6" s="877" customFormat="1" ht="36">
      <c r="A85" s="881">
        <v>25</v>
      </c>
      <c r="B85" s="3339"/>
      <c r="C85" s="817" t="s">
        <v>664</v>
      </c>
      <c r="D85" s="817" t="s">
        <v>665</v>
      </c>
      <c r="E85" s="894">
        <v>0.5</v>
      </c>
      <c r="F85" s="881">
        <v>80</v>
      </c>
    </row>
    <row r="86" spans="1:6" s="877" customFormat="1" ht="36">
      <c r="A86" s="881">
        <v>26</v>
      </c>
      <c r="B86" s="3339"/>
      <c r="C86" s="817" t="s">
        <v>666</v>
      </c>
      <c r="D86" s="817" t="s">
        <v>667</v>
      </c>
      <c r="E86" s="894">
        <v>0.2</v>
      </c>
      <c r="F86" s="881">
        <v>30</v>
      </c>
    </row>
    <row r="87" spans="1:6" s="877" customFormat="1" ht="36">
      <c r="A87" s="881">
        <v>27</v>
      </c>
      <c r="B87" s="3339"/>
      <c r="C87" s="817" t="s">
        <v>668</v>
      </c>
      <c r="D87" s="817" t="s">
        <v>669</v>
      </c>
      <c r="E87" s="894">
        <v>0.2</v>
      </c>
      <c r="F87" s="881">
        <v>30</v>
      </c>
    </row>
    <row r="88" spans="1:6" s="877" customFormat="1" ht="36">
      <c r="A88" s="881">
        <v>28</v>
      </c>
      <c r="B88" s="3339"/>
      <c r="C88" s="817" t="s">
        <v>670</v>
      </c>
      <c r="D88" s="817" t="s">
        <v>671</v>
      </c>
      <c r="E88" s="894">
        <v>0.2</v>
      </c>
      <c r="F88" s="881">
        <v>30</v>
      </c>
    </row>
    <row r="89" spans="1:6" s="877" customFormat="1" ht="24">
      <c r="A89" s="881">
        <v>29</v>
      </c>
      <c r="B89" s="3339"/>
      <c r="C89" s="817" t="s">
        <v>672</v>
      </c>
      <c r="D89" s="817" t="s">
        <v>673</v>
      </c>
      <c r="E89" s="894">
        <v>0.2</v>
      </c>
      <c r="F89" s="881">
        <v>30</v>
      </c>
    </row>
    <row r="90" spans="1:6" s="877" customFormat="1" ht="24">
      <c r="A90" s="881">
        <v>30</v>
      </c>
      <c r="B90" s="3339"/>
      <c r="C90" s="817" t="s">
        <v>674</v>
      </c>
      <c r="D90" s="817" t="s">
        <v>675</v>
      </c>
      <c r="E90" s="894">
        <v>0.2</v>
      </c>
      <c r="F90" s="881">
        <v>30</v>
      </c>
    </row>
    <row r="91" spans="1:6" s="877" customFormat="1" ht="36">
      <c r="A91" s="881">
        <v>31</v>
      </c>
      <c r="B91" s="3339"/>
      <c r="C91" s="817" t="s">
        <v>676</v>
      </c>
      <c r="D91" s="817" t="s">
        <v>677</v>
      </c>
      <c r="E91" s="894">
        <v>0.2</v>
      </c>
      <c r="F91" s="881">
        <v>30</v>
      </c>
    </row>
    <row r="92" spans="1:6" s="877" customFormat="1" ht="24">
      <c r="A92" s="881">
        <v>32</v>
      </c>
      <c r="B92" s="3339" t="s">
        <v>678</v>
      </c>
      <c r="C92" s="881" t="s">
        <v>679</v>
      </c>
      <c r="D92" s="817" t="s">
        <v>680</v>
      </c>
      <c r="E92" s="894">
        <v>0.2</v>
      </c>
      <c r="F92" s="881">
        <v>30</v>
      </c>
    </row>
    <row r="93" spans="1:6" s="877" customFormat="1" ht="36">
      <c r="A93" s="881">
        <v>33</v>
      </c>
      <c r="B93" s="3339"/>
      <c r="C93" s="881" t="s">
        <v>681</v>
      </c>
      <c r="D93" s="817" t="s">
        <v>682</v>
      </c>
      <c r="E93" s="894">
        <v>0.2</v>
      </c>
      <c r="F93" s="881">
        <v>30</v>
      </c>
    </row>
    <row r="94" spans="1:6" s="877" customFormat="1" ht="48">
      <c r="A94" s="881">
        <v>34</v>
      </c>
      <c r="B94" s="3339"/>
      <c r="C94" s="881" t="s">
        <v>683</v>
      </c>
      <c r="D94" s="817" t="s">
        <v>684</v>
      </c>
      <c r="E94" s="894">
        <v>0.2</v>
      </c>
      <c r="F94" s="881">
        <v>30</v>
      </c>
    </row>
    <row r="95" spans="1:6" s="877" customFormat="1" ht="36">
      <c r="A95" s="881">
        <v>35</v>
      </c>
      <c r="B95" s="3339"/>
      <c r="C95" s="881" t="s">
        <v>685</v>
      </c>
      <c r="D95" s="817" t="s">
        <v>686</v>
      </c>
      <c r="E95" s="894">
        <v>0.2</v>
      </c>
      <c r="F95" s="881">
        <v>30</v>
      </c>
    </row>
    <row r="96" spans="1:6" s="877" customFormat="1" ht="48">
      <c r="A96" s="881">
        <v>36</v>
      </c>
      <c r="B96" s="3339"/>
      <c r="C96" s="817" t="s">
        <v>687</v>
      </c>
      <c r="D96" s="817" t="s">
        <v>688</v>
      </c>
      <c r="E96" s="894">
        <v>0.2</v>
      </c>
      <c r="F96" s="881">
        <v>30</v>
      </c>
    </row>
    <row r="97" spans="1:6" s="877" customFormat="1" ht="36">
      <c r="A97" s="881">
        <v>37</v>
      </c>
      <c r="B97" s="3339"/>
      <c r="C97" s="881" t="s">
        <v>689</v>
      </c>
      <c r="D97" s="817" t="s">
        <v>690</v>
      </c>
      <c r="E97" s="894">
        <v>0.2</v>
      </c>
      <c r="F97" s="881">
        <v>30</v>
      </c>
    </row>
    <row r="98" spans="1:6" s="877" customFormat="1" ht="36">
      <c r="A98" s="881">
        <v>38</v>
      </c>
      <c r="B98" s="3339"/>
      <c r="C98" s="881" t="s">
        <v>691</v>
      </c>
      <c r="D98" s="817" t="s">
        <v>692</v>
      </c>
      <c r="E98" s="894">
        <v>0.2</v>
      </c>
      <c r="F98" s="881">
        <v>30</v>
      </c>
    </row>
    <row r="99" spans="1:6" s="877" customFormat="1" ht="36">
      <c r="A99" s="881">
        <v>39</v>
      </c>
      <c r="B99" s="3339" t="s">
        <v>693</v>
      </c>
      <c r="C99" s="881" t="s">
        <v>694</v>
      </c>
      <c r="D99" s="817" t="s">
        <v>695</v>
      </c>
      <c r="E99" s="894">
        <v>0.3</v>
      </c>
      <c r="F99" s="881">
        <v>50</v>
      </c>
    </row>
    <row r="100" spans="1:6" s="877" customFormat="1" ht="24">
      <c r="A100" s="881">
        <v>40</v>
      </c>
      <c r="B100" s="3339"/>
      <c r="C100" s="881" t="s">
        <v>696</v>
      </c>
      <c r="D100" s="817" t="s">
        <v>697</v>
      </c>
      <c r="E100" s="894">
        <v>0.2</v>
      </c>
      <c r="F100" s="881">
        <v>30</v>
      </c>
    </row>
    <row r="101" spans="1:6" s="877" customFormat="1" ht="36">
      <c r="A101" s="881">
        <v>41</v>
      </c>
      <c r="B101" s="3339"/>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39" t="s">
        <v>708</v>
      </c>
      <c r="C105" s="881" t="s">
        <v>709</v>
      </c>
      <c r="D105" s="817" t="s">
        <v>710</v>
      </c>
      <c r="E105" s="894">
        <v>0.2</v>
      </c>
      <c r="F105" s="881">
        <v>30</v>
      </c>
    </row>
    <row r="106" spans="1:6" s="877" customFormat="1" ht="36">
      <c r="A106" s="881">
        <v>46</v>
      </c>
      <c r="B106" s="3339"/>
      <c r="C106" s="881" t="s">
        <v>711</v>
      </c>
      <c r="D106" s="817" t="s">
        <v>712</v>
      </c>
      <c r="E106" s="894">
        <v>0.2</v>
      </c>
      <c r="F106" s="881">
        <v>30</v>
      </c>
    </row>
    <row r="107" spans="1:6" s="877" customFormat="1" ht="36">
      <c r="A107" s="881">
        <v>47</v>
      </c>
      <c r="B107" s="3339" t="s">
        <v>713</v>
      </c>
      <c r="C107" s="881" t="s">
        <v>714</v>
      </c>
      <c r="D107" s="817" t="s">
        <v>715</v>
      </c>
      <c r="E107" s="894">
        <v>0.3</v>
      </c>
      <c r="F107" s="881">
        <v>50</v>
      </c>
    </row>
    <row r="108" spans="1:6" s="877" customFormat="1" ht="36">
      <c r="A108" s="881">
        <v>48</v>
      </c>
      <c r="B108" s="3339"/>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39" t="s">
        <v>724</v>
      </c>
      <c r="C111" s="881" t="s">
        <v>725</v>
      </c>
      <c r="D111" s="817" t="s">
        <v>726</v>
      </c>
      <c r="E111" s="894">
        <v>0.2</v>
      </c>
      <c r="F111" s="881">
        <v>30</v>
      </c>
    </row>
    <row r="112" spans="1:6" s="877" customFormat="1" ht="24">
      <c r="A112" s="881">
        <v>52</v>
      </c>
      <c r="B112" s="3339"/>
      <c r="C112" s="881" t="s">
        <v>727</v>
      </c>
      <c r="D112" s="817" t="s">
        <v>728</v>
      </c>
      <c r="E112" s="894">
        <v>0.2</v>
      </c>
      <c r="F112" s="881">
        <v>30</v>
      </c>
    </row>
    <row r="113" spans="1:6" s="877" customFormat="1" ht="24">
      <c r="A113" s="881">
        <v>53</v>
      </c>
      <c r="B113" s="3339"/>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39" t="s">
        <v>737</v>
      </c>
      <c r="C116" s="881" t="s">
        <v>738</v>
      </c>
      <c r="D116" s="817" t="s">
        <v>739</v>
      </c>
      <c r="E116" s="894">
        <v>0.2</v>
      </c>
      <c r="F116" s="881">
        <v>30</v>
      </c>
    </row>
    <row r="117" spans="1:6" ht="36">
      <c r="A117" s="881">
        <v>57</v>
      </c>
      <c r="B117" s="3339"/>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t="e">
        <f>SUMPRODUCT((A105:A204=ROUNDDOWN(基准地价修正!G3,1))*(B104:M104=基准地价修正!G2)*(B105:M204))</f>
        <v>#DIV/0!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57" t="s">
        <v>3002</v>
      </c>
    </row>
    <row r="2" spans="1:5" ht="15.75">
      <c r="A2" s="2898" t="s">
        <v>2994</v>
      </c>
      <c r="B2" s="2899" t="e">
        <f ca="1">SUMIF(B6:B13,"&lt;&gt;#ref!",B6:B13)</f>
        <v>#DIV/0!</v>
      </c>
      <c r="C2" s="2898" t="s">
        <v>2995</v>
      </c>
      <c r="D2" s="2898" t="s">
        <v>2996</v>
      </c>
      <c r="E2" s="2899">
        <f ca="1">SUMIF(E6:E13,"&lt;&gt;#ref!",E6:E13)</f>
        <v>0</v>
      </c>
    </row>
    <row r="3" spans="1:5" ht="15.75">
      <c r="A3" s="2898" t="s">
        <v>2997</v>
      </c>
      <c r="B3" s="2899" t="e">
        <f ca="1">ROUND(B2*10000/E2,0)</f>
        <v>#DIV/0!</v>
      </c>
      <c r="C3" s="2898" t="s">
        <v>3003</v>
      </c>
      <c r="D3" s="2900"/>
      <c r="E3" s="2900"/>
    </row>
    <row r="4" spans="1:5" ht="15.75">
      <c r="A4" s="2901"/>
      <c r="B4" s="2900"/>
      <c r="C4" s="2900"/>
      <c r="D4" s="2900"/>
      <c r="E4" s="2900"/>
    </row>
    <row r="5" spans="1:5" ht="28.5">
      <c r="A5" s="2902" t="s">
        <v>2998</v>
      </c>
      <c r="B5" s="2898" t="s">
        <v>2999</v>
      </c>
      <c r="C5" s="2899"/>
      <c r="D5" s="2900"/>
      <c r="E5" s="2898" t="s">
        <v>3000</v>
      </c>
    </row>
    <row r="6" spans="1:5" ht="15.75">
      <c r="A6" s="2903" t="s">
        <v>3001</v>
      </c>
      <c r="B6" s="2899" t="e">
        <f ca="1">SUMIF(INDIRECT("'"&amp;A6&amp;"'"&amp;"!A:A"),"总价",INDIRECT("'"&amp;A6&amp;"'"&amp;"!B:B"))</f>
        <v>#DIV/0!</v>
      </c>
      <c r="C6" s="2898" t="s">
        <v>2995</v>
      </c>
      <c r="D6" s="2900"/>
      <c r="E6" s="2571">
        <f ca="1">SUMIF(INDIRECT("'"&amp;A6&amp;"'"&amp;"!C:C"),"建筑面积",INDIRECT("'"&amp;A6&amp;"'"&amp;"!D:D"))</f>
        <v>0</v>
      </c>
    </row>
    <row r="7" spans="1:5" ht="15.75">
      <c r="A7" s="2903"/>
      <c r="B7" s="2899" t="e">
        <f ca="1">SUMIF(INDIRECT("'"&amp;A7&amp;"'"&amp;"!A:A"),"总价",INDIRECT("'"&amp;A7&amp;"'"&amp;"!B:B"))</f>
        <v>#REF!</v>
      </c>
      <c r="C7" s="2898" t="s">
        <v>2995</v>
      </c>
      <c r="D7" s="2900"/>
      <c r="E7" s="2571" t="e">
        <f t="shared" ref="E7:E13" ca="1" si="0">SUMIF(INDIRECT("'"&amp;A7&amp;"'"&amp;"!C:C"),"建筑面积",INDIRECT("'"&amp;A7&amp;"'"&amp;"!D:D"))</f>
        <v>#REF!</v>
      </c>
    </row>
    <row r="8" spans="1:5" ht="15.75">
      <c r="A8" s="2903"/>
      <c r="B8" s="2899" t="e">
        <f t="shared" ref="B8:B13" ca="1" si="1">SUMIF(INDIRECT("'"&amp;A8&amp;"'"&amp;"!A:A"),"总价",INDIRECT("'"&amp;A8&amp;"'"&amp;"!B:B"))</f>
        <v>#REF!</v>
      </c>
      <c r="C8" s="2898" t="s">
        <v>2995</v>
      </c>
      <c r="D8" s="2900"/>
      <c r="E8" s="2571" t="e">
        <f t="shared" ca="1" si="0"/>
        <v>#REF!</v>
      </c>
    </row>
    <row r="9" spans="1:5" ht="15.75">
      <c r="A9" s="2903"/>
      <c r="B9" s="2899" t="e">
        <f t="shared" ca="1" si="1"/>
        <v>#REF!</v>
      </c>
      <c r="C9" s="2898" t="s">
        <v>2995</v>
      </c>
      <c r="D9" s="2900"/>
      <c r="E9" s="2571" t="e">
        <f t="shared" ca="1" si="0"/>
        <v>#REF!</v>
      </c>
    </row>
    <row r="10" spans="1:5" ht="15.75">
      <c r="A10" s="2903"/>
      <c r="B10" s="2899" t="e">
        <f t="shared" ca="1" si="1"/>
        <v>#REF!</v>
      </c>
      <c r="C10" s="2898" t="s">
        <v>2995</v>
      </c>
      <c r="D10" s="2900"/>
      <c r="E10" s="2571" t="e">
        <f t="shared" ca="1" si="0"/>
        <v>#REF!</v>
      </c>
    </row>
    <row r="11" spans="1:5" ht="15.75">
      <c r="A11" s="2903"/>
      <c r="B11" s="2899" t="e">
        <f t="shared" ca="1" si="1"/>
        <v>#REF!</v>
      </c>
      <c r="C11" s="2898" t="s">
        <v>2995</v>
      </c>
      <c r="D11" s="2900"/>
      <c r="E11" s="2571" t="e">
        <f t="shared" ca="1" si="0"/>
        <v>#REF!</v>
      </c>
    </row>
    <row r="12" spans="1:5" ht="15.75">
      <c r="A12" s="2903"/>
      <c r="B12" s="2899" t="e">
        <f t="shared" ca="1" si="1"/>
        <v>#REF!</v>
      </c>
      <c r="C12" s="2898" t="s">
        <v>2995</v>
      </c>
      <c r="D12" s="2900"/>
      <c r="E12" s="2571" t="e">
        <f t="shared" ca="1" si="0"/>
        <v>#REF!</v>
      </c>
    </row>
    <row r="13" spans="1:5" ht="15.75">
      <c r="A13" s="2903"/>
      <c r="B13" s="2899" t="e">
        <f t="shared" ca="1" si="1"/>
        <v>#REF!</v>
      </c>
      <c r="C13" s="2898" t="s">
        <v>2995</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45" t="s">
        <v>1146</v>
      </c>
      <c r="C1" s="3345"/>
      <c r="D1" s="3345"/>
      <c r="E1" s="3345"/>
      <c r="F1" s="3345"/>
      <c r="G1" s="3344" t="s">
        <v>1147</v>
      </c>
      <c r="H1" s="3344"/>
      <c r="I1" s="3344"/>
      <c r="J1" s="3344"/>
      <c r="K1" s="3344"/>
      <c r="L1" s="3344"/>
      <c r="N1" s="3344" t="s">
        <v>1148</v>
      </c>
      <c r="O1" s="3344"/>
      <c r="P1" s="3344"/>
      <c r="Q1" s="3344"/>
      <c r="R1" s="1444"/>
      <c r="S1" s="3344" t="s">
        <v>1149</v>
      </c>
      <c r="T1" s="3344"/>
      <c r="U1" s="3344"/>
      <c r="V1" s="3344"/>
      <c r="X1" s="3343" t="s">
        <v>1150</v>
      </c>
      <c r="Y1" s="3344"/>
      <c r="Z1" s="3344"/>
      <c r="AA1" s="3344"/>
      <c r="AB1" s="3344"/>
      <c r="AD1" s="3343" t="s">
        <v>1151</v>
      </c>
      <c r="AE1" s="3344"/>
      <c r="AF1" s="3344"/>
      <c r="AG1" s="3344"/>
      <c r="AH1" s="3344"/>
    </row>
    <row r="2" spans="1:34" s="1445" customFormat="1" ht="14.2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4" customFormat="1" ht="14.25">
      <c r="A3" s="2923" t="s">
        <v>3035</v>
      </c>
      <c r="B3" s="2915"/>
      <c r="C3" s="2915"/>
      <c r="D3" s="2916"/>
      <c r="E3" s="2916"/>
      <c r="F3" s="2915"/>
      <c r="G3" s="2917"/>
      <c r="H3" s="2918"/>
      <c r="I3" s="2919">
        <f>ROUND(AVERAGE($I4:$I27),2)</f>
        <v>2.04</v>
      </c>
      <c r="J3" s="2919">
        <f>ROUND(AVERAGE($J4:$J27),2)</f>
        <v>1.44</v>
      </c>
      <c r="K3" s="2919">
        <f>ROUND(AVERAGE($K4:$K27),2)</f>
        <v>2.23</v>
      </c>
      <c r="L3" s="2919">
        <f>ROUND(AVERAGE($L4:$L27),2)</f>
        <v>1.4</v>
      </c>
      <c r="N3" s="2917"/>
      <c r="O3" s="2920"/>
      <c r="P3" s="2920"/>
      <c r="Q3" s="2920"/>
      <c r="R3" s="2920"/>
      <c r="S3" s="2917"/>
      <c r="T3" s="2920"/>
      <c r="U3" s="2920"/>
      <c r="V3" s="2920"/>
      <c r="W3" s="2912"/>
      <c r="X3" s="2921">
        <f>ROUND(SUMPRODUCT(PRODUCT(1+N3:N$26)),4)</f>
        <v>1.5422</v>
      </c>
      <c r="Y3" s="2921">
        <f>ROUND(SUMPRODUCT(PRODUCT(1+O3:O$26)),4)</f>
        <v>1.3557999999999999</v>
      </c>
      <c r="Z3" s="2921">
        <f t="shared" ref="Z3:Z24" si="0">Y3</f>
        <v>1.3557999999999999</v>
      </c>
      <c r="AA3" s="2921">
        <f>ROUND(SUMPRODUCT(PRODUCT(1+P3:P$26)),4)</f>
        <v>1.6036999999999999</v>
      </c>
      <c r="AB3" s="2921">
        <f>ROUND(SUMPRODUCT(PRODUCT(1+Q3:Q$26)),4)</f>
        <v>1.3573</v>
      </c>
      <c r="AD3" s="2922">
        <f>ROUND(AVERAGE(I3:I$27)/100,4)</f>
        <v>2.0400000000000001E-2</v>
      </c>
      <c r="AE3" s="2922">
        <f>ROUND(AVERAGE(J3:J$27)/100,4)</f>
        <v>1.44E-2</v>
      </c>
      <c r="AF3" s="2922">
        <f t="shared" ref="AF3:AF25" si="1">AE3</f>
        <v>1.44E-2</v>
      </c>
      <c r="AG3" s="2922">
        <f>ROUND(AVERAGE(K3:K$27)/100,4)</f>
        <v>2.23E-2</v>
      </c>
      <c r="AH3" s="2922">
        <f>ROUND(AVERAGE(L3:L$27)/100,4)</f>
        <v>1.4E-2</v>
      </c>
    </row>
    <row r="4" spans="1:34" s="1451" customFormat="1" ht="14.25">
      <c r="B4" s="1452"/>
      <c r="C4" s="1452"/>
      <c r="D4" s="1453"/>
      <c r="E4" s="1453"/>
      <c r="F4" s="1452"/>
      <c r="G4" s="1454"/>
      <c r="H4" s="1455"/>
      <c r="I4" s="2909"/>
      <c r="J4" s="2909"/>
      <c r="K4" s="2909"/>
      <c r="L4" s="290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3052</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3">
        <v>2019</v>
      </c>
      <c r="H5" s="1728">
        <v>3</v>
      </c>
      <c r="I5" s="2910">
        <v>0</v>
      </c>
      <c r="J5" s="2910">
        <v>0</v>
      </c>
      <c r="K5" s="2910">
        <v>0</v>
      </c>
      <c r="L5" s="2910">
        <v>0</v>
      </c>
      <c r="N5" s="1465">
        <f>I5/100</f>
        <v>0</v>
      </c>
      <c r="O5" s="1465">
        <f t="shared" ref="O5" si="7">J5/100</f>
        <v>0</v>
      </c>
      <c r="P5" s="1465">
        <f t="shared" ref="P5" si="8">K5/100</f>
        <v>0</v>
      </c>
      <c r="Q5" s="1465">
        <f t="shared" ref="Q5" si="9">L5/100</f>
        <v>0</v>
      </c>
      <c r="R5" s="1730"/>
      <c r="S5" s="1731"/>
      <c r="T5" s="1730"/>
      <c r="U5" s="1730"/>
      <c r="V5" s="1730"/>
      <c r="W5" s="2913" t="s">
        <v>3036</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3051</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3">
        <v>2019</v>
      </c>
      <c r="H6" s="1460">
        <v>2</v>
      </c>
      <c r="I6" s="2962">
        <v>1.53</v>
      </c>
      <c r="J6" s="2962">
        <v>1.01</v>
      </c>
      <c r="K6" s="2962">
        <v>1.62</v>
      </c>
      <c r="L6" s="2963">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5" thickBot="1">
      <c r="A7" s="1459" t="s">
        <v>3048</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27">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3053</v>
      </c>
      <c r="B8" s="2944">
        <f t="shared" ref="B8" si="35">B9*(1+N8)</f>
        <v>464.37293017158942</v>
      </c>
      <c r="C8" s="2944">
        <f t="shared" ref="C8" si="36">C9*(1+O8)</f>
        <v>344.73679941385956</v>
      </c>
      <c r="D8" s="2944">
        <f t="shared" ref="D8" si="37">C8</f>
        <v>344.73679941385956</v>
      </c>
      <c r="E8" s="2944">
        <f t="shared" ref="E8" si="38">E9*(1+P8)</f>
        <v>663.2377795103107</v>
      </c>
      <c r="F8" s="2945">
        <f t="shared" ref="F8" si="39">F9*(1+Q8)</f>
        <v>304.75936311478398</v>
      </c>
      <c r="G8" s="3341">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5" customHeight="1">
      <c r="A9" s="1459" t="s">
        <v>3042</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341"/>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5" customHeight="1">
      <c r="A10" s="1459" t="s">
        <v>3041</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341"/>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3034</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50"/>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3031</v>
      </c>
      <c r="B12" s="1467">
        <v>439</v>
      </c>
      <c r="C12" s="1467">
        <v>327</v>
      </c>
      <c r="D12" s="1467">
        <f>C12</f>
        <v>327</v>
      </c>
      <c r="E12" s="1467">
        <v>627</v>
      </c>
      <c r="F12" s="1468">
        <v>283</v>
      </c>
      <c r="G12" s="3346">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5" customHeight="1">
      <c r="A13" s="1459" t="s">
        <v>3032</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341"/>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5"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341"/>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50"/>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346">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341"/>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341"/>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5"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342"/>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5" thickBot="1">
      <c r="A20" s="1459" t="s">
        <v>151</v>
      </c>
      <c r="B20" s="1467">
        <v>333</v>
      </c>
      <c r="C20" s="1467">
        <v>277</v>
      </c>
      <c r="D20" s="1467">
        <f t="shared" si="97"/>
        <v>277</v>
      </c>
      <c r="E20" s="1467">
        <v>459</v>
      </c>
      <c r="F20" s="1468">
        <v>249</v>
      </c>
      <c r="G20" s="3340">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341"/>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341"/>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342"/>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5" thickBot="1">
      <c r="A24" s="1459" t="s">
        <v>147</v>
      </c>
      <c r="B24" s="1488">
        <v>318</v>
      </c>
      <c r="C24" s="1488">
        <v>268</v>
      </c>
      <c r="D24" s="1488">
        <f t="shared" si="97"/>
        <v>268</v>
      </c>
      <c r="E24" s="1488">
        <v>437</v>
      </c>
      <c r="F24" s="1489">
        <v>237</v>
      </c>
      <c r="G24" s="3340">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341"/>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5"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341"/>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5"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342"/>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5" thickBot="1">
      <c r="A28" s="1459" t="s">
        <v>1159</v>
      </c>
      <c r="B28" s="1467">
        <v>299</v>
      </c>
      <c r="C28" s="1467">
        <v>252</v>
      </c>
      <c r="D28" s="1467">
        <f t="shared" si="97"/>
        <v>252</v>
      </c>
      <c r="E28" s="1467">
        <v>409</v>
      </c>
      <c r="F28" s="1468">
        <v>227</v>
      </c>
      <c r="G28" s="3347">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348"/>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348"/>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49"/>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5" thickBot="1">
      <c r="A32" s="1459" t="s">
        <v>1163</v>
      </c>
      <c r="B32" s="1509">
        <v>278</v>
      </c>
      <c r="C32" s="1509">
        <v>234</v>
      </c>
      <c r="D32" s="1509">
        <f t="shared" si="97"/>
        <v>234</v>
      </c>
      <c r="E32" s="1509">
        <v>379</v>
      </c>
      <c r="F32" s="1510">
        <v>220</v>
      </c>
      <c r="G32" s="3340">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341"/>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341"/>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5" thickBot="1">
      <c r="A35" s="1459" t="s">
        <v>1166</v>
      </c>
      <c r="B35" s="1475">
        <f>B34/(1+N34)</f>
        <v>275.19025476197027</v>
      </c>
      <c r="C35" s="1511">
        <v>232</v>
      </c>
      <c r="D35" s="1511">
        <f t="shared" si="97"/>
        <v>232</v>
      </c>
      <c r="E35" s="1475">
        <f t="shared" si="108"/>
        <v>375.65990977608692</v>
      </c>
      <c r="F35" s="1475">
        <f t="shared" si="108"/>
        <v>214.12518283971252</v>
      </c>
      <c r="G35" s="3342"/>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5" thickBot="1">
      <c r="A36" s="1459" t="s">
        <v>1167</v>
      </c>
      <c r="B36" s="1467">
        <v>275</v>
      </c>
      <c r="C36" s="1467">
        <v>232</v>
      </c>
      <c r="D36" s="1467">
        <f t="shared" si="97"/>
        <v>232</v>
      </c>
      <c r="E36" s="1467">
        <v>376</v>
      </c>
      <c r="F36" s="1468">
        <v>213</v>
      </c>
      <c r="G36" s="3340">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341">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341">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5"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342">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5" thickBot="1">
      <c r="A40" s="1459" t="s">
        <v>1171</v>
      </c>
      <c r="B40" s="1467">
        <v>269</v>
      </c>
      <c r="C40" s="1467">
        <v>221</v>
      </c>
      <c r="D40" s="1467">
        <f t="shared" si="97"/>
        <v>221</v>
      </c>
      <c r="E40" s="1467">
        <v>373</v>
      </c>
      <c r="F40" s="1468">
        <v>196</v>
      </c>
      <c r="G40" s="3340">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341">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341">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5"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342">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5" thickBot="1">
      <c r="A44" s="1459" t="s">
        <v>1175</v>
      </c>
      <c r="B44" s="1467">
        <v>220</v>
      </c>
      <c r="C44" s="1467">
        <v>187</v>
      </c>
      <c r="D44" s="1467">
        <f t="shared" si="97"/>
        <v>187</v>
      </c>
      <c r="E44" s="1467">
        <v>301</v>
      </c>
      <c r="F44" s="1468">
        <v>168</v>
      </c>
      <c r="G44" s="3340">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341">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341">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342">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5" thickBot="1">
      <c r="A48" s="1459" t="s">
        <v>1179</v>
      </c>
      <c r="B48" s="1509">
        <v>214</v>
      </c>
      <c r="C48" s="1509">
        <v>188</v>
      </c>
      <c r="D48" s="1509">
        <f t="shared" si="97"/>
        <v>188</v>
      </c>
      <c r="E48" s="1509">
        <v>289</v>
      </c>
      <c r="F48" s="1510">
        <v>166</v>
      </c>
      <c r="G48" s="3340">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341">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341">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5"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342">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5" thickBot="1">
      <c r="A52" s="1459" t="s">
        <v>1183</v>
      </c>
      <c r="B52" s="1467">
        <v>188</v>
      </c>
      <c r="C52" s="1467">
        <v>165</v>
      </c>
      <c r="D52" s="1467">
        <f t="shared" si="97"/>
        <v>165</v>
      </c>
      <c r="E52" s="1467">
        <v>254</v>
      </c>
      <c r="F52" s="1468">
        <v>148</v>
      </c>
      <c r="G52" s="3340">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341">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341">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342">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5" thickBot="1">
      <c r="A56" s="1459" t="s">
        <v>1187</v>
      </c>
      <c r="B56" s="1488">
        <v>159</v>
      </c>
      <c r="C56" s="1488">
        <v>141</v>
      </c>
      <c r="D56" s="1488">
        <f t="shared" si="97"/>
        <v>141</v>
      </c>
      <c r="E56" s="1488">
        <v>195</v>
      </c>
      <c r="F56" s="1489">
        <v>122</v>
      </c>
      <c r="G56" s="3340">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341">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341">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342">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5" thickBot="1">
      <c r="A60" s="1459" t="s">
        <v>1191</v>
      </c>
      <c r="B60" s="1488">
        <v>138</v>
      </c>
      <c r="C60" s="1488">
        <v>131</v>
      </c>
      <c r="D60" s="1488">
        <f t="shared" si="97"/>
        <v>131</v>
      </c>
      <c r="E60" s="1488">
        <v>155</v>
      </c>
      <c r="F60" s="1489">
        <v>114</v>
      </c>
      <c r="G60" s="3340">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341">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341">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342">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5" thickBot="1">
      <c r="A64" s="1459" t="s">
        <v>1195</v>
      </c>
      <c r="B64" s="1509">
        <v>121</v>
      </c>
      <c r="C64" s="1509">
        <v>122</v>
      </c>
      <c r="D64" s="1509">
        <f t="shared" si="97"/>
        <v>122</v>
      </c>
      <c r="E64" s="1509">
        <v>124</v>
      </c>
      <c r="F64" s="1510">
        <v>107</v>
      </c>
      <c r="G64" s="3340">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341">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341">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5"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342">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5" thickBot="1">
      <c r="A68" s="1459" t="s">
        <v>1199</v>
      </c>
      <c r="B68" s="1530">
        <v>111</v>
      </c>
      <c r="C68" s="1530">
        <v>114</v>
      </c>
      <c r="D68" s="1530">
        <f t="shared" si="97"/>
        <v>114</v>
      </c>
      <c r="E68" s="1530">
        <v>108</v>
      </c>
      <c r="F68" s="1531">
        <v>104</v>
      </c>
      <c r="G68" s="3340">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341">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341">
        <v>2003</v>
      </c>
      <c r="H70" s="1463">
        <v>2</v>
      </c>
      <c r="I70" s="1532"/>
      <c r="J70" s="1532"/>
      <c r="K70" s="1532"/>
      <c r="L70" s="1532"/>
      <c r="X70" s="1524"/>
      <c r="Y70" s="1524"/>
      <c r="Z70" s="1524"/>
    </row>
    <row r="71" spans="1:26" ht="13.5" thickBot="1">
      <c r="A71" s="1459" t="s">
        <v>1202</v>
      </c>
      <c r="B71" s="1534">
        <f t="shared" si="133"/>
        <v>107.25</v>
      </c>
      <c r="C71" s="1534">
        <f t="shared" si="133"/>
        <v>108.75</v>
      </c>
      <c r="D71" s="1534">
        <f t="shared" si="97"/>
        <v>108.75</v>
      </c>
      <c r="E71" s="1534">
        <f t="shared" si="134"/>
        <v>105.75</v>
      </c>
      <c r="F71" s="1534">
        <f t="shared" si="134"/>
        <v>102.5</v>
      </c>
      <c r="G71" s="3342">
        <v>2003</v>
      </c>
      <c r="H71" s="1535">
        <v>1</v>
      </c>
      <c r="I71" s="1532"/>
      <c r="J71" s="1532"/>
      <c r="K71" s="1532"/>
      <c r="L71" s="1532"/>
      <c r="S71" s="1470"/>
      <c r="T71" s="1471"/>
      <c r="U71" s="1471"/>
      <c r="X71" s="1524"/>
      <c r="Y71" s="1524"/>
      <c r="Z71" s="1524"/>
    </row>
    <row r="72" spans="1:26" ht="13.5" thickBot="1">
      <c r="A72" s="1459" t="s">
        <v>1203</v>
      </c>
      <c r="B72" s="1536">
        <v>106</v>
      </c>
      <c r="C72" s="1536">
        <v>107</v>
      </c>
      <c r="D72" s="1536">
        <f t="shared" si="97"/>
        <v>107</v>
      </c>
      <c r="E72" s="1536">
        <v>105</v>
      </c>
      <c r="F72" s="1537">
        <v>102</v>
      </c>
      <c r="G72" s="3340">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341">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341">
        <v>2002</v>
      </c>
      <c r="H74" s="1463">
        <v>2</v>
      </c>
      <c r="I74" s="1532"/>
      <c r="J74" s="1532"/>
      <c r="K74" s="1532"/>
      <c r="L74" s="1532"/>
      <c r="X74" s="1524"/>
      <c r="Y74" s="1524"/>
      <c r="Z74" s="1524"/>
    </row>
    <row r="75" spans="1:26" s="1496" customFormat="1" ht="13.5" thickBot="1">
      <c r="A75" s="1492" t="s">
        <v>1206</v>
      </c>
      <c r="B75" s="1538">
        <f t="shared" si="135"/>
        <v>103</v>
      </c>
      <c r="C75" s="1538">
        <f t="shared" si="135"/>
        <v>104</v>
      </c>
      <c r="D75" s="1538">
        <f t="shared" si="97"/>
        <v>104</v>
      </c>
      <c r="E75" s="1538">
        <f t="shared" si="136"/>
        <v>103.5</v>
      </c>
      <c r="F75" s="1538">
        <f t="shared" si="136"/>
        <v>100.5</v>
      </c>
      <c r="G75" s="3342">
        <v>2002</v>
      </c>
      <c r="H75" s="1539">
        <v>1</v>
      </c>
      <c r="I75" s="1540"/>
      <c r="J75" s="1540"/>
      <c r="K75" s="1540"/>
      <c r="L75" s="1540"/>
      <c r="N75" s="1541"/>
      <c r="S75" s="1541"/>
      <c r="X75" s="1542"/>
      <c r="Y75" s="1542"/>
      <c r="Z75" s="1542"/>
    </row>
    <row r="76" spans="1:26" ht="13.5"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5"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5"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X1:AB1"/>
    <mergeCell ref="AD1:AH1"/>
    <mergeCell ref="G32:G35"/>
    <mergeCell ref="B1:F1"/>
    <mergeCell ref="G1:L1"/>
    <mergeCell ref="N1:Q1"/>
    <mergeCell ref="S1:V1"/>
    <mergeCell ref="G16:G19"/>
    <mergeCell ref="G20:G23"/>
    <mergeCell ref="G24:G27"/>
    <mergeCell ref="G28:G31"/>
    <mergeCell ref="G8:G11"/>
    <mergeCell ref="G12:G15"/>
    <mergeCell ref="G60:G63"/>
    <mergeCell ref="G64:G67"/>
    <mergeCell ref="G68:G71"/>
    <mergeCell ref="G72:G75"/>
    <mergeCell ref="G36:G39"/>
    <mergeCell ref="G40:G43"/>
    <mergeCell ref="G44:G47"/>
    <mergeCell ref="G48:G51"/>
    <mergeCell ref="G52:G55"/>
    <mergeCell ref="G56:G59"/>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W10" sqref="W10"/>
    </sheetView>
  </sheetViews>
  <sheetFormatPr defaultColWidth="9" defaultRowHeight="12.75"/>
  <cols>
    <col min="1" max="1" width="11.5" style="139" customWidth="1"/>
    <col min="2" max="2" width="9.25" style="27" customWidth="1"/>
    <col min="3" max="3" width="5" style="27" customWidth="1"/>
    <col min="4" max="4" width="0" style="27" hidden="1" customWidth="1"/>
    <col min="5" max="5" width="5" style="27" hidden="1" customWidth="1"/>
    <col min="6" max="6" width="0" style="27" hidden="1" customWidth="1"/>
    <col min="7" max="7" width="5" style="27" hidden="1" customWidth="1"/>
    <col min="8" max="8" width="0" style="27" hidden="1" customWidth="1"/>
    <col min="9" max="9" width="5" style="27" hidden="1" customWidth="1"/>
    <col min="10" max="10" width="0" style="27" hidden="1" customWidth="1"/>
    <col min="11" max="11" width="5" style="27" hidden="1" customWidth="1"/>
    <col min="12" max="12" width="0" style="27" hidden="1" customWidth="1"/>
    <col min="13" max="13" width="5" style="27" hidden="1" customWidth="1"/>
    <col min="14" max="14" width="0" style="27" hidden="1" customWidth="1"/>
    <col min="15" max="15" width="5" style="27" hidden="1" customWidth="1"/>
    <col min="16" max="16" width="9" style="27"/>
    <col min="17" max="17" width="5" style="27" customWidth="1"/>
    <col min="18" max="18" width="9" style="702"/>
    <col min="19" max="19" width="9" style="139"/>
    <col min="20" max="45" width="9" style="794"/>
    <col min="46" max="16384" width="9" style="139"/>
  </cols>
  <sheetData>
    <row r="1" spans="1:45" ht="14.25" customHeight="1" thickBot="1">
      <c r="A1" s="155"/>
      <c r="B1" s="1202" t="s">
        <v>3004</v>
      </c>
      <c r="C1" s="3352" t="s">
        <v>3005</v>
      </c>
      <c r="D1" s="3353"/>
      <c r="E1" s="3353"/>
      <c r="F1" s="3353"/>
      <c r="G1" s="3353"/>
      <c r="H1" s="3353"/>
      <c r="I1" s="3353"/>
      <c r="J1" s="3353"/>
      <c r="K1" s="3353"/>
      <c r="L1" s="3353"/>
      <c r="M1" s="3353"/>
      <c r="N1" s="3353"/>
      <c r="O1" s="3353"/>
      <c r="P1" s="3353"/>
      <c r="Q1" s="3353"/>
      <c r="R1" s="3353"/>
      <c r="S1" s="3354"/>
      <c r="T1" s="1202" t="s">
        <v>3006</v>
      </c>
    </row>
    <row r="2" spans="1:45" s="707" customFormat="1" ht="38.25">
      <c r="A2" s="1203"/>
      <c r="B2" s="703" t="s">
        <v>3007</v>
      </c>
      <c r="C2" s="704" t="str">
        <f t="shared" ref="C2:L2" si="0">C3&amp;"(含)"&amp;"-"&amp;D3</f>
        <v>0(含)-100</v>
      </c>
      <c r="D2" s="705" t="str">
        <f t="shared" si="0"/>
        <v>100(含)-200</v>
      </c>
      <c r="E2" s="705" t="str">
        <f t="shared" si="0"/>
        <v>200(含)-500</v>
      </c>
      <c r="F2" s="705" t="str">
        <f t="shared" si="0"/>
        <v>500(含)-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2" customFormat="1">
      <c r="A3" s="1205"/>
      <c r="B3" s="708"/>
      <c r="C3" s="709">
        <v>0</v>
      </c>
      <c r="D3" s="710">
        <v>100</v>
      </c>
      <c r="E3" s="710">
        <v>200</v>
      </c>
      <c r="F3" s="1702">
        <v>500</v>
      </c>
      <c r="G3" s="1702"/>
      <c r="H3" s="1702"/>
      <c r="I3" s="1702"/>
      <c r="J3" s="1702"/>
      <c r="K3" s="1702"/>
      <c r="L3" s="1703"/>
      <c r="M3" s="1704"/>
      <c r="N3" s="1704"/>
      <c r="O3" s="1702"/>
      <c r="P3" s="1702"/>
      <c r="Q3" s="1702"/>
      <c r="R3" s="1702"/>
      <c r="S3" s="1705"/>
      <c r="T3" s="711"/>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2" customFormat="1" ht="13.5" thickBot="1">
      <c r="A4" s="1206"/>
      <c r="B4" s="1207"/>
      <c r="C4" s="1208">
        <v>98</v>
      </c>
      <c r="D4" s="1209">
        <v>100</v>
      </c>
      <c r="E4" s="1209">
        <v>98</v>
      </c>
      <c r="F4" s="1706">
        <v>96</v>
      </c>
      <c r="G4" s="1706"/>
      <c r="H4" s="1706"/>
      <c r="I4" s="1706"/>
      <c r="J4" s="1706"/>
      <c r="K4" s="1706"/>
      <c r="L4" s="1706"/>
      <c r="M4" s="1707"/>
      <c r="N4" s="1707"/>
      <c r="O4" s="1706"/>
      <c r="P4" s="1706"/>
      <c r="Q4" s="1706"/>
      <c r="R4" s="1706"/>
      <c r="S4" s="1708"/>
      <c r="T4" s="1212"/>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3"/>
      <c r="B5" s="1767" t="s">
        <v>3008</v>
      </c>
      <c r="C5" s="1214"/>
      <c r="D5" s="1215"/>
      <c r="E5" s="1215"/>
      <c r="F5" s="1709"/>
      <c r="G5" s="1709"/>
      <c r="H5" s="1709"/>
      <c r="I5" s="1709"/>
      <c r="J5" s="1709"/>
      <c r="K5" s="1709"/>
      <c r="L5" s="1710"/>
      <c r="M5" s="1711"/>
      <c r="N5" s="1711"/>
      <c r="O5" s="1709"/>
      <c r="P5" s="1709"/>
      <c r="Q5" s="1709"/>
      <c r="R5" s="1709"/>
      <c r="S5" s="1712"/>
      <c r="T5" s="1217"/>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3"/>
      <c r="B7" s="1768" t="s">
        <v>3009</v>
      </c>
      <c r="C7" s="1119"/>
      <c r="D7" s="1113"/>
      <c r="E7" s="1113"/>
      <c r="F7" s="1714"/>
      <c r="G7" s="1714"/>
      <c r="H7" s="1714"/>
      <c r="I7" s="1714"/>
      <c r="J7" s="1714"/>
      <c r="K7" s="1714"/>
      <c r="L7" s="1714"/>
      <c r="M7" s="1715"/>
      <c r="N7" s="1716"/>
      <c r="O7" s="1717"/>
      <c r="P7" s="1718"/>
      <c r="Q7" s="1719"/>
      <c r="R7" s="1720"/>
      <c r="S7" s="1721"/>
      <c r="T7" s="713"/>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3"/>
      <c r="B9" s="1768" t="s">
        <v>3010</v>
      </c>
      <c r="C9" s="1119"/>
      <c r="D9" s="1113"/>
      <c r="E9" s="1113"/>
      <c r="F9" s="1714"/>
      <c r="G9" s="1714"/>
      <c r="H9" s="1714"/>
      <c r="I9" s="1714"/>
      <c r="J9" s="1714"/>
      <c r="K9" s="1714"/>
      <c r="L9" s="1722"/>
      <c r="M9" s="1715"/>
      <c r="N9" s="1716"/>
      <c r="O9" s="1717"/>
      <c r="P9" s="1718"/>
      <c r="Q9" s="1719"/>
      <c r="R9" s="1720"/>
      <c r="S9" s="1721"/>
      <c r="T9" s="713"/>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3"/>
      <c r="B11" s="1767" t="s">
        <v>3011</v>
      </c>
      <c r="C11" s="1214"/>
      <c r="D11" s="1215"/>
      <c r="E11" s="1215"/>
      <c r="F11" s="1215"/>
      <c r="G11" s="1215"/>
      <c r="H11" s="1215"/>
      <c r="I11" s="1215"/>
      <c r="J11" s="1215"/>
      <c r="K11" s="1215"/>
      <c r="L11" s="1215"/>
      <c r="M11" s="1216"/>
      <c r="N11" s="1220"/>
      <c r="O11" s="1221"/>
      <c r="P11" s="1222"/>
      <c r="Q11" s="1223"/>
      <c r="R11" s="1224"/>
      <c r="S11" s="1225"/>
      <c r="T11" s="1217"/>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3"/>
      <c r="B13" s="1767" t="s">
        <v>3012</v>
      </c>
      <c r="C13" s="1214"/>
      <c r="D13" s="1215"/>
      <c r="E13" s="1215"/>
      <c r="F13" s="1215"/>
      <c r="G13" s="1215"/>
      <c r="H13" s="1215"/>
      <c r="I13" s="1215"/>
      <c r="J13" s="1215"/>
      <c r="K13" s="1215"/>
      <c r="L13" s="1215"/>
      <c r="M13" s="1216"/>
      <c r="N13" s="1220"/>
      <c r="O13" s="1221"/>
      <c r="P13" s="1222"/>
      <c r="Q13" s="1223"/>
      <c r="R13" s="1224"/>
      <c r="S13" s="1225"/>
      <c r="T13" s="1226"/>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3"/>
      <c r="B15" s="1767" t="s">
        <v>3013</v>
      </c>
      <c r="C15" s="1214"/>
      <c r="D15" s="1215"/>
      <c r="E15" s="1215"/>
      <c r="F15" s="1215"/>
      <c r="G15" s="1215"/>
      <c r="H15" s="1215"/>
      <c r="I15" s="1215"/>
      <c r="J15" s="1215"/>
      <c r="K15" s="1215"/>
      <c r="L15" s="1215"/>
      <c r="M15" s="1216"/>
      <c r="N15" s="1220"/>
      <c r="O15" s="1221"/>
      <c r="P15" s="1222"/>
      <c r="Q15" s="1223"/>
      <c r="R15" s="1224"/>
      <c r="S15" s="1225"/>
      <c r="T15" s="1226"/>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04" t="s">
        <v>3014</v>
      </c>
      <c r="B17" s="2905" t="s">
        <v>3015</v>
      </c>
      <c r="C17" s="1229">
        <v>1</v>
      </c>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v>100</v>
      </c>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906" t="s">
        <v>3016</v>
      </c>
      <c r="E19" s="1790"/>
      <c r="F19" s="1790"/>
      <c r="G19" s="1790"/>
      <c r="H19" s="1278"/>
      <c r="I19" s="168"/>
      <c r="J19" s="168"/>
      <c r="K19" s="168"/>
      <c r="L19" s="168"/>
      <c r="M19" s="168"/>
      <c r="N19" s="168"/>
      <c r="O19" s="168"/>
      <c r="P19" s="168"/>
      <c r="Q19" s="168"/>
      <c r="R19" s="787"/>
      <c r="S19" s="138"/>
    </row>
    <row r="20" spans="1:45" ht="16.5" thickBot="1">
      <c r="A20" s="715" t="s">
        <v>3017</v>
      </c>
      <c r="B20" s="338">
        <f ca="1">IF(D20="——",S22,S22-F20)</f>
        <v>4534</v>
      </c>
      <c r="C20" s="168"/>
      <c r="D20" s="2907" t="s">
        <v>70</v>
      </c>
      <c r="E20" s="1791"/>
      <c r="F20" s="1202" t="e">
        <f ca="1">SUMIF(INDIRECT("'"&amp;H20&amp;"'"&amp;"!A:A"),"承租人权益价值",INDIRECT("'"&amp;H20&amp;"'"&amp;"!c:c"))</f>
        <v>#REF!</v>
      </c>
      <c r="G20" s="1202" t="s">
        <v>3018</v>
      </c>
      <c r="H20" s="2908"/>
      <c r="I20" s="168"/>
      <c r="J20" s="168"/>
      <c r="K20" s="168"/>
      <c r="L20" s="168"/>
      <c r="M20" s="168"/>
      <c r="N20" s="168"/>
      <c r="O20" s="168"/>
      <c r="P20" s="168"/>
      <c r="Q20" s="168"/>
      <c r="R20" s="787"/>
      <c r="S20" s="138"/>
    </row>
    <row r="21" spans="1:45" ht="15.75">
      <c r="A21" s="715" t="s">
        <v>3019</v>
      </c>
      <c r="B21" s="338">
        <f ca="1">R22</f>
        <v>11355</v>
      </c>
      <c r="C21" s="168"/>
      <c r="D21" s="168"/>
      <c r="E21" s="168"/>
      <c r="F21" s="168"/>
      <c r="G21" s="168"/>
      <c r="H21" s="168"/>
      <c r="I21" s="168"/>
      <c r="J21" s="168"/>
      <c r="K21" s="168"/>
      <c r="L21" s="168"/>
      <c r="M21" s="168"/>
      <c r="N21" s="168"/>
      <c r="O21" s="168"/>
      <c r="P21" s="168"/>
      <c r="Q21" s="168"/>
      <c r="R21" s="787"/>
      <c r="S21" s="138"/>
    </row>
    <row r="22" spans="1:45">
      <c r="A22" s="361" t="s">
        <v>3020</v>
      </c>
      <c r="B22" s="24">
        <f>SUM(B24:B10000)</f>
        <v>3992.940000000001</v>
      </c>
      <c r="C22" s="3183" t="s">
        <v>33</v>
      </c>
      <c r="D22" s="3184"/>
      <c r="E22" s="3184"/>
      <c r="F22" s="3184"/>
      <c r="G22" s="3184"/>
      <c r="H22" s="3184"/>
      <c r="I22" s="3184"/>
      <c r="J22" s="3184"/>
      <c r="K22" s="3184"/>
      <c r="L22" s="3184"/>
      <c r="M22" s="3184"/>
      <c r="N22" s="3184"/>
      <c r="O22" s="3184"/>
      <c r="P22" s="3184"/>
      <c r="Q22" s="3351"/>
      <c r="R22" s="716">
        <f ca="1">ROUND(S22*10000/B22,0)</f>
        <v>11355</v>
      </c>
      <c r="S22" s="24">
        <f ca="1">SUM(S24:S10000)</f>
        <v>4534</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ht="13.5">
      <c r="A24" s="2989">
        <v>101</v>
      </c>
      <c r="B24" s="2990">
        <v>100.98</v>
      </c>
      <c r="C24" s="718">
        <v>1</v>
      </c>
      <c r="D24" s="719"/>
      <c r="E24" s="718">
        <v>1</v>
      </c>
      <c r="F24" s="719"/>
      <c r="G24" s="718">
        <v>1</v>
      </c>
      <c r="H24" s="719"/>
      <c r="I24" s="718">
        <v>1</v>
      </c>
      <c r="J24" s="719"/>
      <c r="K24" s="718">
        <v>1</v>
      </c>
      <c r="L24" s="719"/>
      <c r="M24" s="718">
        <v>1</v>
      </c>
      <c r="N24" s="719"/>
      <c r="O24" s="718">
        <v>1</v>
      </c>
      <c r="P24" s="719">
        <v>1</v>
      </c>
      <c r="Q24" s="718">
        <v>1</v>
      </c>
      <c r="R24" s="720">
        <f ca="1">'结果表 (3)'!G20</f>
        <v>11341</v>
      </c>
      <c r="S24" s="718">
        <f t="shared" ref="S24:S54" ca="1" si="11">ROUND(R24*B24/10000,0)</f>
        <v>115</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ht="13.5">
      <c r="A25" s="2989">
        <v>102</v>
      </c>
      <c r="B25" s="2990">
        <v>109.4</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v>1</v>
      </c>
      <c r="Q25" s="24">
        <f>(SUMIF($17:$17,P25,$18:$18)-SUMIF($17:$17,$P$24,$18:$18)+100)/100</f>
        <v>1</v>
      </c>
      <c r="R25" s="716">
        <f ca="1">IF(B25="",0,ROUND($R$24*C25*E25*G25*I25*K25*M25*O25*Q25,0))</f>
        <v>11341</v>
      </c>
      <c r="S25" s="361">
        <f t="shared" ca="1" si="11"/>
        <v>124</v>
      </c>
    </row>
    <row r="26" spans="1:45" ht="13.5">
      <c r="A26" s="2989">
        <v>103</v>
      </c>
      <c r="B26" s="2990">
        <v>108.98</v>
      </c>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v>1</v>
      </c>
      <c r="Q26" s="24">
        <f t="shared" ref="Q26:Q89" si="19">(SUMIF($17:$17,P26,$18:$18)-SUMIF($17:$17,$P$24,$18:$18)+100)/100</f>
        <v>1</v>
      </c>
      <c r="R26" s="716">
        <f t="shared" ref="R26:R89" ca="1" si="20">IF(B26="",0,ROUND($R$24*C26*E26*G26*I26*K26*M26*O26*Q26,0))</f>
        <v>11341</v>
      </c>
      <c r="S26" s="361">
        <f t="shared" ca="1" si="11"/>
        <v>124</v>
      </c>
    </row>
    <row r="27" spans="1:45" ht="13.5">
      <c r="A27" s="2989">
        <v>104</v>
      </c>
      <c r="B27" s="2990">
        <v>108.98</v>
      </c>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v>1</v>
      </c>
      <c r="Q27" s="24">
        <f t="shared" si="19"/>
        <v>1</v>
      </c>
      <c r="R27" s="716">
        <f t="shared" ca="1" si="20"/>
        <v>11341</v>
      </c>
      <c r="S27" s="361">
        <f t="shared" ca="1" si="11"/>
        <v>124</v>
      </c>
    </row>
    <row r="28" spans="1:45" ht="13.5">
      <c r="A28" s="2989">
        <v>105</v>
      </c>
      <c r="B28" s="2990">
        <v>108.98</v>
      </c>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v>1</v>
      </c>
      <c r="Q28" s="24">
        <f t="shared" si="19"/>
        <v>1</v>
      </c>
      <c r="R28" s="716">
        <f t="shared" ca="1" si="20"/>
        <v>11341</v>
      </c>
      <c r="S28" s="361">
        <f t="shared" ca="1" si="11"/>
        <v>124</v>
      </c>
    </row>
    <row r="29" spans="1:45" ht="13.5">
      <c r="A29" s="2989">
        <v>106</v>
      </c>
      <c r="B29" s="2990">
        <v>108.98</v>
      </c>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v>1</v>
      </c>
      <c r="Q29" s="24">
        <f t="shared" si="19"/>
        <v>1</v>
      </c>
      <c r="R29" s="716">
        <f t="shared" ca="1" si="20"/>
        <v>11341</v>
      </c>
      <c r="S29" s="361">
        <f t="shared" ca="1" si="11"/>
        <v>124</v>
      </c>
    </row>
    <row r="30" spans="1:45" ht="13.5">
      <c r="A30" s="2989">
        <v>107</v>
      </c>
      <c r="B30" s="2990">
        <v>108.98</v>
      </c>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v>1</v>
      </c>
      <c r="Q30" s="24">
        <f t="shared" si="19"/>
        <v>1</v>
      </c>
      <c r="R30" s="716">
        <f t="shared" ca="1" si="20"/>
        <v>11341</v>
      </c>
      <c r="S30" s="361">
        <f t="shared" ca="1" si="11"/>
        <v>124</v>
      </c>
    </row>
    <row r="31" spans="1:45" ht="13.5">
      <c r="A31" s="2989">
        <v>108</v>
      </c>
      <c r="B31" s="2990">
        <v>108.58</v>
      </c>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v>1</v>
      </c>
      <c r="Q31" s="24">
        <f t="shared" si="19"/>
        <v>1</v>
      </c>
      <c r="R31" s="716">
        <f t="shared" ca="1" si="20"/>
        <v>11341</v>
      </c>
      <c r="S31" s="361">
        <f t="shared" ca="1" si="11"/>
        <v>123</v>
      </c>
    </row>
    <row r="32" spans="1:45" ht="13.5">
      <c r="A32" s="2989">
        <v>109</v>
      </c>
      <c r="B32" s="2990">
        <v>109.28</v>
      </c>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v>1</v>
      </c>
      <c r="Q32" s="24">
        <f t="shared" si="19"/>
        <v>1</v>
      </c>
      <c r="R32" s="716">
        <f t="shared" ca="1" si="20"/>
        <v>11341</v>
      </c>
      <c r="S32" s="361">
        <f t="shared" ca="1" si="11"/>
        <v>124</v>
      </c>
    </row>
    <row r="33" spans="1:19" ht="13.5">
      <c r="A33" s="2989">
        <v>110</v>
      </c>
      <c r="B33" s="2990">
        <v>108.98</v>
      </c>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v>1</v>
      </c>
      <c r="Q33" s="24">
        <f t="shared" si="19"/>
        <v>1</v>
      </c>
      <c r="R33" s="716">
        <f t="shared" ca="1" si="20"/>
        <v>11341</v>
      </c>
      <c r="S33" s="361">
        <f t="shared" ca="1" si="11"/>
        <v>124</v>
      </c>
    </row>
    <row r="34" spans="1:19" ht="13.5">
      <c r="A34" s="2989">
        <v>111</v>
      </c>
      <c r="B34" s="2990">
        <v>108.98</v>
      </c>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v>1</v>
      </c>
      <c r="Q34" s="24">
        <f t="shared" si="19"/>
        <v>1</v>
      </c>
      <c r="R34" s="716">
        <f t="shared" ca="1" si="20"/>
        <v>11341</v>
      </c>
      <c r="S34" s="361">
        <f t="shared" ca="1" si="11"/>
        <v>124</v>
      </c>
    </row>
    <row r="35" spans="1:19" ht="13.5">
      <c r="A35" s="2989">
        <v>112</v>
      </c>
      <c r="B35" s="2990">
        <v>108.98</v>
      </c>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v>1</v>
      </c>
      <c r="Q35" s="24">
        <f t="shared" si="19"/>
        <v>1</v>
      </c>
      <c r="R35" s="716">
        <f t="shared" ca="1" si="20"/>
        <v>11341</v>
      </c>
      <c r="S35" s="361">
        <f t="shared" ca="1" si="11"/>
        <v>124</v>
      </c>
    </row>
    <row r="36" spans="1:19" ht="13.5">
      <c r="A36" s="2989">
        <v>113</v>
      </c>
      <c r="B36" s="2990">
        <v>108.98</v>
      </c>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v>1</v>
      </c>
      <c r="Q36" s="24">
        <f t="shared" si="19"/>
        <v>1</v>
      </c>
      <c r="R36" s="716">
        <f t="shared" ca="1" si="20"/>
        <v>11341</v>
      </c>
      <c r="S36" s="361">
        <f t="shared" ca="1" si="11"/>
        <v>124</v>
      </c>
    </row>
    <row r="37" spans="1:19" ht="13.5">
      <c r="A37" s="2989">
        <v>114</v>
      </c>
      <c r="B37" s="2990">
        <v>108.98</v>
      </c>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v>1</v>
      </c>
      <c r="Q37" s="24">
        <f t="shared" si="19"/>
        <v>1</v>
      </c>
      <c r="R37" s="716">
        <f t="shared" ca="1" si="20"/>
        <v>11341</v>
      </c>
      <c r="S37" s="361">
        <f t="shared" ca="1" si="11"/>
        <v>124</v>
      </c>
    </row>
    <row r="38" spans="1:19" ht="13.5">
      <c r="A38" s="2989">
        <v>115</v>
      </c>
      <c r="B38" s="2990">
        <v>108.98</v>
      </c>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v>1</v>
      </c>
      <c r="Q38" s="24">
        <f t="shared" si="19"/>
        <v>1</v>
      </c>
      <c r="R38" s="716">
        <f t="shared" ca="1" si="20"/>
        <v>11341</v>
      </c>
      <c r="S38" s="361">
        <f t="shared" ca="1" si="11"/>
        <v>124</v>
      </c>
    </row>
    <row r="39" spans="1:19" ht="13.5">
      <c r="A39" s="2989">
        <v>116</v>
      </c>
      <c r="B39" s="2990">
        <v>108.98</v>
      </c>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v>1</v>
      </c>
      <c r="Q39" s="24">
        <f t="shared" si="19"/>
        <v>1</v>
      </c>
      <c r="R39" s="716">
        <f t="shared" ca="1" si="20"/>
        <v>11341</v>
      </c>
      <c r="S39" s="361">
        <f t="shared" ca="1" si="11"/>
        <v>124</v>
      </c>
    </row>
    <row r="40" spans="1:19" ht="13.5">
      <c r="A40" s="2989">
        <v>117</v>
      </c>
      <c r="B40" s="2990">
        <v>202.76</v>
      </c>
      <c r="C40" s="24">
        <f t="shared" si="12"/>
        <v>0.98</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v>1</v>
      </c>
      <c r="Q40" s="24">
        <f t="shared" si="19"/>
        <v>1</v>
      </c>
      <c r="R40" s="716">
        <f t="shared" ca="1" si="20"/>
        <v>11114</v>
      </c>
      <c r="S40" s="361">
        <f t="shared" ca="1" si="11"/>
        <v>225</v>
      </c>
    </row>
    <row r="41" spans="1:19" ht="13.5">
      <c r="A41" s="2989">
        <v>101</v>
      </c>
      <c r="B41" s="2990">
        <v>100.94</v>
      </c>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v>1</v>
      </c>
      <c r="Q41" s="24">
        <f t="shared" si="19"/>
        <v>1</v>
      </c>
      <c r="R41" s="716">
        <f t="shared" ca="1" si="20"/>
        <v>11341</v>
      </c>
      <c r="S41" s="361">
        <f t="shared" ca="1" si="11"/>
        <v>114</v>
      </c>
    </row>
    <row r="42" spans="1:19" ht="13.5">
      <c r="A42" s="2989">
        <v>102</v>
      </c>
      <c r="B42" s="2990">
        <v>108.94</v>
      </c>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v>1</v>
      </c>
      <c r="Q42" s="24">
        <f t="shared" si="19"/>
        <v>1</v>
      </c>
      <c r="R42" s="716">
        <f t="shared" ca="1" si="20"/>
        <v>11341</v>
      </c>
      <c r="S42" s="361">
        <f t="shared" ca="1" si="11"/>
        <v>124</v>
      </c>
    </row>
    <row r="43" spans="1:19" ht="13.5">
      <c r="A43" s="2989">
        <v>103</v>
      </c>
      <c r="B43" s="2990">
        <v>108.94</v>
      </c>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v>1</v>
      </c>
      <c r="Q43" s="24">
        <f t="shared" si="19"/>
        <v>1</v>
      </c>
      <c r="R43" s="716">
        <f t="shared" ca="1" si="20"/>
        <v>11341</v>
      </c>
      <c r="S43" s="361">
        <f t="shared" ca="1" si="11"/>
        <v>124</v>
      </c>
    </row>
    <row r="44" spans="1:19" ht="13.5">
      <c r="A44" s="2989">
        <v>104</v>
      </c>
      <c r="B44" s="2990">
        <v>108.94</v>
      </c>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v>1</v>
      </c>
      <c r="Q44" s="24">
        <f t="shared" si="19"/>
        <v>1</v>
      </c>
      <c r="R44" s="716">
        <f t="shared" ca="1" si="20"/>
        <v>11341</v>
      </c>
      <c r="S44" s="361">
        <f t="shared" ca="1" si="11"/>
        <v>124</v>
      </c>
    </row>
    <row r="45" spans="1:19" ht="13.5">
      <c r="A45" s="2989">
        <v>105</v>
      </c>
      <c r="B45" s="2990">
        <v>108.94</v>
      </c>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v>1</v>
      </c>
      <c r="Q45" s="24">
        <f t="shared" si="19"/>
        <v>1</v>
      </c>
      <c r="R45" s="716">
        <f t="shared" ca="1" si="20"/>
        <v>11341</v>
      </c>
      <c r="S45" s="361">
        <f t="shared" ca="1" si="11"/>
        <v>124</v>
      </c>
    </row>
    <row r="46" spans="1:19" ht="13.5">
      <c r="A46" s="2989">
        <v>106</v>
      </c>
      <c r="B46" s="2990">
        <v>108.94</v>
      </c>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v>1</v>
      </c>
      <c r="Q46" s="24">
        <f t="shared" si="19"/>
        <v>1</v>
      </c>
      <c r="R46" s="716">
        <f t="shared" ca="1" si="20"/>
        <v>11341</v>
      </c>
      <c r="S46" s="361">
        <f t="shared" ca="1" si="11"/>
        <v>124</v>
      </c>
    </row>
    <row r="47" spans="1:19" ht="13.5">
      <c r="A47" s="2989">
        <v>107</v>
      </c>
      <c r="B47" s="2990">
        <v>108.94</v>
      </c>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v>1</v>
      </c>
      <c r="Q47" s="24">
        <f t="shared" si="19"/>
        <v>1</v>
      </c>
      <c r="R47" s="716">
        <f t="shared" ca="1" si="20"/>
        <v>11341</v>
      </c>
      <c r="S47" s="361">
        <f t="shared" ca="1" si="11"/>
        <v>124</v>
      </c>
    </row>
    <row r="48" spans="1:19" ht="13.5">
      <c r="A48" s="2989">
        <v>108</v>
      </c>
      <c r="B48" s="2990">
        <v>108.94</v>
      </c>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v>1</v>
      </c>
      <c r="Q48" s="24">
        <f t="shared" si="19"/>
        <v>1</v>
      </c>
      <c r="R48" s="716">
        <f t="shared" ca="1" si="20"/>
        <v>11341</v>
      </c>
      <c r="S48" s="361">
        <f t="shared" ca="1" si="11"/>
        <v>124</v>
      </c>
    </row>
    <row r="49" spans="1:19" ht="13.5">
      <c r="A49" s="2989">
        <v>109</v>
      </c>
      <c r="B49" s="2990">
        <v>108.94</v>
      </c>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v>1</v>
      </c>
      <c r="Q49" s="24">
        <f t="shared" si="19"/>
        <v>1</v>
      </c>
      <c r="R49" s="716">
        <f t="shared" ca="1" si="20"/>
        <v>11341</v>
      </c>
      <c r="S49" s="361">
        <f t="shared" ca="1" si="11"/>
        <v>124</v>
      </c>
    </row>
    <row r="50" spans="1:19" ht="13.5">
      <c r="A50" s="2989">
        <v>110</v>
      </c>
      <c r="B50" s="2990">
        <v>108.94</v>
      </c>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v>1</v>
      </c>
      <c r="Q50" s="24">
        <f t="shared" si="19"/>
        <v>1</v>
      </c>
      <c r="R50" s="716">
        <f t="shared" ca="1" si="20"/>
        <v>11341</v>
      </c>
      <c r="S50" s="361">
        <f t="shared" ca="1" si="11"/>
        <v>124</v>
      </c>
    </row>
    <row r="51" spans="1:19" ht="13.5">
      <c r="A51" s="2989">
        <v>111</v>
      </c>
      <c r="B51" s="2990">
        <v>109.24</v>
      </c>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v>1</v>
      </c>
      <c r="Q51" s="24">
        <f t="shared" si="19"/>
        <v>1</v>
      </c>
      <c r="R51" s="716">
        <f t="shared" ca="1" si="20"/>
        <v>11341</v>
      </c>
      <c r="S51" s="361">
        <f t="shared" ca="1" si="11"/>
        <v>124</v>
      </c>
    </row>
    <row r="52" spans="1:19" ht="13.5">
      <c r="A52" s="2989">
        <v>112</v>
      </c>
      <c r="B52" s="2990">
        <v>108.54</v>
      </c>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v>1</v>
      </c>
      <c r="Q52" s="24">
        <f t="shared" si="19"/>
        <v>1</v>
      </c>
      <c r="R52" s="716">
        <f t="shared" ca="1" si="20"/>
        <v>11341</v>
      </c>
      <c r="S52" s="361">
        <f t="shared" ca="1" si="11"/>
        <v>123</v>
      </c>
    </row>
    <row r="53" spans="1:19" ht="13.5">
      <c r="A53" s="2989">
        <v>113</v>
      </c>
      <c r="B53" s="2990">
        <v>108.94</v>
      </c>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v>1</v>
      </c>
      <c r="Q53" s="24">
        <f t="shared" si="19"/>
        <v>1</v>
      </c>
      <c r="R53" s="716">
        <f t="shared" ca="1" si="20"/>
        <v>11341</v>
      </c>
      <c r="S53" s="361">
        <f t="shared" ca="1" si="11"/>
        <v>124</v>
      </c>
    </row>
    <row r="54" spans="1:19" ht="13.5">
      <c r="A54" s="2989">
        <v>114</v>
      </c>
      <c r="B54" s="2990">
        <v>108.94</v>
      </c>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v>1</v>
      </c>
      <c r="Q54" s="24">
        <f t="shared" si="19"/>
        <v>1</v>
      </c>
      <c r="R54" s="716">
        <f t="shared" ca="1" si="20"/>
        <v>11341</v>
      </c>
      <c r="S54" s="361">
        <f t="shared" ca="1" si="11"/>
        <v>124</v>
      </c>
    </row>
    <row r="55" spans="1:19" ht="13.5">
      <c r="A55" s="2989">
        <v>115</v>
      </c>
      <c r="B55" s="2990">
        <v>108.94</v>
      </c>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v>1</v>
      </c>
      <c r="Q55" s="24">
        <f t="shared" si="19"/>
        <v>1</v>
      </c>
      <c r="R55" s="716">
        <f t="shared" ca="1" si="20"/>
        <v>11341</v>
      </c>
      <c r="S55" s="361">
        <f t="shared" ref="S55:S77" ca="1" si="21">ROUND(R55*B55/10000,0)</f>
        <v>124</v>
      </c>
    </row>
    <row r="56" spans="1:19" ht="13.5">
      <c r="A56" s="2989">
        <v>116</v>
      </c>
      <c r="B56" s="2990">
        <v>108.94</v>
      </c>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v>1</v>
      </c>
      <c r="Q56" s="24">
        <f t="shared" si="19"/>
        <v>1</v>
      </c>
      <c r="R56" s="716">
        <f t="shared" ca="1" si="20"/>
        <v>11341</v>
      </c>
      <c r="S56" s="361">
        <f t="shared" ca="1" si="21"/>
        <v>124</v>
      </c>
    </row>
    <row r="57" spans="1:19" ht="13.5">
      <c r="A57" s="2989">
        <v>117</v>
      </c>
      <c r="B57" s="2990">
        <v>108.94</v>
      </c>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v>1</v>
      </c>
      <c r="Q57" s="24">
        <f t="shared" si="19"/>
        <v>1</v>
      </c>
      <c r="R57" s="716">
        <f t="shared" ca="1" si="20"/>
        <v>11341</v>
      </c>
      <c r="S57" s="361">
        <f t="shared" ca="1" si="21"/>
        <v>124</v>
      </c>
    </row>
    <row r="58" spans="1:19" ht="13.5">
      <c r="A58" s="2989">
        <v>118</v>
      </c>
      <c r="B58" s="2990">
        <v>109.36</v>
      </c>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v>1</v>
      </c>
      <c r="Q58" s="24">
        <f t="shared" si="19"/>
        <v>1</v>
      </c>
      <c r="R58" s="716">
        <f t="shared" ca="1" si="20"/>
        <v>11341</v>
      </c>
      <c r="S58" s="361">
        <f t="shared" ca="1" si="21"/>
        <v>124</v>
      </c>
    </row>
    <row r="59" spans="1:19" ht="13.5">
      <c r="A59" s="2989">
        <v>119</v>
      </c>
      <c r="B59" s="2990">
        <v>100.94</v>
      </c>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v>1</v>
      </c>
      <c r="Q59" s="24">
        <f t="shared" si="19"/>
        <v>1</v>
      </c>
      <c r="R59" s="716">
        <f t="shared" ca="1" si="20"/>
        <v>11341</v>
      </c>
      <c r="S59" s="361">
        <f t="shared" ca="1" si="21"/>
        <v>114</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v>1</v>
      </c>
      <c r="Q60" s="24">
        <f t="shared" si="19"/>
        <v>1</v>
      </c>
      <c r="R60" s="716">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v>1</v>
      </c>
      <c r="Q61" s="24">
        <f t="shared" si="19"/>
        <v>1</v>
      </c>
      <c r="R61" s="716">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v>1</v>
      </c>
      <c r="Q62" s="24">
        <f t="shared" si="19"/>
        <v>1</v>
      </c>
      <c r="R62" s="716">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v>1</v>
      </c>
      <c r="Q63" s="24">
        <f t="shared" si="19"/>
        <v>1</v>
      </c>
      <c r="R63" s="716">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v>1</v>
      </c>
      <c r="Q64" s="24">
        <f t="shared" si="19"/>
        <v>1</v>
      </c>
      <c r="R64" s="716">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v>1</v>
      </c>
      <c r="Q65" s="24">
        <f t="shared" si="19"/>
        <v>1</v>
      </c>
      <c r="R65" s="716">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v>1</v>
      </c>
      <c r="Q66" s="24">
        <f t="shared" si="19"/>
        <v>1</v>
      </c>
      <c r="R66" s="716">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v>1</v>
      </c>
      <c r="Q67" s="24">
        <f t="shared" si="19"/>
        <v>1</v>
      </c>
      <c r="R67" s="716">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v>1</v>
      </c>
      <c r="Q68" s="24">
        <f t="shared" si="19"/>
        <v>1</v>
      </c>
      <c r="R68" s="716">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v>1</v>
      </c>
      <c r="Q69" s="24">
        <f t="shared" si="19"/>
        <v>1</v>
      </c>
      <c r="R69" s="716">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v>1</v>
      </c>
      <c r="Q70" s="24">
        <f t="shared" si="19"/>
        <v>1</v>
      </c>
      <c r="R70" s="716">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v>1</v>
      </c>
      <c r="Q71" s="24">
        <f t="shared" si="19"/>
        <v>1</v>
      </c>
      <c r="R71" s="716">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v>1</v>
      </c>
      <c r="Q72" s="24">
        <f t="shared" si="19"/>
        <v>1</v>
      </c>
      <c r="R72" s="716">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v>1</v>
      </c>
      <c r="Q73" s="24">
        <f t="shared" si="19"/>
        <v>1</v>
      </c>
      <c r="R73" s="716">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v>1</v>
      </c>
      <c r="Q74" s="24">
        <f t="shared" si="19"/>
        <v>1</v>
      </c>
      <c r="R74" s="716">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v>1</v>
      </c>
      <c r="Q75" s="24">
        <f t="shared" si="19"/>
        <v>1</v>
      </c>
      <c r="R75" s="716">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v>1</v>
      </c>
      <c r="Q76" s="24">
        <f t="shared" si="19"/>
        <v>1</v>
      </c>
      <c r="R76" s="716">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v>1</v>
      </c>
      <c r="Q77" s="24">
        <f t="shared" si="19"/>
        <v>1</v>
      </c>
      <c r="R77" s="716">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6">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6">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6">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6">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6">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6">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6">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6">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6">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6">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6">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6">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6">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6">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6">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6">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6">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6">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6">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6">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6">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6">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6">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6">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6">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6">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6">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6">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6">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6">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6">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6">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6">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6">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6">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6">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6">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6">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6">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6">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6">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6">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6">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6">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6">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6">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6">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6">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6">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6">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6">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6">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6">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6">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6">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6">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6">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6">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6">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6">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6">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6">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6">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6">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6">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6">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6">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6">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6">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6">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6">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6">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6">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6">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6">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6">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6">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6">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6">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6">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6">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6">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6">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6">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6">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6">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6">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6">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6">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6">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6">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6">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6">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6">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6">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6">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6">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6">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6">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6">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6">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6">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6">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6">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6">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6">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6">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6">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6">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6">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6">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6">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6">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6">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6">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6">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6">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6">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6">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6">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6">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6">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6">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6">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6">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6">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6">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6">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6">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6">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6">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6">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6">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6">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6">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6">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6">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6">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6">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6">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6">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6">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6">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6">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6">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6">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6">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6">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6">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6">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6">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6">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6">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6">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6">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6">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6">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6">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6">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6">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6">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6">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6">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6">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6">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6">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6">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6">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6">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6">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6">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6">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6">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6">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6">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6">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6">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6">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6">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6">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6">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6">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6">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6">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6">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6">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6">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6">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6">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6">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6">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6">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6">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6">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6">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6">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6">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6">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6">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6">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6">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6">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6">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6">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6">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6">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6">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6">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6">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6">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6">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6">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6">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6">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6">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6">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6">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6">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6">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6">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6">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6">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6">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6">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6">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6">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6">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6">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6">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6">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6">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6">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6">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6">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6">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6">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6">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6">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6">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6">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6">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6">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6">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6">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6">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6">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6">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6">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6">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6">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6">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6">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6">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6">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6">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6">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6">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6">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6">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6">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6">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6">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6">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6">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6">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6">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6">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6">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6">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6">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6">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6">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6">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6">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6">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6">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6">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6">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6">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6">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6">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6">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6">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6">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6">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6">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6">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6">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6">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6">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6">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6">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6">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6">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6">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6">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6">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6">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6">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6">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6">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6">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6">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6">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6">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6">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6">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6">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6">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6">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6">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6">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6">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6">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6">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6">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6">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6">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6">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6">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6">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6">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6">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6">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6">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6">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6">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6">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6">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6">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6">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6">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6">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6">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6">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6">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6">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6">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6">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6">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6">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6">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6">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6">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6">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6">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6">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6">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6">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6">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6">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6">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6">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6">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6">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6">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6">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6">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6">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6">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6">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6">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6">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6">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6">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6">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6">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6">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6">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6">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6">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6">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6">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6">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6">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6">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6">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6">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6">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6">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6">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6">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6">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6">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6">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6">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6">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6">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6">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6">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6">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6">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6">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6">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6">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6">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6">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6">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6">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6">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6">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6">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6">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6">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6">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6">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6">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6">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6">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6">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6">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6">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6">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6">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6">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6">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6">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6">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6">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6">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6">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6">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6">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6">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6">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6">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6">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6">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6">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6">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6">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6">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6">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6">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6">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6">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6">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6">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6">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6">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6">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6">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6">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6">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6">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6">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27718</v>
      </c>
      <c r="C2" s="2" t="s">
        <v>133</v>
      </c>
      <c r="D2" s="243"/>
      <c r="E2" s="243"/>
      <c r="F2" s="243"/>
      <c r="G2" s="243"/>
    </row>
    <row r="3" spans="1:7" s="244" customFormat="1" ht="18" customHeight="1" thickBot="1">
      <c r="A3" s="247" t="s">
        <v>85</v>
      </c>
      <c r="B3" s="248">
        <f ca="1">ROUND(B2*10000/'数据-汇总表'!E3,0)</f>
        <v>69418</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150</v>
      </c>
      <c r="F9" s="265"/>
      <c r="G9" s="270"/>
    </row>
    <row r="10" spans="1:7" s="258" customFormat="1" ht="13.5" customHeight="1">
      <c r="A10" s="949" t="s">
        <v>801</v>
      </c>
      <c r="B10" s="268" t="s">
        <v>94</v>
      </c>
      <c r="C10" s="269">
        <f>ROUND(D10*E10/10000,0)</f>
        <v>60</v>
      </c>
      <c r="D10" s="1031">
        <f>'数据-汇总表'!E6</f>
        <v>3992.9400000000005</v>
      </c>
      <c r="E10" s="269">
        <f>'数据-取费表'!B28</f>
        <v>150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80</v>
      </c>
      <c r="D19" s="1035">
        <f>'数据-汇总表'!E3</f>
        <v>3992.9400000000005</v>
      </c>
      <c r="E19" s="255">
        <f>'数据-取费表'!B31</f>
        <v>200</v>
      </c>
      <c r="F19" s="275"/>
      <c r="G19" s="1" t="s">
        <v>1071</v>
      </c>
    </row>
    <row r="20" spans="1:7" s="258" customFormat="1" ht="13.5" customHeight="1">
      <c r="A20" s="947" t="s">
        <v>1054</v>
      </c>
      <c r="B20" s="254" t="s">
        <v>104</v>
      </c>
      <c r="C20" s="276">
        <f>ROUND((C5+C19)*F20,0)</f>
        <v>207</v>
      </c>
      <c r="D20" s="276"/>
      <c r="E20" s="276"/>
      <c r="F20" s="277">
        <f>'数据-取费表'!B37</f>
        <v>0.01</v>
      </c>
      <c r="G20" s="1287" t="s">
        <v>1065</v>
      </c>
    </row>
    <row r="21" spans="1:7" s="258" customFormat="1" ht="13.5" customHeight="1">
      <c r="A21" s="947" t="s">
        <v>1056</v>
      </c>
      <c r="B21" s="254" t="s">
        <v>105</v>
      </c>
      <c r="C21" s="279">
        <f>F21</f>
        <v>0.01</v>
      </c>
      <c r="D21" s="280" t="s">
        <v>126</v>
      </c>
      <c r="E21" s="276"/>
      <c r="F21" s="277">
        <f>'数据-取费表'!B38</f>
        <v>0.01</v>
      </c>
      <c r="G21" s="278" t="s">
        <v>106</v>
      </c>
    </row>
    <row r="22" spans="1:7" s="258" customFormat="1" ht="13.5" customHeight="1">
      <c r="A22" s="947" t="s">
        <v>786</v>
      </c>
      <c r="B22" s="254" t="s">
        <v>107</v>
      </c>
      <c r="C22" s="1352">
        <f ca="1">ROUND(SUM(C23:C25),0)</f>
        <v>905</v>
      </c>
      <c r="D22" s="279">
        <f ca="1">C26</f>
        <v>2.0000000000000001E-4</v>
      </c>
      <c r="E22" s="280" t="s">
        <v>126</v>
      </c>
      <c r="F22" s="281">
        <f ca="1">'数据-取费表'!B40</f>
        <v>4.3499999999999997E-2</v>
      </c>
      <c r="G22" s="1287" t="str">
        <f>IF('数据-取费表'!B22&lt;=1,"单利计息","复利计息")</f>
        <v>单利计息</v>
      </c>
    </row>
    <row r="23" spans="1:7" s="258" customFormat="1" ht="13.5" customHeight="1">
      <c r="A23" s="950" t="s">
        <v>794</v>
      </c>
      <c r="B23" s="259" t="s">
        <v>1058</v>
      </c>
      <c r="C23" s="1353">
        <f ca="1">ROUND(IF('数据-取费表'!B22&lt;=1,C5*F22*'数据-取费表'!B23,C5*(POWER((1+F22),'数据-取费表'!B23)-1)),0)</f>
        <v>897</v>
      </c>
      <c r="D23" s="282"/>
      <c r="E23" s="282"/>
      <c r="F23" s="283"/>
      <c r="G23" s="284" t="s">
        <v>108</v>
      </c>
    </row>
    <row r="24" spans="1:7" s="258" customFormat="1" ht="13.5" customHeight="1">
      <c r="A24" s="950" t="s">
        <v>792</v>
      </c>
      <c r="B24" s="259" t="s">
        <v>1053</v>
      </c>
      <c r="C24" s="1353">
        <f ca="1">ROUND(IF('数据-取费表'!B22&lt;=1,C19*F22*('数据-取费表'!B19/2+'数据-取费表'!B21),C19*(POWER((1+F22),('数据-取费表'!B19/2+'数据-取费表'!B21))-1)),0)</f>
        <v>3</v>
      </c>
      <c r="D24" s="282"/>
      <c r="E24" s="282"/>
      <c r="F24" s="283"/>
      <c r="G24" s="284" t="s">
        <v>109</v>
      </c>
    </row>
    <row r="25" spans="1:7" s="258" customFormat="1" ht="24">
      <c r="A25" s="950" t="s">
        <v>793</v>
      </c>
      <c r="B25" s="259" t="s">
        <v>1055</v>
      </c>
      <c r="C25" s="1353">
        <f ca="1">ROUND(IF('数据-取费表'!B22&lt;=1,C20*F22*'数据-取费表'!B23/2,C20*(POWER((1+F22),'数据-取费表'!B23/2)-1)),0)</f>
        <v>5</v>
      </c>
      <c r="D25" s="282"/>
      <c r="E25" s="285"/>
      <c r="F25" s="283"/>
      <c r="G25" s="286" t="s">
        <v>110</v>
      </c>
    </row>
    <row r="26" spans="1:7" s="258" customFormat="1">
      <c r="A26" s="950" t="s">
        <v>795</v>
      </c>
      <c r="B26" s="259" t="s">
        <v>1057</v>
      </c>
      <c r="C26" s="282">
        <f ca="1">ROUND(IF('数据-取费表'!B22&lt;=1,F21*F22*'数据-取费表'!B23/2,F21*(POWER((1+F22),'数据-取费表'!B23/2)-1)),4)</f>
        <v>2.0000000000000001E-4</v>
      </c>
      <c r="D26" s="282"/>
      <c r="E26" s="285"/>
      <c r="F26" s="283"/>
      <c r="G26" s="287"/>
    </row>
    <row r="27" spans="1:7" s="258" customFormat="1" ht="24.75">
      <c r="A27" s="947" t="s">
        <v>787</v>
      </c>
      <c r="B27" s="288" t="s">
        <v>112</v>
      </c>
      <c r="C27" s="289">
        <f>C28</f>
        <v>3135</v>
      </c>
      <c r="D27" s="279">
        <f>C29</f>
        <v>1.5E-3</v>
      </c>
      <c r="E27" s="280" t="s">
        <v>126</v>
      </c>
      <c r="F27" s="290">
        <f>'数据-取费表'!Q16</f>
        <v>0.15</v>
      </c>
      <c r="G27" s="291" t="s">
        <v>1066</v>
      </c>
    </row>
    <row r="28" spans="1:7" s="258" customFormat="1" ht="13.5" customHeight="1">
      <c r="A28" s="950" t="s">
        <v>794</v>
      </c>
      <c r="B28" s="292" t="s">
        <v>1059</v>
      </c>
      <c r="C28" s="293">
        <f>ROUND((C5+C19+C20)*F27*'数据-取费表'!B21/'数据-取费表'!B20,0)</f>
        <v>3135</v>
      </c>
      <c r="D28" s="279"/>
      <c r="E28" s="280"/>
      <c r="F28" s="290"/>
      <c r="G28" s="291"/>
    </row>
    <row r="29" spans="1:7" s="258" customFormat="1" ht="13.5" customHeight="1">
      <c r="A29" s="950" t="s">
        <v>792</v>
      </c>
      <c r="B29" s="292" t="s">
        <v>1060</v>
      </c>
      <c r="C29" s="282">
        <f>ROUND(C21*F27*'数据-取费表'!B21/'数据-取费表'!B20,4)</f>
        <v>1.5E-3</v>
      </c>
      <c r="D29" s="279"/>
      <c r="E29" s="280"/>
      <c r="F29" s="290"/>
      <c r="G29" s="291"/>
    </row>
    <row r="30" spans="1:7" s="258" customFormat="1" ht="13.5" customHeight="1">
      <c r="A30" s="947"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26644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914</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798</v>
      </c>
      <c r="D34" s="261"/>
      <c r="E34" s="264"/>
      <c r="F34" s="301">
        <f>IF('数据-取费表'!B24=0,1,'数据-取费表'!N16)</f>
        <v>1</v>
      </c>
      <c r="G34" s="263" t="s">
        <v>116</v>
      </c>
    </row>
    <row r="35" spans="1:7" ht="13.5" customHeight="1">
      <c r="A35" s="950" t="s">
        <v>796</v>
      </c>
      <c r="B35" s="259" t="s">
        <v>60</v>
      </c>
      <c r="C35" s="264">
        <f>ROUND(C34*F35,0)</f>
        <v>24</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80</v>
      </c>
      <c r="D37" s="261">
        <f>'数据-汇总表'!E3</f>
        <v>3992.9400000000005</v>
      </c>
      <c r="E37" s="293">
        <f>'数据-取费表'!B35</f>
        <v>200</v>
      </c>
      <c r="F37" s="303"/>
      <c r="G37" s="305" t="s">
        <v>119</v>
      </c>
    </row>
    <row r="38" spans="1:7" ht="13.5" customHeight="1">
      <c r="A38" s="950" t="s">
        <v>799</v>
      </c>
      <c r="B38" s="259" t="s">
        <v>63</v>
      </c>
      <c r="C38" s="264">
        <f>ROUND(C34*F38,0)</f>
        <v>12</v>
      </c>
      <c r="D38" s="264"/>
      <c r="E38" s="264"/>
      <c r="F38" s="303">
        <f>'数据-取费表'!B36</f>
        <v>1.4999999999999999E-2</v>
      </c>
      <c r="G38" s="263" t="s">
        <v>117</v>
      </c>
    </row>
    <row r="39" spans="1:7" s="258" customFormat="1" ht="13.5" customHeight="1">
      <c r="A39" s="947" t="s">
        <v>783</v>
      </c>
      <c r="B39" s="254" t="s">
        <v>104</v>
      </c>
      <c r="C39" s="276">
        <f>ROUND(C33*F20,0)</f>
        <v>9</v>
      </c>
      <c r="D39" s="276"/>
      <c r="E39" s="276"/>
      <c r="F39" s="277"/>
      <c r="G39" s="1287" t="s">
        <v>1068</v>
      </c>
    </row>
    <row r="40" spans="1:7" s="258" customFormat="1" ht="13.5" customHeight="1">
      <c r="A40" s="947" t="s">
        <v>784</v>
      </c>
      <c r="B40" s="254" t="s">
        <v>105</v>
      </c>
      <c r="C40" s="306">
        <f>F21</f>
        <v>0.01</v>
      </c>
      <c r="D40" s="280" t="s">
        <v>129</v>
      </c>
      <c r="E40" s="276"/>
      <c r="F40" s="277"/>
      <c r="G40" s="278" t="s">
        <v>120</v>
      </c>
    </row>
    <row r="41" spans="1:7" s="258" customFormat="1" ht="13.5" customHeight="1">
      <c r="A41" s="947" t="s">
        <v>785</v>
      </c>
      <c r="B41" s="254" t="s">
        <v>107</v>
      </c>
      <c r="C41" s="276">
        <f ca="1">ROUND(SUM(C42:C43),0)</f>
        <v>20</v>
      </c>
      <c r="D41" s="279">
        <f ca="1">C44</f>
        <v>2.0000000000000001E-4</v>
      </c>
      <c r="E41" s="280" t="s">
        <v>129</v>
      </c>
      <c r="F41" s="281"/>
      <c r="G41" s="1287" t="str">
        <f>IF('数据-取费表'!B22&lt;=1,"单利计息","复利计息")</f>
        <v>单利计息</v>
      </c>
    </row>
    <row r="42" spans="1:7" ht="13.5" customHeight="1">
      <c r="A42" s="950" t="s">
        <v>794</v>
      </c>
      <c r="B42" s="259" t="s">
        <v>1058</v>
      </c>
      <c r="C42" s="282">
        <f ca="1">ROUND(IF('数据-取费表'!B22&lt;=1,C33*F22*'数据-取费表'!B21/2,C33*(POWER((1+F22),'数据-取费表'!B21/2)-1)),0)</f>
        <v>20</v>
      </c>
      <c r="D42" s="282"/>
      <c r="E42" s="282"/>
      <c r="F42" s="283"/>
      <c r="G42" s="3214" t="s">
        <v>121</v>
      </c>
    </row>
    <row r="43" spans="1:7" ht="13.5" customHeight="1">
      <c r="A43" s="950" t="s">
        <v>792</v>
      </c>
      <c r="B43" s="259" t="s">
        <v>1061</v>
      </c>
      <c r="C43" s="282">
        <f ca="1">ROUND(IF('数据-取费表'!B22&lt;=1,C39*F22*'数据-取费表'!B21/2,C39*(POWER((1+F22),'数据-取费表'!B21/2)-1)),0)</f>
        <v>0</v>
      </c>
      <c r="D43" s="282"/>
      <c r="E43" s="282"/>
      <c r="F43" s="283"/>
      <c r="G43" s="3215"/>
    </row>
    <row r="44" spans="1:7" ht="13.5" customHeight="1">
      <c r="A44" s="950" t="s">
        <v>793</v>
      </c>
      <c r="B44" s="259" t="s">
        <v>1063</v>
      </c>
      <c r="C44" s="282">
        <f ca="1">ROUND(IF('数据-取费表'!B22&lt;=1,C40*F22*'数据-取费表'!B21/2,C40*(POWER((1+F22),'数据-取费表'!B21/2)-1)),4)</f>
        <v>2.0000000000000001E-4</v>
      </c>
      <c r="D44" s="282"/>
      <c r="E44" s="282"/>
      <c r="F44" s="283"/>
      <c r="G44" s="3216"/>
    </row>
    <row r="45" spans="1:7" s="258" customFormat="1" ht="13.5" customHeight="1">
      <c r="A45" s="947" t="s">
        <v>786</v>
      </c>
      <c r="B45" s="288" t="s">
        <v>112</v>
      </c>
      <c r="C45" s="289">
        <f>C46</f>
        <v>138</v>
      </c>
      <c r="D45" s="279">
        <f>C47</f>
        <v>1.5E-3</v>
      </c>
      <c r="E45" s="280" t="s">
        <v>129</v>
      </c>
      <c r="F45" s="290"/>
      <c r="G45" s="291" t="s">
        <v>1069</v>
      </c>
    </row>
    <row r="46" spans="1:7" s="258" customFormat="1" ht="13.5" customHeight="1">
      <c r="A46" s="950" t="s">
        <v>794</v>
      </c>
      <c r="B46" s="292" t="s">
        <v>1062</v>
      </c>
      <c r="C46" s="293">
        <f>ROUND((C33+C39)*F27,0)</f>
        <v>138</v>
      </c>
      <c r="D46" s="307"/>
      <c r="E46" s="280"/>
      <c r="F46" s="290"/>
      <c r="G46" s="291"/>
    </row>
    <row r="47" spans="1:7" s="258" customFormat="1" ht="13.5" customHeight="1">
      <c r="A47" s="950" t="s">
        <v>792</v>
      </c>
      <c r="B47" s="292" t="s">
        <v>1064</v>
      </c>
      <c r="C47" s="282">
        <f>ROUND(C40*F27,4)</f>
        <v>1.5E-3</v>
      </c>
      <c r="D47" s="307"/>
      <c r="E47" s="280"/>
      <c r="F47" s="290"/>
      <c r="G47" s="291"/>
    </row>
    <row r="48" spans="1:7" s="258" customFormat="1" ht="13.5" customHeight="1">
      <c r="A48" s="947" t="s">
        <v>787</v>
      </c>
      <c r="B48" s="254" t="s">
        <v>122</v>
      </c>
      <c r="C48" s="306">
        <f>F30</f>
        <v>5.5000000000000007E-2</v>
      </c>
      <c r="D48" s="280" t="s">
        <v>130</v>
      </c>
      <c r="E48" s="276"/>
      <c r="F48" s="281"/>
      <c r="G48" s="278" t="s">
        <v>123</v>
      </c>
    </row>
    <row r="49" spans="1:7" ht="16.5" customHeight="1">
      <c r="A49" s="947" t="s">
        <v>788</v>
      </c>
      <c r="B49" s="254" t="s">
        <v>131</v>
      </c>
      <c r="C49" s="276">
        <f ca="1">ROUND((C33+C39+C41+C45)/(1-C40-D41-D45-C48/(1+'数据-取费表'!B42)),0)</f>
        <v>1155</v>
      </c>
      <c r="D49" s="276"/>
      <c r="E49" s="276"/>
      <c r="F49" s="308"/>
      <c r="G49" s="278" t="s">
        <v>1070</v>
      </c>
    </row>
    <row r="50" spans="1:7" s="302" customFormat="1" ht="24">
      <c r="A50" s="947" t="s">
        <v>789</v>
      </c>
      <c r="B50" s="254" t="s">
        <v>124</v>
      </c>
      <c r="C50" s="276"/>
      <c r="D50" s="276"/>
      <c r="E50" s="276"/>
      <c r="F50" s="308">
        <f>IF('数据-取费表'!B24=0,'数据-取费表'!N16,1)</f>
        <v>0.93</v>
      </c>
      <c r="G50" s="291" t="s">
        <v>125</v>
      </c>
    </row>
    <row r="51" spans="1:7" ht="16.5" customHeight="1">
      <c r="A51" s="947" t="s">
        <v>790</v>
      </c>
      <c r="B51" s="254" t="s">
        <v>132</v>
      </c>
      <c r="C51" s="276">
        <f ca="1">ROUND(C49*F50,0)</f>
        <v>1074</v>
      </c>
      <c r="D51" s="276"/>
      <c r="E51" s="276"/>
      <c r="F51" s="308"/>
      <c r="G51" s="278" t="s">
        <v>64</v>
      </c>
    </row>
    <row r="52" spans="1:7" s="252" customFormat="1" ht="16.5" thickBot="1">
      <c r="A52" s="309" t="s">
        <v>65</v>
      </c>
      <c r="B52" s="310"/>
      <c r="C52" s="311">
        <f ca="1">C31+C51</f>
        <v>27718</v>
      </c>
      <c r="D52" s="310"/>
      <c r="E52" s="310"/>
      <c r="F52" s="310"/>
      <c r="G52" s="312"/>
    </row>
    <row r="55" spans="1:7" ht="15">
      <c r="B55" s="314" t="s">
        <v>66</v>
      </c>
      <c r="C55" s="315"/>
    </row>
    <row r="56" spans="1:7">
      <c r="B56" s="317" t="s">
        <v>67</v>
      </c>
      <c r="C56" s="318">
        <f ca="1">ROUND(C51/C52,3)</f>
        <v>3.9E-2</v>
      </c>
    </row>
    <row r="57" spans="1:7">
      <c r="B57" s="317" t="s">
        <v>68</v>
      </c>
      <c r="C57" s="319">
        <f ca="1">1-C56</f>
        <v>0.96099999999999997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55" t="s">
        <v>156</v>
      </c>
      <c r="B1" s="3355"/>
      <c r="C1" s="3355"/>
      <c r="D1" s="3355"/>
      <c r="E1" s="3355"/>
      <c r="F1" s="3355"/>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56" t="s">
        <v>169</v>
      </c>
      <c r="B2" s="3356"/>
      <c r="C2" s="3356"/>
      <c r="D2" s="3356"/>
      <c r="E2" s="3356"/>
      <c r="F2" s="3356"/>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57"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58"/>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55" t="s">
        <v>868</v>
      </c>
      <c r="B1" s="3355"/>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9" t="s">
        <v>875</v>
      </c>
      <c r="B5" s="840" t="s">
        <v>876</v>
      </c>
      <c r="C5" s="1060">
        <v>8.8999999999999996E-2</v>
      </c>
      <c r="D5" s="1060">
        <v>7.3999999999999996E-2</v>
      </c>
      <c r="E5" s="1060">
        <v>7.4999999999999997E-2</v>
      </c>
      <c r="F5" s="1061">
        <v>0.1</v>
      </c>
    </row>
    <row r="6" spans="1:6" ht="14.25" thickBot="1">
      <c r="A6" s="839" t="s">
        <v>212</v>
      </c>
      <c r="B6" s="833" t="s">
        <v>877</v>
      </c>
      <c r="C6" s="1062">
        <v>0.1</v>
      </c>
      <c r="D6" s="1062">
        <v>9.0999999999999998E-2</v>
      </c>
      <c r="E6" s="1062">
        <v>9.0999999999999998E-2</v>
      </c>
      <c r="F6" s="1063">
        <v>0.1</v>
      </c>
    </row>
    <row r="7" spans="1:6" ht="14.25" thickBot="1">
      <c r="A7" s="839" t="s">
        <v>212</v>
      </c>
      <c r="B7" s="843" t="s">
        <v>201</v>
      </c>
      <c r="C7" s="1062">
        <v>8.5999999999999993E-2</v>
      </c>
      <c r="D7" s="1062">
        <v>9.6000000000000002E-2</v>
      </c>
      <c r="E7" s="1062">
        <v>7.5999999999999998E-2</v>
      </c>
      <c r="F7" s="1063">
        <v>0.1</v>
      </c>
    </row>
    <row r="8" spans="1:6" ht="14.25" thickBot="1">
      <c r="A8" s="839" t="s">
        <v>212</v>
      </c>
      <c r="B8" s="833" t="s">
        <v>213</v>
      </c>
      <c r="C8" s="1062">
        <v>9.9000000000000005E-2</v>
      </c>
      <c r="D8" s="1062">
        <v>9.8000000000000004E-2</v>
      </c>
      <c r="E8" s="1062">
        <v>9.8000000000000004E-2</v>
      </c>
      <c r="F8" s="1063">
        <v>0.1</v>
      </c>
    </row>
    <row r="9" spans="1:6" ht="14.25" thickBot="1">
      <c r="A9" s="849" t="s">
        <v>212</v>
      </c>
      <c r="B9" s="844" t="s">
        <v>225</v>
      </c>
      <c r="C9" s="1064">
        <v>0.05</v>
      </c>
      <c r="D9" s="1072"/>
      <c r="E9" s="1072"/>
      <c r="F9" s="1073"/>
    </row>
    <row r="10" spans="1:6" ht="14.25" thickBot="1">
      <c r="A10" s="839" t="s">
        <v>269</v>
      </c>
      <c r="B10" s="840" t="s">
        <v>878</v>
      </c>
      <c r="C10" s="1060">
        <v>8.8999999999999996E-2</v>
      </c>
      <c r="D10" s="1060">
        <v>7.2999999999999995E-2</v>
      </c>
      <c r="E10" s="1060">
        <v>8.2000000000000003E-2</v>
      </c>
      <c r="F10" s="1061">
        <v>0.1</v>
      </c>
    </row>
    <row r="11" spans="1:6" ht="14.25" thickBot="1">
      <c r="A11" s="839" t="s">
        <v>269</v>
      </c>
      <c r="B11" s="843" t="s">
        <v>188</v>
      </c>
      <c r="C11" s="1062">
        <v>8.8999999999999996E-2</v>
      </c>
      <c r="D11" s="1062">
        <v>7.2999999999999995E-2</v>
      </c>
      <c r="E11" s="1062">
        <v>8.2000000000000003E-2</v>
      </c>
      <c r="F11" s="1063">
        <v>0.1</v>
      </c>
    </row>
    <row r="12" spans="1:6" ht="14.25" thickBot="1">
      <c r="A12" s="839" t="s">
        <v>269</v>
      </c>
      <c r="B12" s="843" t="s">
        <v>138</v>
      </c>
      <c r="C12" s="1062">
        <v>6.0999999999999999E-2</v>
      </c>
      <c r="D12" s="1062">
        <v>7.0999999999999994E-2</v>
      </c>
      <c r="E12" s="1062">
        <v>9.6000000000000002E-2</v>
      </c>
      <c r="F12" s="1063">
        <v>0.1</v>
      </c>
    </row>
    <row r="13" spans="1:6" ht="14.25" thickBot="1">
      <c r="A13" s="839" t="s">
        <v>269</v>
      </c>
      <c r="B13" s="843" t="s">
        <v>214</v>
      </c>
      <c r="C13" s="1062">
        <v>6.9000000000000006E-2</v>
      </c>
      <c r="D13" s="1062">
        <v>6.5000000000000002E-2</v>
      </c>
      <c r="E13" s="1062">
        <v>6.6000000000000003E-2</v>
      </c>
      <c r="F13" s="1063">
        <v>0.1</v>
      </c>
    </row>
    <row r="14" spans="1:6" ht="14.25" thickBot="1">
      <c r="A14" s="839" t="s">
        <v>269</v>
      </c>
      <c r="B14" s="843" t="s">
        <v>226</v>
      </c>
      <c r="C14" s="1062">
        <v>0.1</v>
      </c>
      <c r="D14" s="1062">
        <v>6.5000000000000002E-2</v>
      </c>
      <c r="E14" s="1062">
        <v>7.0000000000000007E-2</v>
      </c>
      <c r="F14" s="1063">
        <v>0.1</v>
      </c>
    </row>
    <row r="15" spans="1:6" ht="14.25" thickBot="1">
      <c r="A15" s="839" t="s">
        <v>269</v>
      </c>
      <c r="B15" s="843" t="s">
        <v>237</v>
      </c>
      <c r="C15" s="1062">
        <v>9.8000000000000004E-2</v>
      </c>
      <c r="D15" s="1062">
        <v>8.8999999999999996E-2</v>
      </c>
      <c r="E15" s="1062">
        <v>8.8999999999999996E-2</v>
      </c>
      <c r="F15" s="1063">
        <v>0.1</v>
      </c>
    </row>
    <row r="16" spans="1:6" ht="14.25" thickBot="1">
      <c r="A16" s="839" t="s">
        <v>269</v>
      </c>
      <c r="B16" s="843" t="s">
        <v>248</v>
      </c>
      <c r="C16" s="1062">
        <v>7.0000000000000007E-2</v>
      </c>
      <c r="D16" s="1062">
        <v>9.2999999999999999E-2</v>
      </c>
      <c r="E16" s="1062">
        <v>9.6000000000000002E-2</v>
      </c>
      <c r="F16" s="1063">
        <v>0.1</v>
      </c>
    </row>
    <row r="17" spans="1:6" ht="14.25" thickBot="1">
      <c r="A17" s="839" t="s">
        <v>269</v>
      </c>
      <c r="B17" s="843" t="s">
        <v>259</v>
      </c>
      <c r="C17" s="1062">
        <v>9.5000000000000001E-2</v>
      </c>
      <c r="D17" s="1062">
        <v>0.1</v>
      </c>
      <c r="E17" s="1062">
        <v>0.1</v>
      </c>
      <c r="F17" s="1074"/>
    </row>
    <row r="18" spans="1:6" ht="14.25" thickBot="1">
      <c r="A18" s="839" t="s">
        <v>269</v>
      </c>
      <c r="B18" s="843" t="s">
        <v>271</v>
      </c>
      <c r="C18" s="1062">
        <v>7.3999999999999996E-2</v>
      </c>
      <c r="D18" s="1062">
        <v>9.9000000000000005E-2</v>
      </c>
      <c r="E18" s="1062">
        <v>0.1</v>
      </c>
      <c r="F18" s="1074"/>
    </row>
    <row r="19" spans="1:6" ht="14.25" thickBot="1">
      <c r="A19" s="839" t="s">
        <v>269</v>
      </c>
      <c r="B19" s="843" t="s">
        <v>281</v>
      </c>
      <c r="C19" s="1062">
        <v>9.9000000000000005E-2</v>
      </c>
      <c r="D19" s="1062">
        <v>7.5999999999999998E-2</v>
      </c>
      <c r="E19" s="1062">
        <v>8.6999999999999994E-2</v>
      </c>
      <c r="F19" s="1074"/>
    </row>
    <row r="20" spans="1:6" ht="14.25" thickBot="1">
      <c r="A20" s="839" t="s">
        <v>269</v>
      </c>
      <c r="B20" s="843" t="s">
        <v>291</v>
      </c>
      <c r="C20" s="1062">
        <v>9.8000000000000004E-2</v>
      </c>
      <c r="D20" s="1062">
        <v>8.5000000000000006E-2</v>
      </c>
      <c r="E20" s="1062">
        <v>8.2000000000000003E-2</v>
      </c>
      <c r="F20" s="1074"/>
    </row>
    <row r="21" spans="1:6" ht="14.25" thickBot="1">
      <c r="A21" s="839" t="s">
        <v>269</v>
      </c>
      <c r="B21" s="843" t="s">
        <v>301</v>
      </c>
      <c r="C21" s="1062">
        <v>6.6000000000000003E-2</v>
      </c>
      <c r="D21" s="1062">
        <v>6.4000000000000001E-2</v>
      </c>
      <c r="E21" s="1062">
        <v>6.5000000000000002E-2</v>
      </c>
      <c r="F21" s="1074"/>
    </row>
    <row r="22" spans="1:6" ht="14.25" thickBot="1">
      <c r="A22" s="839" t="s">
        <v>269</v>
      </c>
      <c r="B22" s="843" t="s">
        <v>879</v>
      </c>
      <c r="C22" s="1062">
        <v>0.08</v>
      </c>
      <c r="D22" s="1062">
        <v>9.8000000000000004E-2</v>
      </c>
      <c r="E22" s="1062">
        <v>9.8000000000000004E-2</v>
      </c>
      <c r="F22" s="1074"/>
    </row>
    <row r="23" spans="1:6" ht="14.25" thickBot="1">
      <c r="A23" s="839" t="s">
        <v>269</v>
      </c>
      <c r="B23" s="843" t="s">
        <v>322</v>
      </c>
      <c r="C23" s="1062">
        <v>9.9000000000000005E-2</v>
      </c>
      <c r="D23" s="1062">
        <v>9.8000000000000004E-2</v>
      </c>
      <c r="E23" s="1062">
        <v>9.0999999999999998E-2</v>
      </c>
      <c r="F23" s="1074"/>
    </row>
    <row r="24" spans="1:6" ht="14.25" thickBot="1">
      <c r="A24" s="839" t="s">
        <v>269</v>
      </c>
      <c r="B24" s="843" t="s">
        <v>333</v>
      </c>
      <c r="C24" s="1062">
        <v>8.8999999999999996E-2</v>
      </c>
      <c r="D24" s="1062">
        <v>9.7000000000000003E-2</v>
      </c>
      <c r="E24" s="1062">
        <v>7.0000000000000007E-2</v>
      </c>
      <c r="F24" s="1074"/>
    </row>
    <row r="25" spans="1:6" ht="14.25" thickBot="1">
      <c r="A25" s="839" t="s">
        <v>269</v>
      </c>
      <c r="B25" s="843" t="s">
        <v>343</v>
      </c>
      <c r="C25" s="1062">
        <v>8.8999999999999996E-2</v>
      </c>
      <c r="D25" s="1062">
        <v>0.1</v>
      </c>
      <c r="E25" s="1062">
        <v>8.1000000000000003E-2</v>
      </c>
      <c r="F25" s="1074"/>
    </row>
    <row r="26" spans="1:6" ht="14.25" thickBot="1">
      <c r="A26" s="839" t="s">
        <v>269</v>
      </c>
      <c r="B26" s="843" t="s">
        <v>353</v>
      </c>
      <c r="C26" s="1075"/>
      <c r="D26" s="1062">
        <v>9.6000000000000002E-2</v>
      </c>
      <c r="E26" s="1062">
        <v>9.2999999999999999E-2</v>
      </c>
      <c r="F26" s="1074"/>
    </row>
    <row r="27" spans="1:6" ht="14.25" thickBot="1">
      <c r="A27" s="839" t="s">
        <v>269</v>
      </c>
      <c r="B27" s="843" t="s">
        <v>363</v>
      </c>
      <c r="C27" s="1075"/>
      <c r="D27" s="1062">
        <v>7.5999999999999998E-2</v>
      </c>
      <c r="E27" s="1062">
        <v>9.1999999999999998E-2</v>
      </c>
      <c r="F27" s="1074"/>
    </row>
    <row r="28" spans="1:6" ht="14.25" thickBot="1">
      <c r="A28" s="849" t="s">
        <v>269</v>
      </c>
      <c r="B28" s="844" t="s">
        <v>373</v>
      </c>
      <c r="C28" s="1072"/>
      <c r="D28" s="1064">
        <v>7.5999999999999998E-2</v>
      </c>
      <c r="E28" s="1064">
        <v>9.1999999999999998E-2</v>
      </c>
      <c r="F28" s="1073"/>
    </row>
    <row r="29" spans="1:6" ht="14.25" thickBot="1">
      <c r="A29" s="839" t="s">
        <v>442</v>
      </c>
      <c r="B29" s="840" t="s">
        <v>880</v>
      </c>
      <c r="C29" s="1060">
        <v>6.4000000000000001E-2</v>
      </c>
      <c r="D29" s="1060">
        <v>6.5000000000000002E-2</v>
      </c>
      <c r="E29" s="1060">
        <v>6.9000000000000006E-2</v>
      </c>
      <c r="F29" s="1061">
        <v>0.1</v>
      </c>
    </row>
    <row r="30" spans="1:6" ht="14.25" thickBot="1">
      <c r="A30" s="839" t="s">
        <v>442</v>
      </c>
      <c r="B30" s="843" t="s">
        <v>189</v>
      </c>
      <c r="C30" s="1062">
        <v>6.4000000000000001E-2</v>
      </c>
      <c r="D30" s="1062">
        <v>9.9000000000000005E-2</v>
      </c>
      <c r="E30" s="1062">
        <v>0.1</v>
      </c>
      <c r="F30" s="1063">
        <v>0.1</v>
      </c>
    </row>
    <row r="31" spans="1:6" ht="14.25" thickBot="1">
      <c r="A31" s="839" t="s">
        <v>442</v>
      </c>
      <c r="B31" s="843" t="s">
        <v>202</v>
      </c>
      <c r="C31" s="1062">
        <v>0.1</v>
      </c>
      <c r="D31" s="1062">
        <v>9.5000000000000001E-2</v>
      </c>
      <c r="E31" s="1062">
        <v>8.8999999999999996E-2</v>
      </c>
      <c r="F31" s="1063">
        <v>0.1</v>
      </c>
    </row>
    <row r="32" spans="1:6" ht="14.25" thickBot="1">
      <c r="A32" s="839" t="s">
        <v>442</v>
      </c>
      <c r="B32" s="843" t="s">
        <v>215</v>
      </c>
      <c r="C32" s="1062">
        <v>0.05</v>
      </c>
      <c r="D32" s="1062">
        <v>0.05</v>
      </c>
      <c r="E32" s="1062">
        <v>8.7999999999999995E-2</v>
      </c>
      <c r="F32" s="1063">
        <v>0.1</v>
      </c>
    </row>
    <row r="33" spans="1:6" ht="14.25" thickBot="1">
      <c r="A33" s="839" t="s">
        <v>442</v>
      </c>
      <c r="B33" s="843" t="s">
        <v>227</v>
      </c>
      <c r="C33" s="1062">
        <v>7.4999999999999997E-2</v>
      </c>
      <c r="D33" s="1062">
        <v>9.4E-2</v>
      </c>
      <c r="E33" s="1062">
        <v>9.7000000000000003E-2</v>
      </c>
      <c r="F33" s="1063">
        <v>0.1</v>
      </c>
    </row>
    <row r="34" spans="1:6" ht="14.25" thickBot="1">
      <c r="A34" s="839" t="s">
        <v>442</v>
      </c>
      <c r="B34" s="843" t="s">
        <v>238</v>
      </c>
      <c r="C34" s="1062">
        <v>9.8000000000000004E-2</v>
      </c>
      <c r="D34" s="1062">
        <v>8.5999999999999993E-2</v>
      </c>
      <c r="E34" s="1062">
        <v>9.7000000000000003E-2</v>
      </c>
      <c r="F34" s="1063">
        <v>0.1</v>
      </c>
    </row>
    <row r="35" spans="1:6" ht="14.25" thickBot="1">
      <c r="A35" s="839" t="s">
        <v>442</v>
      </c>
      <c r="B35" s="843" t="s">
        <v>249</v>
      </c>
      <c r="C35" s="1062">
        <v>5.8999999999999997E-2</v>
      </c>
      <c r="D35" s="1062">
        <v>6.5000000000000002E-2</v>
      </c>
      <c r="E35" s="1062">
        <v>7.0000000000000007E-2</v>
      </c>
      <c r="F35" s="1063">
        <v>0.1</v>
      </c>
    </row>
    <row r="36" spans="1:6" ht="14.25" thickBot="1">
      <c r="A36" s="839" t="s">
        <v>442</v>
      </c>
      <c r="B36" s="843" t="s">
        <v>260</v>
      </c>
      <c r="C36" s="1062">
        <v>6.3E-2</v>
      </c>
      <c r="D36" s="1062">
        <v>0.1</v>
      </c>
      <c r="E36" s="1062">
        <v>0.1</v>
      </c>
      <c r="F36" s="1063">
        <v>0.1</v>
      </c>
    </row>
    <row r="37" spans="1:6" ht="14.25" thickBot="1">
      <c r="A37" s="839" t="s">
        <v>442</v>
      </c>
      <c r="B37" s="843" t="s">
        <v>272</v>
      </c>
      <c r="C37" s="1062">
        <v>7.3999999999999996E-2</v>
      </c>
      <c r="D37" s="1062">
        <v>0.1</v>
      </c>
      <c r="E37" s="1062">
        <v>0.1</v>
      </c>
      <c r="F37" s="1063">
        <v>0.1</v>
      </c>
    </row>
    <row r="38" spans="1:6" ht="14.25" thickBot="1">
      <c r="A38" s="839" t="s">
        <v>442</v>
      </c>
      <c r="B38" s="843" t="s">
        <v>282</v>
      </c>
      <c r="C38" s="1062">
        <v>0.1</v>
      </c>
      <c r="D38" s="1062">
        <v>9.6000000000000002E-2</v>
      </c>
      <c r="E38" s="1062">
        <v>9.6000000000000002E-2</v>
      </c>
      <c r="F38" s="1074"/>
    </row>
    <row r="39" spans="1:6" ht="14.25" thickBot="1">
      <c r="A39" s="839" t="s">
        <v>442</v>
      </c>
      <c r="B39" s="843" t="s">
        <v>292</v>
      </c>
      <c r="C39" s="1062">
        <v>0.1</v>
      </c>
      <c r="D39" s="1062">
        <v>9.6000000000000002E-2</v>
      </c>
      <c r="E39" s="1062">
        <v>9.6000000000000002E-2</v>
      </c>
      <c r="F39" s="1074"/>
    </row>
    <row r="40" spans="1:6" ht="14.25" thickBot="1">
      <c r="A40" s="839" t="s">
        <v>442</v>
      </c>
      <c r="B40" s="843" t="s">
        <v>302</v>
      </c>
      <c r="C40" s="1062">
        <v>9.6000000000000002E-2</v>
      </c>
      <c r="D40" s="1062">
        <v>0.1</v>
      </c>
      <c r="E40" s="1062">
        <v>9.9000000000000005E-2</v>
      </c>
      <c r="F40" s="1074"/>
    </row>
    <row r="41" spans="1:6" ht="14.25" thickBot="1">
      <c r="A41" s="839" t="s">
        <v>442</v>
      </c>
      <c r="B41" s="843" t="s">
        <v>312</v>
      </c>
      <c r="C41" s="1062">
        <v>9.6000000000000002E-2</v>
      </c>
      <c r="D41" s="1062">
        <v>9.8000000000000004E-2</v>
      </c>
      <c r="E41" s="1062">
        <v>9.8000000000000004E-2</v>
      </c>
      <c r="F41" s="1074"/>
    </row>
    <row r="42" spans="1:6" ht="14.25" thickBot="1">
      <c r="A42" s="839" t="s">
        <v>442</v>
      </c>
      <c r="B42" s="843" t="s">
        <v>323</v>
      </c>
      <c r="C42" s="1062">
        <v>0.1</v>
      </c>
      <c r="D42" s="1062">
        <v>8.7999999999999995E-2</v>
      </c>
      <c r="E42" s="1062">
        <v>0.1</v>
      </c>
      <c r="F42" s="1074"/>
    </row>
    <row r="43" spans="1:6" ht="14.25" thickBot="1">
      <c r="A43" s="839" t="s">
        <v>442</v>
      </c>
      <c r="B43" s="843" t="s">
        <v>334</v>
      </c>
      <c r="C43" s="1062">
        <v>9.8000000000000004E-2</v>
      </c>
      <c r="D43" s="1062">
        <v>9.7000000000000003E-2</v>
      </c>
      <c r="E43" s="1062">
        <v>9.6000000000000002E-2</v>
      </c>
      <c r="F43" s="1074"/>
    </row>
    <row r="44" spans="1:6" ht="14.25" thickBot="1">
      <c r="A44" s="839" t="s">
        <v>442</v>
      </c>
      <c r="B44" s="843" t="s">
        <v>344</v>
      </c>
      <c r="C44" s="1062">
        <v>8.5999999999999993E-2</v>
      </c>
      <c r="D44" s="1062">
        <v>7.9000000000000001E-2</v>
      </c>
      <c r="E44" s="1062">
        <v>7.0999999999999994E-2</v>
      </c>
      <c r="F44" s="1074"/>
    </row>
    <row r="45" spans="1:6" ht="14.25" thickBot="1">
      <c r="A45" s="839" t="s">
        <v>442</v>
      </c>
      <c r="B45" s="843" t="s">
        <v>354</v>
      </c>
      <c r="C45" s="1062">
        <v>9.8000000000000004E-2</v>
      </c>
      <c r="D45" s="1062">
        <v>9.6000000000000002E-2</v>
      </c>
      <c r="E45" s="1062">
        <v>9.6000000000000002E-2</v>
      </c>
      <c r="F45" s="1074"/>
    </row>
    <row r="46" spans="1:6" ht="14.25" thickBot="1">
      <c r="A46" s="839" t="s">
        <v>442</v>
      </c>
      <c r="B46" s="843" t="s">
        <v>364</v>
      </c>
      <c r="C46" s="1062">
        <v>8.5999999999999993E-2</v>
      </c>
      <c r="D46" s="1062">
        <v>9.8000000000000004E-2</v>
      </c>
      <c r="E46" s="1062">
        <v>8.7999999999999995E-2</v>
      </c>
      <c r="F46" s="1074"/>
    </row>
    <row r="47" spans="1:6" ht="14.25" thickBot="1">
      <c r="A47" s="839" t="s">
        <v>442</v>
      </c>
      <c r="B47" s="843" t="s">
        <v>374</v>
      </c>
      <c r="C47" s="1062">
        <v>9.6000000000000002E-2</v>
      </c>
      <c r="D47" s="1075"/>
      <c r="E47" s="1062">
        <v>6.9000000000000006E-2</v>
      </c>
      <c r="F47" s="1074"/>
    </row>
    <row r="48" spans="1:6" ht="14.25" thickBot="1">
      <c r="A48" s="849" t="s">
        <v>442</v>
      </c>
      <c r="B48" s="844" t="s">
        <v>383</v>
      </c>
      <c r="C48" s="1064">
        <v>9.8000000000000004E-2</v>
      </c>
      <c r="D48" s="1072"/>
      <c r="E48" s="1064">
        <v>9.5000000000000001E-2</v>
      </c>
      <c r="F48" s="1073"/>
    </row>
    <row r="49" spans="1:6" ht="14.25" thickBot="1">
      <c r="A49" s="839" t="s">
        <v>137</v>
      </c>
      <c r="B49" s="840" t="s">
        <v>881</v>
      </c>
      <c r="C49" s="1060">
        <v>9.7000000000000003E-2</v>
      </c>
      <c r="D49" s="1060">
        <v>9.5000000000000001E-2</v>
      </c>
      <c r="E49" s="1060">
        <v>9.7000000000000003E-2</v>
      </c>
      <c r="F49" s="1061">
        <v>0.1</v>
      </c>
    </row>
    <row r="50" spans="1:6" ht="14.25" thickBot="1">
      <c r="A50" s="839" t="s">
        <v>137</v>
      </c>
      <c r="B50" s="833" t="s">
        <v>190</v>
      </c>
      <c r="C50" s="1062">
        <v>7.4999999999999997E-2</v>
      </c>
      <c r="D50" s="1062">
        <v>9.5000000000000001E-2</v>
      </c>
      <c r="E50" s="1062">
        <v>0.1</v>
      </c>
      <c r="F50" s="1063">
        <v>0.1</v>
      </c>
    </row>
    <row r="51" spans="1:6" ht="14.25" thickBot="1">
      <c r="A51" s="839" t="s">
        <v>137</v>
      </c>
      <c r="B51" s="833" t="s">
        <v>203</v>
      </c>
      <c r="C51" s="1062">
        <v>9.8000000000000004E-2</v>
      </c>
      <c r="D51" s="1062">
        <v>8.8999999999999996E-2</v>
      </c>
      <c r="E51" s="1062">
        <v>0.1</v>
      </c>
      <c r="F51" s="1063">
        <v>0.1</v>
      </c>
    </row>
    <row r="52" spans="1:6" ht="14.25" thickBot="1">
      <c r="A52" s="839" t="s">
        <v>137</v>
      </c>
      <c r="B52" s="833" t="s">
        <v>216</v>
      </c>
      <c r="C52" s="1062">
        <v>9.8000000000000004E-2</v>
      </c>
      <c r="D52" s="1062">
        <v>9.7000000000000003E-2</v>
      </c>
      <c r="E52" s="1062">
        <v>8.1000000000000003E-2</v>
      </c>
      <c r="F52" s="1063">
        <v>0.1</v>
      </c>
    </row>
    <row r="53" spans="1:6" ht="14.25" thickBot="1">
      <c r="A53" s="839" t="s">
        <v>137</v>
      </c>
      <c r="B53" s="833" t="s">
        <v>228</v>
      </c>
      <c r="C53" s="1062">
        <v>9.7000000000000003E-2</v>
      </c>
      <c r="D53" s="1062">
        <v>7.5999999999999998E-2</v>
      </c>
      <c r="E53" s="1062">
        <v>7.0999999999999994E-2</v>
      </c>
      <c r="F53" s="1063">
        <v>0.1</v>
      </c>
    </row>
    <row r="54" spans="1:6" ht="14.25" thickBot="1">
      <c r="A54" s="839" t="s">
        <v>137</v>
      </c>
      <c r="B54" s="833" t="s">
        <v>239</v>
      </c>
      <c r="C54" s="1062">
        <v>7.5999999999999998E-2</v>
      </c>
      <c r="D54" s="1062">
        <v>0.1</v>
      </c>
      <c r="E54" s="1062">
        <v>9.9000000000000005E-2</v>
      </c>
      <c r="F54" s="1063">
        <v>0.1</v>
      </c>
    </row>
    <row r="55" spans="1:6" ht="14.25" thickBot="1">
      <c r="A55" s="839" t="s">
        <v>137</v>
      </c>
      <c r="B55" s="833" t="s">
        <v>250</v>
      </c>
      <c r="C55" s="1062">
        <v>0.1</v>
      </c>
      <c r="D55" s="1062">
        <v>0.1</v>
      </c>
      <c r="E55" s="1062">
        <v>9.6000000000000002E-2</v>
      </c>
      <c r="F55" s="1063">
        <v>0.1</v>
      </c>
    </row>
    <row r="56" spans="1:6" ht="14.25" thickBot="1">
      <c r="A56" s="839" t="s">
        <v>137</v>
      </c>
      <c r="B56" s="833" t="s">
        <v>261</v>
      </c>
      <c r="C56" s="1062">
        <v>0.1</v>
      </c>
      <c r="D56" s="1062">
        <v>9.6000000000000002E-2</v>
      </c>
      <c r="E56" s="1062">
        <v>5.1999999999999998E-2</v>
      </c>
      <c r="F56" s="1063">
        <v>0.1</v>
      </c>
    </row>
    <row r="57" spans="1:6" ht="14.25" thickBot="1">
      <c r="A57" s="839" t="s">
        <v>137</v>
      </c>
      <c r="B57" s="833" t="s">
        <v>273</v>
      </c>
      <c r="C57" s="1062">
        <v>9.7000000000000003E-2</v>
      </c>
      <c r="D57" s="1062">
        <v>9.6000000000000002E-2</v>
      </c>
      <c r="E57" s="1062">
        <v>9.6000000000000002E-2</v>
      </c>
      <c r="F57" s="1063">
        <v>0.1</v>
      </c>
    </row>
    <row r="58" spans="1:6" ht="14.25" thickBot="1">
      <c r="A58" s="839" t="s">
        <v>137</v>
      </c>
      <c r="B58" s="833" t="s">
        <v>283</v>
      </c>
      <c r="C58" s="1062">
        <v>9.6000000000000002E-2</v>
      </c>
      <c r="D58" s="1062">
        <v>9.9000000000000005E-2</v>
      </c>
      <c r="E58" s="1062">
        <v>9.6000000000000002E-2</v>
      </c>
      <c r="F58" s="1063">
        <v>0.1</v>
      </c>
    </row>
    <row r="59" spans="1:6" ht="14.25" thickBot="1">
      <c r="A59" s="839" t="s">
        <v>137</v>
      </c>
      <c r="B59" s="833" t="s">
        <v>293</v>
      </c>
      <c r="C59" s="1062">
        <v>7.1999999999999995E-2</v>
      </c>
      <c r="D59" s="1062">
        <v>9.6000000000000002E-2</v>
      </c>
      <c r="E59" s="1062">
        <v>7.0999999999999994E-2</v>
      </c>
      <c r="F59" s="1063">
        <v>0.1</v>
      </c>
    </row>
    <row r="60" spans="1:6" ht="14.25" thickBot="1">
      <c r="A60" s="839" t="s">
        <v>137</v>
      </c>
      <c r="B60" s="833" t="s">
        <v>303</v>
      </c>
      <c r="C60" s="1062">
        <v>9.6000000000000002E-2</v>
      </c>
      <c r="D60" s="1062">
        <v>8.8999999999999996E-2</v>
      </c>
      <c r="E60" s="1062">
        <v>9.6000000000000002E-2</v>
      </c>
      <c r="F60" s="1063">
        <v>0.1</v>
      </c>
    </row>
    <row r="61" spans="1:6" ht="14.25" thickBot="1">
      <c r="A61" s="839" t="s">
        <v>137</v>
      </c>
      <c r="B61" s="833" t="s">
        <v>313</v>
      </c>
      <c r="C61" s="1062">
        <v>8.8999999999999996E-2</v>
      </c>
      <c r="D61" s="1062">
        <v>9.8000000000000004E-2</v>
      </c>
      <c r="E61" s="1062">
        <v>8.7999999999999995E-2</v>
      </c>
      <c r="F61" s="1074"/>
    </row>
    <row r="62" spans="1:6" ht="14.25" thickBot="1">
      <c r="A62" s="839" t="s">
        <v>137</v>
      </c>
      <c r="B62" s="833" t="s">
        <v>324</v>
      </c>
      <c r="C62" s="1062">
        <v>9.8000000000000004E-2</v>
      </c>
      <c r="D62" s="1062">
        <v>9.2999999999999999E-2</v>
      </c>
      <c r="E62" s="1062">
        <v>9.7000000000000003E-2</v>
      </c>
      <c r="F62" s="1074"/>
    </row>
    <row r="63" spans="1:6" ht="14.25" thickBot="1">
      <c r="A63" s="839" t="s">
        <v>137</v>
      </c>
      <c r="B63" s="833" t="s">
        <v>335</v>
      </c>
      <c r="C63" s="1062">
        <v>9.6000000000000002E-2</v>
      </c>
      <c r="D63" s="1062">
        <v>9.8000000000000004E-2</v>
      </c>
      <c r="E63" s="1062">
        <v>0.09</v>
      </c>
      <c r="F63" s="1074"/>
    </row>
    <row r="64" spans="1:6" ht="14.25" thickBot="1">
      <c r="A64" s="839" t="s">
        <v>137</v>
      </c>
      <c r="B64" s="833" t="s">
        <v>345</v>
      </c>
      <c r="C64" s="1062">
        <v>9.9000000000000005E-2</v>
      </c>
      <c r="D64" s="1062">
        <v>9.7000000000000003E-2</v>
      </c>
      <c r="E64" s="1062">
        <v>9.9000000000000005E-2</v>
      </c>
      <c r="F64" s="1074"/>
    </row>
    <row r="65" spans="1:6" ht="14.25" thickBot="1">
      <c r="A65" s="839" t="s">
        <v>137</v>
      </c>
      <c r="B65" s="833" t="s">
        <v>355</v>
      </c>
      <c r="C65" s="1062">
        <v>9.8000000000000004E-2</v>
      </c>
      <c r="D65" s="1062">
        <v>9.6000000000000002E-2</v>
      </c>
      <c r="E65" s="1062">
        <v>9.6000000000000002E-2</v>
      </c>
      <c r="F65" s="1074"/>
    </row>
    <row r="66" spans="1:6" ht="14.25" thickBot="1">
      <c r="A66" s="839" t="s">
        <v>137</v>
      </c>
      <c r="B66" s="833" t="s">
        <v>365</v>
      </c>
      <c r="C66" s="1062">
        <v>9.6000000000000002E-2</v>
      </c>
      <c r="D66" s="1062">
        <v>9.1999999999999998E-2</v>
      </c>
      <c r="E66" s="1062">
        <v>9.6000000000000002E-2</v>
      </c>
      <c r="F66" s="1074"/>
    </row>
    <row r="67" spans="1:6" ht="14.25" thickBot="1">
      <c r="A67" s="839" t="s">
        <v>137</v>
      </c>
      <c r="B67" s="833" t="s">
        <v>375</v>
      </c>
      <c r="C67" s="1062">
        <v>9.4E-2</v>
      </c>
      <c r="D67" s="1062">
        <v>0.1</v>
      </c>
      <c r="E67" s="1062">
        <v>8.7999999999999995E-2</v>
      </c>
      <c r="F67" s="1074"/>
    </row>
    <row r="68" spans="1:6" ht="14.25" thickBot="1">
      <c r="A68" s="839" t="s">
        <v>137</v>
      </c>
      <c r="B68" s="833" t="s">
        <v>384</v>
      </c>
      <c r="C68" s="1062">
        <v>0.1</v>
      </c>
      <c r="D68" s="1062">
        <v>8.7999999999999995E-2</v>
      </c>
      <c r="E68" s="1062">
        <v>9.7000000000000003E-2</v>
      </c>
      <c r="F68" s="1074"/>
    </row>
    <row r="69" spans="1:6" ht="14.25" thickBot="1">
      <c r="A69" s="839" t="s">
        <v>137</v>
      </c>
      <c r="B69" s="833" t="s">
        <v>393</v>
      </c>
      <c r="C69" s="1062">
        <v>6.4000000000000001E-2</v>
      </c>
      <c r="D69" s="1062">
        <v>0.1</v>
      </c>
      <c r="E69" s="1062">
        <v>0.1</v>
      </c>
      <c r="F69" s="1074"/>
    </row>
    <row r="70" spans="1:6" ht="14.25" thickBot="1">
      <c r="A70" s="839" t="s">
        <v>137</v>
      </c>
      <c r="B70" s="833" t="s">
        <v>401</v>
      </c>
      <c r="C70" s="1062">
        <v>9.0999999999999998E-2</v>
      </c>
      <c r="D70" s="1075"/>
      <c r="E70" s="1075"/>
      <c r="F70" s="1074"/>
    </row>
    <row r="71" spans="1:6" ht="14.25" thickBot="1">
      <c r="A71" s="839" t="s">
        <v>137</v>
      </c>
      <c r="B71" s="833" t="s">
        <v>408</v>
      </c>
      <c r="C71" s="1062">
        <v>0.1</v>
      </c>
      <c r="D71" s="1075"/>
      <c r="E71" s="1075"/>
      <c r="F71" s="1074"/>
    </row>
    <row r="72" spans="1:6" ht="14.25" thickBot="1">
      <c r="A72" s="839" t="s">
        <v>137</v>
      </c>
      <c r="B72" s="833" t="s">
        <v>882</v>
      </c>
      <c r="C72" s="1075"/>
      <c r="D72" s="1075"/>
      <c r="E72" s="1075"/>
      <c r="F72" s="1063">
        <v>0.05</v>
      </c>
    </row>
    <row r="73" spans="1:6" ht="14.25" thickBot="1">
      <c r="A73" s="839" t="s">
        <v>137</v>
      </c>
      <c r="B73" s="833" t="s">
        <v>883</v>
      </c>
      <c r="C73" s="1075"/>
      <c r="D73" s="1075"/>
      <c r="E73" s="1075"/>
      <c r="F73" s="1063">
        <v>0.05</v>
      </c>
    </row>
    <row r="74" spans="1:6" ht="14.25" thickBot="1">
      <c r="A74" s="839" t="s">
        <v>137</v>
      </c>
      <c r="B74" s="833" t="s">
        <v>884</v>
      </c>
      <c r="C74" s="1075"/>
      <c r="D74" s="1075"/>
      <c r="E74" s="1075"/>
      <c r="F74" s="1063">
        <v>0.05</v>
      </c>
    </row>
    <row r="75" spans="1:6" ht="14.25" thickBot="1">
      <c r="A75" s="849" t="s">
        <v>137</v>
      </c>
      <c r="B75" s="845" t="s">
        <v>885</v>
      </c>
      <c r="C75" s="1072"/>
      <c r="D75" s="1072"/>
      <c r="E75" s="1072"/>
      <c r="F75" s="1065">
        <v>0.05</v>
      </c>
    </row>
    <row r="76" spans="1:6" ht="14.25" thickBot="1">
      <c r="A76" s="839" t="s">
        <v>523</v>
      </c>
      <c r="B76" s="840" t="s">
        <v>886</v>
      </c>
      <c r="C76" s="1060">
        <v>0.1</v>
      </c>
      <c r="D76" s="1060">
        <v>0.1</v>
      </c>
      <c r="E76" s="1060">
        <v>0.1</v>
      </c>
      <c r="F76" s="1061">
        <v>0.1</v>
      </c>
    </row>
    <row r="77" spans="1:6" ht="14.25" thickBot="1">
      <c r="A77" s="839" t="s">
        <v>523</v>
      </c>
      <c r="B77" s="833" t="s">
        <v>191</v>
      </c>
      <c r="C77" s="1062">
        <v>8.7999999999999995E-2</v>
      </c>
      <c r="D77" s="1062">
        <v>8.6999999999999994E-2</v>
      </c>
      <c r="E77" s="1062">
        <v>7.9000000000000001E-2</v>
      </c>
      <c r="F77" s="1063">
        <v>0.1</v>
      </c>
    </row>
    <row r="78" spans="1:6" ht="14.25" thickBot="1">
      <c r="A78" s="839" t="s">
        <v>523</v>
      </c>
      <c r="B78" s="833" t="s">
        <v>204</v>
      </c>
      <c r="C78" s="1062">
        <v>8.6999999999999994E-2</v>
      </c>
      <c r="D78" s="1062">
        <v>8.4000000000000005E-2</v>
      </c>
      <c r="E78" s="1062">
        <v>9.6000000000000002E-2</v>
      </c>
      <c r="F78" s="1063">
        <v>0.1</v>
      </c>
    </row>
    <row r="79" spans="1:6" ht="14.25" thickBot="1">
      <c r="A79" s="839" t="s">
        <v>523</v>
      </c>
      <c r="B79" s="833" t="s">
        <v>217</v>
      </c>
      <c r="C79" s="1062">
        <v>9.8000000000000004E-2</v>
      </c>
      <c r="D79" s="1062">
        <v>9.8000000000000004E-2</v>
      </c>
      <c r="E79" s="1062">
        <v>9.0999999999999998E-2</v>
      </c>
      <c r="F79" s="1063">
        <v>0.1</v>
      </c>
    </row>
    <row r="80" spans="1:6" ht="14.25" thickBot="1">
      <c r="A80" s="839" t="s">
        <v>523</v>
      </c>
      <c r="B80" s="833" t="s">
        <v>229</v>
      </c>
      <c r="C80" s="1062">
        <v>9.6000000000000002E-2</v>
      </c>
      <c r="D80" s="1062">
        <v>9.6000000000000002E-2</v>
      </c>
      <c r="E80" s="1062">
        <v>0.1</v>
      </c>
      <c r="F80" s="1063">
        <v>0.1</v>
      </c>
    </row>
    <row r="81" spans="1:6" ht="14.25" thickBot="1">
      <c r="A81" s="839" t="s">
        <v>523</v>
      </c>
      <c r="B81" s="833" t="s">
        <v>240</v>
      </c>
      <c r="C81" s="1062">
        <v>9.9000000000000005E-2</v>
      </c>
      <c r="D81" s="1062">
        <v>9.9000000000000005E-2</v>
      </c>
      <c r="E81" s="1062">
        <v>9.8000000000000004E-2</v>
      </c>
      <c r="F81" s="1063">
        <v>0.1</v>
      </c>
    </row>
    <row r="82" spans="1:6" ht="14.25" thickBot="1">
      <c r="A82" s="839" t="s">
        <v>523</v>
      </c>
      <c r="B82" s="833" t="s">
        <v>251</v>
      </c>
      <c r="C82" s="1062">
        <v>9.9000000000000005E-2</v>
      </c>
      <c r="D82" s="1062">
        <v>9.9000000000000005E-2</v>
      </c>
      <c r="E82" s="1062">
        <v>9.7000000000000003E-2</v>
      </c>
      <c r="F82" s="1063">
        <v>0.1</v>
      </c>
    </row>
    <row r="83" spans="1:6" ht="14.25" thickBot="1">
      <c r="A83" s="839" t="s">
        <v>523</v>
      </c>
      <c r="B83" s="833" t="s">
        <v>262</v>
      </c>
      <c r="C83" s="1062">
        <v>9.8000000000000004E-2</v>
      </c>
      <c r="D83" s="1062">
        <v>9.8000000000000004E-2</v>
      </c>
      <c r="E83" s="1062">
        <v>9.8000000000000004E-2</v>
      </c>
      <c r="F83" s="1063">
        <v>0.1</v>
      </c>
    </row>
    <row r="84" spans="1:6" ht="14.25" thickBot="1">
      <c r="A84" s="839" t="s">
        <v>523</v>
      </c>
      <c r="B84" s="833" t="s">
        <v>274</v>
      </c>
      <c r="C84" s="1062">
        <v>9.9000000000000005E-2</v>
      </c>
      <c r="D84" s="1062">
        <v>9.9000000000000005E-2</v>
      </c>
      <c r="E84" s="1062">
        <v>9.9000000000000005E-2</v>
      </c>
      <c r="F84" s="1063">
        <v>0.1</v>
      </c>
    </row>
    <row r="85" spans="1:6" ht="14.25" thickBot="1">
      <c r="A85" s="839" t="s">
        <v>523</v>
      </c>
      <c r="B85" s="833" t="s">
        <v>284</v>
      </c>
      <c r="C85" s="1062">
        <v>9.9000000000000005E-2</v>
      </c>
      <c r="D85" s="1062">
        <v>9.9000000000000005E-2</v>
      </c>
      <c r="E85" s="1062">
        <v>9.9000000000000005E-2</v>
      </c>
      <c r="F85" s="1063">
        <v>0.1</v>
      </c>
    </row>
    <row r="86" spans="1:6" ht="14.25" thickBot="1">
      <c r="A86" s="839" t="s">
        <v>523</v>
      </c>
      <c r="B86" s="833" t="s">
        <v>294</v>
      </c>
      <c r="C86" s="1062">
        <v>0.1</v>
      </c>
      <c r="D86" s="1062">
        <v>0.1</v>
      </c>
      <c r="E86" s="1062">
        <v>7.6999999999999999E-2</v>
      </c>
      <c r="F86" s="1063">
        <v>0.1</v>
      </c>
    </row>
    <row r="87" spans="1:6" ht="14.25" thickBot="1">
      <c r="A87" s="839" t="s">
        <v>523</v>
      </c>
      <c r="B87" s="833" t="s">
        <v>304</v>
      </c>
      <c r="C87" s="1062">
        <v>0.1</v>
      </c>
      <c r="D87" s="1062">
        <v>0.1</v>
      </c>
      <c r="E87" s="1062">
        <v>9.8000000000000004E-2</v>
      </c>
      <c r="F87" s="1074"/>
    </row>
    <row r="88" spans="1:6" ht="14.25" thickBot="1">
      <c r="A88" s="839" t="s">
        <v>523</v>
      </c>
      <c r="B88" s="833" t="s">
        <v>314</v>
      </c>
      <c r="C88" s="1062">
        <v>9.1999999999999998E-2</v>
      </c>
      <c r="D88" s="1062">
        <v>8.5000000000000006E-2</v>
      </c>
      <c r="E88" s="1062">
        <v>9.6000000000000002E-2</v>
      </c>
      <c r="F88" s="1074"/>
    </row>
    <row r="89" spans="1:6" ht="14.25" thickBot="1">
      <c r="A89" s="839" t="s">
        <v>523</v>
      </c>
      <c r="B89" s="833" t="s">
        <v>325</v>
      </c>
      <c r="C89" s="1062">
        <v>0.1</v>
      </c>
      <c r="D89" s="1062">
        <v>0.1</v>
      </c>
      <c r="E89" s="1062">
        <v>9.7000000000000003E-2</v>
      </c>
      <c r="F89" s="1074"/>
    </row>
    <row r="90" spans="1:6" ht="14.25" thickBot="1">
      <c r="A90" s="839" t="s">
        <v>523</v>
      </c>
      <c r="B90" s="833" t="s">
        <v>336</v>
      </c>
      <c r="C90" s="1062">
        <v>9.8000000000000004E-2</v>
      </c>
      <c r="D90" s="1062">
        <v>9.8000000000000004E-2</v>
      </c>
      <c r="E90" s="1062">
        <v>8.7999999999999995E-2</v>
      </c>
      <c r="F90" s="1074"/>
    </row>
    <row r="91" spans="1:6" ht="14.25" thickBot="1">
      <c r="A91" s="839" t="s">
        <v>523</v>
      </c>
      <c r="B91" s="833" t="s">
        <v>346</v>
      </c>
      <c r="C91" s="1062">
        <v>9.9000000000000005E-2</v>
      </c>
      <c r="D91" s="1062">
        <v>9.9000000000000005E-2</v>
      </c>
      <c r="E91" s="1062">
        <v>9.0999999999999998E-2</v>
      </c>
      <c r="F91" s="1074"/>
    </row>
    <row r="92" spans="1:6" ht="14.25" thickBot="1">
      <c r="A92" s="839" t="s">
        <v>523</v>
      </c>
      <c r="B92" s="833" t="s">
        <v>356</v>
      </c>
      <c r="C92" s="1062">
        <v>9.6000000000000002E-2</v>
      </c>
      <c r="D92" s="1062">
        <v>9.6000000000000002E-2</v>
      </c>
      <c r="E92" s="1062">
        <v>7.2999999999999995E-2</v>
      </c>
      <c r="F92" s="1074"/>
    </row>
    <row r="93" spans="1:6" ht="14.25" thickBot="1">
      <c r="A93" s="839" t="s">
        <v>523</v>
      </c>
      <c r="B93" s="833" t="s">
        <v>366</v>
      </c>
      <c r="C93" s="1062">
        <v>9.6000000000000002E-2</v>
      </c>
      <c r="D93" s="1062">
        <v>9.6000000000000002E-2</v>
      </c>
      <c r="E93" s="1062">
        <v>9.9000000000000005E-2</v>
      </c>
      <c r="F93" s="1074"/>
    </row>
    <row r="94" spans="1:6" ht="14.25" thickBot="1">
      <c r="A94" s="839" t="s">
        <v>523</v>
      </c>
      <c r="B94" s="833" t="s">
        <v>376</v>
      </c>
      <c r="C94" s="1062">
        <v>7.5999999999999998E-2</v>
      </c>
      <c r="D94" s="1062">
        <v>7.3999999999999996E-2</v>
      </c>
      <c r="E94" s="1062">
        <v>9.7000000000000003E-2</v>
      </c>
      <c r="F94" s="1074"/>
    </row>
    <row r="95" spans="1:6" ht="14.25" thickBot="1">
      <c r="A95" s="839" t="s">
        <v>523</v>
      </c>
      <c r="B95" s="833" t="s">
        <v>385</v>
      </c>
      <c r="C95" s="1062">
        <v>9.9000000000000005E-2</v>
      </c>
      <c r="D95" s="1062">
        <v>9.4E-2</v>
      </c>
      <c r="E95" s="1062">
        <v>9.6000000000000002E-2</v>
      </c>
      <c r="F95" s="1074"/>
    </row>
    <row r="96" spans="1:6" ht="14.25" thickBot="1">
      <c r="A96" s="839" t="s">
        <v>523</v>
      </c>
      <c r="B96" s="833" t="s">
        <v>394</v>
      </c>
      <c r="C96" s="1062">
        <v>9.9000000000000005E-2</v>
      </c>
      <c r="D96" s="1062">
        <v>9.9000000000000005E-2</v>
      </c>
      <c r="E96" s="1062">
        <v>9.9000000000000005E-2</v>
      </c>
      <c r="F96" s="1074"/>
    </row>
    <row r="97" spans="1:6" ht="14.25" thickBot="1">
      <c r="A97" s="839" t="s">
        <v>523</v>
      </c>
      <c r="B97" s="833" t="s">
        <v>402</v>
      </c>
      <c r="C97" s="1062">
        <v>9.8000000000000004E-2</v>
      </c>
      <c r="D97" s="1062">
        <v>9.8000000000000004E-2</v>
      </c>
      <c r="E97" s="1062">
        <v>9.7000000000000003E-2</v>
      </c>
      <c r="F97" s="1074"/>
    </row>
    <row r="98" spans="1:6" ht="14.25" thickBot="1">
      <c r="A98" s="839" t="s">
        <v>523</v>
      </c>
      <c r="B98" s="833" t="s">
        <v>409</v>
      </c>
      <c r="C98" s="1062">
        <v>0.1</v>
      </c>
      <c r="D98" s="1062">
        <v>0.1</v>
      </c>
      <c r="E98" s="1062">
        <v>9.7000000000000003E-2</v>
      </c>
      <c r="F98" s="1074"/>
    </row>
    <row r="99" spans="1:6" ht="14.25" thickBot="1">
      <c r="A99" s="839" t="s">
        <v>523</v>
      </c>
      <c r="B99" s="833" t="s">
        <v>416</v>
      </c>
      <c r="C99" s="1062">
        <v>0.1</v>
      </c>
      <c r="D99" s="1062">
        <v>0.1</v>
      </c>
      <c r="E99" s="1075"/>
      <c r="F99" s="1074"/>
    </row>
    <row r="100" spans="1:6" ht="14.25" thickBot="1">
      <c r="A100" s="839" t="s">
        <v>523</v>
      </c>
      <c r="B100" s="833" t="s">
        <v>423</v>
      </c>
      <c r="C100" s="1062">
        <v>0.09</v>
      </c>
      <c r="D100" s="1062">
        <v>8.8999999999999996E-2</v>
      </c>
      <c r="E100" s="1075"/>
      <c r="F100" s="1074"/>
    </row>
    <row r="101" spans="1:6" ht="14.25" thickBot="1">
      <c r="A101" s="839" t="s">
        <v>523</v>
      </c>
      <c r="B101" s="833" t="s">
        <v>430</v>
      </c>
      <c r="C101" s="1062">
        <v>9.8000000000000004E-2</v>
      </c>
      <c r="D101" s="1062">
        <v>9.7000000000000003E-2</v>
      </c>
      <c r="E101" s="1075"/>
      <c r="F101" s="1074"/>
    </row>
    <row r="102" spans="1:6" ht="14.25" thickBot="1">
      <c r="A102" s="839" t="s">
        <v>523</v>
      </c>
      <c r="B102" s="833" t="s">
        <v>887</v>
      </c>
      <c r="C102" s="1075"/>
      <c r="D102" s="1075"/>
      <c r="E102" s="1075"/>
      <c r="F102" s="1063">
        <v>0.05</v>
      </c>
    </row>
    <row r="103" spans="1:6" ht="24.75" thickBot="1">
      <c r="A103" s="839" t="s">
        <v>523</v>
      </c>
      <c r="B103" s="833" t="s">
        <v>888</v>
      </c>
      <c r="C103" s="1075"/>
      <c r="D103" s="1075"/>
      <c r="E103" s="1075"/>
      <c r="F103" s="1063">
        <v>0.05</v>
      </c>
    </row>
    <row r="104" spans="1:6" ht="14.25" thickBot="1">
      <c r="A104" s="839" t="s">
        <v>523</v>
      </c>
      <c r="B104" s="833" t="s">
        <v>889</v>
      </c>
      <c r="C104" s="1075"/>
      <c r="D104" s="1075"/>
      <c r="E104" s="1075"/>
      <c r="F104" s="1063">
        <v>0.05</v>
      </c>
    </row>
    <row r="105" spans="1:6" ht="14.25" thickBot="1">
      <c r="A105" s="839" t="s">
        <v>523</v>
      </c>
      <c r="B105" s="833" t="s">
        <v>890</v>
      </c>
      <c r="C105" s="1075"/>
      <c r="D105" s="1075"/>
      <c r="E105" s="1075"/>
      <c r="F105" s="1063">
        <v>0.05</v>
      </c>
    </row>
    <row r="106" spans="1:6" ht="14.25" thickBot="1">
      <c r="A106" s="839" t="s">
        <v>523</v>
      </c>
      <c r="B106" s="833" t="s">
        <v>891</v>
      </c>
      <c r="C106" s="1075"/>
      <c r="D106" s="1075"/>
      <c r="E106" s="1075"/>
      <c r="F106" s="1063">
        <v>0.05</v>
      </c>
    </row>
    <row r="107" spans="1:6" ht="24.75" thickBot="1">
      <c r="A107" s="839" t="s">
        <v>523</v>
      </c>
      <c r="B107" s="833" t="s">
        <v>892</v>
      </c>
      <c r="C107" s="1075"/>
      <c r="D107" s="1075"/>
      <c r="E107" s="1075"/>
      <c r="F107" s="1063">
        <v>0.05</v>
      </c>
    </row>
    <row r="108" spans="1:6" ht="24.75" thickBot="1">
      <c r="A108" s="839" t="s">
        <v>523</v>
      </c>
      <c r="B108" s="833" t="s">
        <v>893</v>
      </c>
      <c r="C108" s="1075"/>
      <c r="D108" s="1075"/>
      <c r="E108" s="1075"/>
      <c r="F108" s="1063">
        <v>0.05</v>
      </c>
    </row>
    <row r="109" spans="1:6" ht="24.75" thickBot="1">
      <c r="A109" s="849" t="s">
        <v>523</v>
      </c>
      <c r="B109" s="845" t="s">
        <v>894</v>
      </c>
      <c r="C109" s="1072"/>
      <c r="D109" s="1072"/>
      <c r="E109" s="1072"/>
      <c r="F109" s="1065">
        <v>0.05</v>
      </c>
    </row>
    <row r="110" spans="1:6" ht="14.25" thickBot="1">
      <c r="A110" s="839" t="s">
        <v>56</v>
      </c>
      <c r="B110" s="840" t="s">
        <v>895</v>
      </c>
      <c r="C110" s="1060">
        <v>0.129</v>
      </c>
      <c r="D110" s="1060">
        <v>0.129</v>
      </c>
      <c r="E110" s="1060">
        <v>0.126</v>
      </c>
      <c r="F110" s="1061">
        <v>0.13</v>
      </c>
    </row>
    <row r="111" spans="1:6" ht="14.25" thickBot="1">
      <c r="A111" s="839" t="s">
        <v>56</v>
      </c>
      <c r="B111" s="833" t="s">
        <v>192</v>
      </c>
      <c r="C111" s="1062">
        <v>0.11</v>
      </c>
      <c r="D111" s="1062">
        <v>0.11</v>
      </c>
      <c r="E111" s="1062">
        <v>9.9000000000000005E-2</v>
      </c>
      <c r="F111" s="1063">
        <v>0.128</v>
      </c>
    </row>
    <row r="112" spans="1:6" ht="14.25" thickBot="1">
      <c r="A112" s="839" t="s">
        <v>56</v>
      </c>
      <c r="B112" s="833" t="s">
        <v>205</v>
      </c>
      <c r="C112" s="1062">
        <v>0.125</v>
      </c>
      <c r="D112" s="1062">
        <v>0.125</v>
      </c>
      <c r="E112" s="1062">
        <v>0.12</v>
      </c>
      <c r="F112" s="1063">
        <v>0.125</v>
      </c>
    </row>
    <row r="113" spans="1:6" ht="14.25" thickBot="1">
      <c r="A113" s="839" t="s">
        <v>56</v>
      </c>
      <c r="B113" s="833" t="s">
        <v>218</v>
      </c>
      <c r="C113" s="1062">
        <v>0.13</v>
      </c>
      <c r="D113" s="1062">
        <v>0.13</v>
      </c>
      <c r="E113" s="1062">
        <v>0.13</v>
      </c>
      <c r="F113" s="1063">
        <v>0.13</v>
      </c>
    </row>
    <row r="114" spans="1:6" ht="14.25" thickBot="1">
      <c r="A114" s="839" t="s">
        <v>56</v>
      </c>
      <c r="B114" s="833" t="s">
        <v>230</v>
      </c>
      <c r="C114" s="1062">
        <v>0.123</v>
      </c>
      <c r="D114" s="1062">
        <v>0.123</v>
      </c>
      <c r="E114" s="1062">
        <v>0.12</v>
      </c>
      <c r="F114" s="1063">
        <v>0.13</v>
      </c>
    </row>
    <row r="115" spans="1:6" ht="14.25" thickBot="1">
      <c r="A115" s="839" t="s">
        <v>56</v>
      </c>
      <c r="B115" s="833" t="s">
        <v>241</v>
      </c>
      <c r="C115" s="1062">
        <v>0.125</v>
      </c>
      <c r="D115" s="1062">
        <v>0.125</v>
      </c>
      <c r="E115" s="1062">
        <v>0.11700000000000001</v>
      </c>
      <c r="F115" s="1063">
        <v>0.13</v>
      </c>
    </row>
    <row r="116" spans="1:6" ht="14.25" thickBot="1">
      <c r="A116" s="839" t="s">
        <v>56</v>
      </c>
      <c r="B116" s="833" t="s">
        <v>252</v>
      </c>
      <c r="C116" s="1062">
        <v>0.11700000000000001</v>
      </c>
      <c r="D116" s="1062">
        <v>0.11700000000000001</v>
      </c>
      <c r="E116" s="1062">
        <v>8.7999999999999995E-2</v>
      </c>
      <c r="F116" s="1063">
        <v>0.13</v>
      </c>
    </row>
    <row r="117" spans="1:6" ht="14.25" thickBot="1">
      <c r="A117" s="839" t="s">
        <v>56</v>
      </c>
      <c r="B117" s="833" t="s">
        <v>263</v>
      </c>
      <c r="C117" s="1062">
        <v>0.13</v>
      </c>
      <c r="D117" s="1062">
        <v>0.13</v>
      </c>
      <c r="E117" s="1062">
        <v>0.129</v>
      </c>
      <c r="F117" s="1063">
        <v>0.13</v>
      </c>
    </row>
    <row r="118" spans="1:6" ht="14.25" thickBot="1">
      <c r="A118" s="839" t="s">
        <v>56</v>
      </c>
      <c r="B118" s="833" t="s">
        <v>275</v>
      </c>
      <c r="C118" s="1062">
        <v>0.123</v>
      </c>
      <c r="D118" s="1062">
        <v>0.123</v>
      </c>
      <c r="E118" s="1062">
        <v>0.11600000000000001</v>
      </c>
      <c r="F118" s="1063">
        <v>0.13</v>
      </c>
    </row>
    <row r="119" spans="1:6" ht="14.25" thickBot="1">
      <c r="A119" s="839" t="s">
        <v>56</v>
      </c>
      <c r="B119" s="833" t="s">
        <v>285</v>
      </c>
      <c r="C119" s="1062">
        <v>0.127</v>
      </c>
      <c r="D119" s="1062">
        <v>0.127</v>
      </c>
      <c r="E119" s="1062">
        <v>0.124</v>
      </c>
      <c r="F119" s="1063">
        <v>0.13</v>
      </c>
    </row>
    <row r="120" spans="1:6" ht="14.25" thickBot="1">
      <c r="A120" s="839" t="s">
        <v>56</v>
      </c>
      <c r="B120" s="833" t="s">
        <v>295</v>
      </c>
      <c r="C120" s="1062">
        <v>0.125</v>
      </c>
      <c r="D120" s="1062">
        <v>0.125</v>
      </c>
      <c r="E120" s="1062">
        <v>0.122</v>
      </c>
      <c r="F120" s="1063">
        <v>0.13</v>
      </c>
    </row>
    <row r="121" spans="1:6" ht="14.25" thickBot="1">
      <c r="A121" s="839" t="s">
        <v>56</v>
      </c>
      <c r="B121" s="833" t="s">
        <v>305</v>
      </c>
      <c r="C121" s="1062">
        <v>0.13</v>
      </c>
      <c r="D121" s="1062">
        <v>0.13</v>
      </c>
      <c r="E121" s="1062">
        <v>0.13</v>
      </c>
      <c r="F121" s="1063">
        <v>0.13</v>
      </c>
    </row>
    <row r="122" spans="1:6" ht="14.25" thickBot="1">
      <c r="A122" s="839" t="s">
        <v>56</v>
      </c>
      <c r="B122" s="833" t="s">
        <v>315</v>
      </c>
      <c r="C122" s="1062">
        <v>0.13</v>
      </c>
      <c r="D122" s="1062">
        <v>0.13</v>
      </c>
      <c r="E122" s="1062">
        <v>0.125</v>
      </c>
      <c r="F122" s="1063">
        <v>0.13</v>
      </c>
    </row>
    <row r="123" spans="1:6" ht="14.25" thickBot="1">
      <c r="A123" s="839" t="s">
        <v>56</v>
      </c>
      <c r="B123" s="833" t="s">
        <v>326</v>
      </c>
      <c r="C123" s="1062">
        <v>0.129</v>
      </c>
      <c r="D123" s="1062">
        <v>0.129</v>
      </c>
      <c r="E123" s="1062">
        <v>0.123</v>
      </c>
      <c r="F123" s="1063">
        <v>0.13</v>
      </c>
    </row>
    <row r="124" spans="1:6" ht="14.25" thickBot="1">
      <c r="A124" s="839" t="s">
        <v>56</v>
      </c>
      <c r="B124" s="833" t="s">
        <v>337</v>
      </c>
      <c r="C124" s="1062">
        <v>0.10199999999999999</v>
      </c>
      <c r="D124" s="1062">
        <v>0.10100000000000001</v>
      </c>
      <c r="E124" s="1062">
        <v>0.08</v>
      </c>
      <c r="F124" s="1074"/>
    </row>
    <row r="125" spans="1:6" ht="14.25" thickBot="1">
      <c r="A125" s="839" t="s">
        <v>56</v>
      </c>
      <c r="B125" s="833" t="s">
        <v>347</v>
      </c>
      <c r="C125" s="1062">
        <v>0.13</v>
      </c>
      <c r="D125" s="1062">
        <v>0.13</v>
      </c>
      <c r="E125" s="1062">
        <v>0.129</v>
      </c>
      <c r="F125" s="1074"/>
    </row>
    <row r="126" spans="1:6" ht="14.25" thickBot="1">
      <c r="A126" s="839" t="s">
        <v>56</v>
      </c>
      <c r="B126" s="833" t="s">
        <v>357</v>
      </c>
      <c r="C126" s="1062">
        <v>0.13</v>
      </c>
      <c r="D126" s="1062">
        <v>0.13</v>
      </c>
      <c r="E126" s="1062">
        <v>0.126</v>
      </c>
      <c r="F126" s="1074"/>
    </row>
    <row r="127" spans="1:6" ht="14.25" thickBot="1">
      <c r="A127" s="839" t="s">
        <v>56</v>
      </c>
      <c r="B127" s="833" t="s">
        <v>367</v>
      </c>
      <c r="C127" s="1062">
        <v>0.125</v>
      </c>
      <c r="D127" s="1062">
        <v>0.125</v>
      </c>
      <c r="E127" s="1062">
        <v>0.121</v>
      </c>
      <c r="F127" s="1074"/>
    </row>
    <row r="128" spans="1:6" ht="14.25" thickBot="1">
      <c r="A128" s="839" t="s">
        <v>56</v>
      </c>
      <c r="B128" s="833" t="s">
        <v>377</v>
      </c>
      <c r="C128" s="1062">
        <v>0.12</v>
      </c>
      <c r="D128" s="1062">
        <v>0.12</v>
      </c>
      <c r="E128" s="1062">
        <v>0.105</v>
      </c>
      <c r="F128" s="1074"/>
    </row>
    <row r="129" spans="1:6" ht="14.25" thickBot="1">
      <c r="A129" s="839" t="s">
        <v>56</v>
      </c>
      <c r="B129" s="833" t="s">
        <v>386</v>
      </c>
      <c r="C129" s="1062">
        <v>0.13</v>
      </c>
      <c r="D129" s="1062">
        <v>0.13</v>
      </c>
      <c r="E129" s="1062">
        <v>0.126</v>
      </c>
      <c r="F129" s="1074"/>
    </row>
    <row r="130" spans="1:6" ht="14.25" thickBot="1">
      <c r="A130" s="839" t="s">
        <v>56</v>
      </c>
      <c r="B130" s="833" t="s">
        <v>395</v>
      </c>
      <c r="C130" s="1062">
        <v>0.125</v>
      </c>
      <c r="D130" s="1062">
        <v>0.125</v>
      </c>
      <c r="E130" s="1062">
        <v>0.122</v>
      </c>
      <c r="F130" s="1074"/>
    </row>
    <row r="131" spans="1:6" ht="14.25" thickBot="1">
      <c r="A131" s="839" t="s">
        <v>56</v>
      </c>
      <c r="B131" s="833" t="s">
        <v>403</v>
      </c>
      <c r="C131" s="1062">
        <v>0.127</v>
      </c>
      <c r="D131" s="1062">
        <v>0.126</v>
      </c>
      <c r="E131" s="1062">
        <v>0.123</v>
      </c>
      <c r="F131" s="1074"/>
    </row>
    <row r="132" spans="1:6" ht="14.25" thickBot="1">
      <c r="A132" s="839" t="s">
        <v>56</v>
      </c>
      <c r="B132" s="833" t="s">
        <v>410</v>
      </c>
      <c r="C132" s="1062">
        <v>9.0999999999999998E-2</v>
      </c>
      <c r="D132" s="1062">
        <v>0.121</v>
      </c>
      <c r="E132" s="1062">
        <v>9.9000000000000005E-2</v>
      </c>
      <c r="F132" s="1074"/>
    </row>
    <row r="133" spans="1:6" ht="14.25" thickBot="1">
      <c r="A133" s="839" t="s">
        <v>56</v>
      </c>
      <c r="B133" s="833" t="s">
        <v>417</v>
      </c>
      <c r="C133" s="1062">
        <v>0.13</v>
      </c>
      <c r="D133" s="1062">
        <v>0.13</v>
      </c>
      <c r="E133" s="1062">
        <v>0.129</v>
      </c>
      <c r="F133" s="1074"/>
    </row>
    <row r="134" spans="1:6" ht="14.25" thickBot="1">
      <c r="A134" s="839" t="s">
        <v>56</v>
      </c>
      <c r="B134" s="833" t="s">
        <v>896</v>
      </c>
      <c r="C134" s="1062">
        <v>6.8000000000000005E-2</v>
      </c>
      <c r="D134" s="1062">
        <v>6.5000000000000002E-2</v>
      </c>
      <c r="E134" s="1062">
        <v>6.5000000000000002E-2</v>
      </c>
      <c r="F134" s="1063">
        <v>0.13</v>
      </c>
    </row>
    <row r="135" spans="1:6" ht="14.25" thickBot="1">
      <c r="A135" s="839" t="s">
        <v>56</v>
      </c>
      <c r="B135" s="833" t="s">
        <v>431</v>
      </c>
      <c r="C135" s="1062">
        <v>0.123</v>
      </c>
      <c r="D135" s="1062">
        <v>0.123</v>
      </c>
      <c r="E135" s="1062">
        <v>0.11</v>
      </c>
      <c r="F135" s="1074"/>
    </row>
    <row r="136" spans="1:6" ht="14.25" thickBot="1">
      <c r="A136" s="839" t="s">
        <v>56</v>
      </c>
      <c r="B136" s="833" t="s">
        <v>438</v>
      </c>
      <c r="C136" s="1062">
        <v>0.13</v>
      </c>
      <c r="D136" s="1062">
        <v>0.13</v>
      </c>
      <c r="E136" s="1062">
        <v>0.125</v>
      </c>
      <c r="F136" s="1074"/>
    </row>
    <row r="137" spans="1:6" ht="14.25" thickBot="1">
      <c r="A137" s="839" t="s">
        <v>56</v>
      </c>
      <c r="B137" s="833" t="s">
        <v>445</v>
      </c>
      <c r="C137" s="1062">
        <v>0.121</v>
      </c>
      <c r="D137" s="1062">
        <v>0.122</v>
      </c>
      <c r="E137" s="1062">
        <v>0.115</v>
      </c>
      <c r="F137" s="1074"/>
    </row>
    <row r="138" spans="1:6" ht="14.25" thickBot="1">
      <c r="A138" s="839" t="s">
        <v>56</v>
      </c>
      <c r="B138" s="833" t="s">
        <v>897</v>
      </c>
      <c r="C138" s="1062">
        <v>0.105</v>
      </c>
      <c r="D138" s="1062">
        <v>0.125</v>
      </c>
      <c r="E138" s="1062">
        <v>0.112</v>
      </c>
      <c r="F138" s="1074"/>
    </row>
    <row r="139" spans="1:6" ht="14.25" thickBot="1">
      <c r="A139" s="839" t="s">
        <v>56</v>
      </c>
      <c r="B139" s="833" t="s">
        <v>898</v>
      </c>
      <c r="C139" s="1062">
        <v>0.127</v>
      </c>
      <c r="D139" s="1062">
        <v>0.127</v>
      </c>
      <c r="E139" s="1062">
        <v>0.122</v>
      </c>
      <c r="F139" s="1063">
        <v>0.13</v>
      </c>
    </row>
    <row r="140" spans="1:6" ht="14.25" thickBot="1">
      <c r="A140" s="839" t="s">
        <v>56</v>
      </c>
      <c r="B140" s="833" t="s">
        <v>899</v>
      </c>
      <c r="C140" s="1062">
        <v>0.125</v>
      </c>
      <c r="D140" s="1062">
        <v>0.125</v>
      </c>
      <c r="E140" s="1062">
        <v>0.11899999999999999</v>
      </c>
      <c r="F140" s="1063">
        <v>0.13</v>
      </c>
    </row>
    <row r="141" spans="1:6" ht="14.25" thickBot="1">
      <c r="A141" s="839" t="s">
        <v>56</v>
      </c>
      <c r="B141" s="833" t="s">
        <v>464</v>
      </c>
      <c r="C141" s="1062">
        <v>0.125</v>
      </c>
      <c r="D141" s="1062">
        <v>0.125</v>
      </c>
      <c r="E141" s="1062">
        <v>0.11700000000000001</v>
      </c>
      <c r="F141" s="1074"/>
    </row>
    <row r="142" spans="1:6" ht="14.25" thickBot="1">
      <c r="A142" s="839" t="s">
        <v>56</v>
      </c>
      <c r="B142" s="833" t="s">
        <v>469</v>
      </c>
      <c r="C142" s="1062">
        <v>0.125</v>
      </c>
      <c r="D142" s="1062">
        <v>0.125</v>
      </c>
      <c r="E142" s="1062">
        <v>0.115</v>
      </c>
      <c r="F142" s="1074"/>
    </row>
    <row r="143" spans="1:6" ht="14.25" thickBot="1">
      <c r="A143" s="839" t="s">
        <v>56</v>
      </c>
      <c r="B143" s="833" t="s">
        <v>474</v>
      </c>
      <c r="C143" s="1062">
        <v>0.121</v>
      </c>
      <c r="D143" s="1062">
        <v>0.121</v>
      </c>
      <c r="E143" s="1062">
        <v>0.108</v>
      </c>
      <c r="F143" s="1074"/>
    </row>
    <row r="144" spans="1:6" ht="14.25" thickBot="1">
      <c r="A144" s="839" t="s">
        <v>56</v>
      </c>
      <c r="B144" s="1066" t="s">
        <v>900</v>
      </c>
      <c r="C144" s="1067">
        <v>0.126</v>
      </c>
      <c r="D144" s="1067">
        <v>0.126</v>
      </c>
      <c r="E144" s="1067">
        <v>0.121</v>
      </c>
      <c r="F144" s="1074"/>
    </row>
    <row r="145" spans="1:6" ht="14.25" thickBot="1">
      <c r="A145" s="849" t="s">
        <v>56</v>
      </c>
      <c r="B145" s="1068" t="s">
        <v>901</v>
      </c>
      <c r="C145" s="1076"/>
      <c r="D145" s="1076"/>
      <c r="E145" s="1076"/>
      <c r="F145" s="1069">
        <v>0.05</v>
      </c>
    </row>
    <row r="146" spans="1:6" ht="24.75" thickBot="1">
      <c r="A146" s="1070" t="s">
        <v>56</v>
      </c>
      <c r="B146" s="843" t="s">
        <v>902</v>
      </c>
      <c r="C146" s="1075"/>
      <c r="D146" s="1075"/>
      <c r="E146" s="1075"/>
      <c r="F146" s="1071">
        <v>0.05</v>
      </c>
    </row>
    <row r="147" spans="1:6" ht="24.75" thickBot="1">
      <c r="A147" s="839" t="s">
        <v>56</v>
      </c>
      <c r="B147" s="833" t="s">
        <v>903</v>
      </c>
      <c r="C147" s="1075"/>
      <c r="D147" s="1075"/>
      <c r="E147" s="1075"/>
      <c r="F147" s="1063">
        <v>0.05</v>
      </c>
    </row>
    <row r="148" spans="1:6" ht="24.75" thickBot="1">
      <c r="A148" s="839" t="s">
        <v>56</v>
      </c>
      <c r="B148" s="833" t="s">
        <v>904</v>
      </c>
      <c r="C148" s="1075"/>
      <c r="D148" s="1075"/>
      <c r="E148" s="1075"/>
      <c r="F148" s="1063">
        <v>0.05</v>
      </c>
    </row>
    <row r="149" spans="1:6" ht="24.75" thickBot="1">
      <c r="A149" s="839" t="s">
        <v>56</v>
      </c>
      <c r="B149" s="833" t="s">
        <v>905</v>
      </c>
      <c r="C149" s="1075"/>
      <c r="D149" s="1075"/>
      <c r="E149" s="1075"/>
      <c r="F149" s="1063">
        <v>0.05</v>
      </c>
    </row>
    <row r="150" spans="1:6" ht="24.75" thickBot="1">
      <c r="A150" s="839" t="s">
        <v>56</v>
      </c>
      <c r="B150" s="833" t="s">
        <v>906</v>
      </c>
      <c r="C150" s="1075"/>
      <c r="D150" s="1075"/>
      <c r="E150" s="1075"/>
      <c r="F150" s="1063">
        <v>0.05</v>
      </c>
    </row>
    <row r="151" spans="1:6" ht="24.75" thickBot="1">
      <c r="A151" s="839" t="s">
        <v>56</v>
      </c>
      <c r="B151" s="833" t="s">
        <v>907</v>
      </c>
      <c r="C151" s="1075"/>
      <c r="D151" s="1075"/>
      <c r="E151" s="1075"/>
      <c r="F151" s="1063">
        <v>0.05</v>
      </c>
    </row>
    <row r="152" spans="1:6" ht="24.75" thickBot="1">
      <c r="A152" s="839" t="s">
        <v>56</v>
      </c>
      <c r="B152" s="833" t="s">
        <v>507</v>
      </c>
      <c r="C152" s="1075"/>
      <c r="D152" s="1075"/>
      <c r="E152" s="1075"/>
      <c r="F152" s="1063">
        <v>0.05</v>
      </c>
    </row>
    <row r="153" spans="1:6" ht="14.25" thickBot="1">
      <c r="A153" s="839" t="s">
        <v>56</v>
      </c>
      <c r="B153" s="833" t="s">
        <v>908</v>
      </c>
      <c r="C153" s="1075"/>
      <c r="D153" s="1075"/>
      <c r="E153" s="1075"/>
      <c r="F153" s="1063">
        <v>0.05</v>
      </c>
    </row>
    <row r="154" spans="1:6" ht="14.25" thickBot="1">
      <c r="A154" s="839" t="s">
        <v>56</v>
      </c>
      <c r="B154" s="833" t="s">
        <v>909</v>
      </c>
      <c r="C154" s="1075"/>
      <c r="D154" s="1075"/>
      <c r="E154" s="1075"/>
      <c r="F154" s="1063">
        <v>0.05</v>
      </c>
    </row>
    <row r="155" spans="1:6" ht="24.75" thickBot="1">
      <c r="A155" s="839" t="s">
        <v>56</v>
      </c>
      <c r="B155" s="833" t="s">
        <v>910</v>
      </c>
      <c r="C155" s="1075"/>
      <c r="D155" s="1075"/>
      <c r="E155" s="1075"/>
      <c r="F155" s="1063">
        <v>0.05</v>
      </c>
    </row>
    <row r="156" spans="1:6" ht="24.75" thickBot="1">
      <c r="A156" s="839" t="s">
        <v>56</v>
      </c>
      <c r="B156" s="833" t="s">
        <v>911</v>
      </c>
      <c r="C156" s="1075"/>
      <c r="D156" s="1075"/>
      <c r="E156" s="1075"/>
      <c r="F156" s="1063">
        <v>0.05</v>
      </c>
    </row>
    <row r="157" spans="1:6" ht="14.25" thickBot="1">
      <c r="A157" s="849" t="s">
        <v>56</v>
      </c>
      <c r="B157" s="845" t="s">
        <v>912</v>
      </c>
      <c r="C157" s="1072"/>
      <c r="D157" s="1072"/>
      <c r="E157" s="1072"/>
      <c r="F157" s="1065">
        <v>0.05</v>
      </c>
    </row>
    <row r="158" spans="1:6" ht="14.25" thickBot="1">
      <c r="A158" s="839" t="s">
        <v>526</v>
      </c>
      <c r="B158" s="840" t="s">
        <v>913</v>
      </c>
      <c r="C158" s="1060">
        <v>0.13</v>
      </c>
      <c r="D158" s="1060">
        <v>0.13</v>
      </c>
      <c r="E158" s="1060">
        <v>0.13</v>
      </c>
      <c r="F158" s="1061">
        <v>0.13</v>
      </c>
    </row>
    <row r="159" spans="1:6" ht="14.25" thickBot="1">
      <c r="A159" s="839" t="s">
        <v>526</v>
      </c>
      <c r="B159" s="833" t="s">
        <v>193</v>
      </c>
      <c r="C159" s="1062">
        <v>0.13</v>
      </c>
      <c r="D159" s="1062">
        <v>0.13</v>
      </c>
      <c r="E159" s="1062">
        <v>0.13</v>
      </c>
      <c r="F159" s="1063">
        <v>0.13</v>
      </c>
    </row>
    <row r="160" spans="1:6" ht="14.25" thickBot="1">
      <c r="A160" s="839" t="s">
        <v>526</v>
      </c>
      <c r="B160" s="833" t="s">
        <v>206</v>
      </c>
      <c r="C160" s="1062">
        <v>0.13</v>
      </c>
      <c r="D160" s="1062">
        <v>0.13</v>
      </c>
      <c r="E160" s="1062">
        <v>0.129</v>
      </c>
      <c r="F160" s="1063">
        <v>0.13</v>
      </c>
    </row>
    <row r="161" spans="1:6" ht="14.25" thickBot="1">
      <c r="A161" s="839" t="s">
        <v>526</v>
      </c>
      <c r="B161" s="833" t="s">
        <v>219</v>
      </c>
      <c r="C161" s="1062">
        <v>0.128</v>
      </c>
      <c r="D161" s="1062">
        <v>0.128</v>
      </c>
      <c r="E161" s="1062">
        <v>0.125</v>
      </c>
      <c r="F161" s="1063">
        <v>0.13</v>
      </c>
    </row>
    <row r="162" spans="1:6" ht="14.25" thickBot="1">
      <c r="A162" s="839" t="s">
        <v>526</v>
      </c>
      <c r="B162" s="833" t="s">
        <v>231</v>
      </c>
      <c r="C162" s="1062">
        <v>0.122</v>
      </c>
      <c r="D162" s="1062">
        <v>0.122</v>
      </c>
      <c r="E162" s="1062">
        <v>0.126</v>
      </c>
      <c r="F162" s="1063">
        <v>0.122</v>
      </c>
    </row>
    <row r="163" spans="1:6" ht="14.25" thickBot="1">
      <c r="A163" s="839" t="s">
        <v>526</v>
      </c>
      <c r="B163" s="833" t="s">
        <v>242</v>
      </c>
      <c r="C163" s="1062">
        <v>0.13</v>
      </c>
      <c r="D163" s="1062">
        <v>0.13</v>
      </c>
      <c r="E163" s="1062">
        <v>0.125</v>
      </c>
      <c r="F163" s="1063">
        <v>0.13</v>
      </c>
    </row>
    <row r="164" spans="1:6" ht="14.25" thickBot="1">
      <c r="A164" s="839" t="s">
        <v>526</v>
      </c>
      <c r="B164" s="833" t="s">
        <v>253</v>
      </c>
      <c r="C164" s="1062">
        <v>0.13</v>
      </c>
      <c r="D164" s="1062">
        <v>0.13</v>
      </c>
      <c r="E164" s="1062">
        <v>0.13</v>
      </c>
      <c r="F164" s="1063">
        <v>0.13</v>
      </c>
    </row>
    <row r="165" spans="1:6" ht="14.25" thickBot="1">
      <c r="A165" s="839" t="s">
        <v>526</v>
      </c>
      <c r="B165" s="833" t="s">
        <v>264</v>
      </c>
      <c r="C165" s="1062">
        <v>0.13</v>
      </c>
      <c r="D165" s="1062">
        <v>0.13</v>
      </c>
      <c r="E165" s="1062">
        <v>0.124</v>
      </c>
      <c r="F165" s="1063">
        <v>0.13</v>
      </c>
    </row>
    <row r="166" spans="1:6" ht="14.25" thickBot="1">
      <c r="A166" s="839" t="s">
        <v>526</v>
      </c>
      <c r="B166" s="833" t="s">
        <v>276</v>
      </c>
      <c r="C166" s="1062">
        <v>0.13</v>
      </c>
      <c r="D166" s="1062">
        <v>0.13</v>
      </c>
      <c r="E166" s="1062">
        <v>0.13</v>
      </c>
      <c r="F166" s="1063">
        <v>0.13</v>
      </c>
    </row>
    <row r="167" spans="1:6" ht="14.25" thickBot="1">
      <c r="A167" s="839" t="s">
        <v>526</v>
      </c>
      <c r="B167" s="833" t="s">
        <v>286</v>
      </c>
      <c r="C167" s="1062">
        <v>0.125</v>
      </c>
      <c r="D167" s="1062">
        <v>0.125</v>
      </c>
      <c r="E167" s="1062">
        <v>0.121</v>
      </c>
      <c r="F167" s="1074"/>
    </row>
    <row r="168" spans="1:6" ht="14.25" thickBot="1">
      <c r="A168" s="839" t="s">
        <v>526</v>
      </c>
      <c r="B168" s="833" t="s">
        <v>296</v>
      </c>
      <c r="C168" s="1062">
        <v>0.13</v>
      </c>
      <c r="D168" s="1062">
        <v>0.13</v>
      </c>
      <c r="E168" s="1062">
        <v>0.126</v>
      </c>
      <c r="F168" s="1074"/>
    </row>
    <row r="169" spans="1:6" ht="14.25" thickBot="1">
      <c r="A169" s="839" t="s">
        <v>526</v>
      </c>
      <c r="B169" s="833" t="s">
        <v>306</v>
      </c>
      <c r="C169" s="1062">
        <v>0.128</v>
      </c>
      <c r="D169" s="1062">
        <v>0.129</v>
      </c>
      <c r="E169" s="1062">
        <v>0.13</v>
      </c>
      <c r="F169" s="1074"/>
    </row>
    <row r="170" spans="1:6" ht="14.25" thickBot="1">
      <c r="A170" s="839" t="s">
        <v>526</v>
      </c>
      <c r="B170" s="833" t="s">
        <v>316</v>
      </c>
      <c r="C170" s="1062">
        <v>0.14099999999999999</v>
      </c>
      <c r="D170" s="1062">
        <v>0.13</v>
      </c>
      <c r="E170" s="1062">
        <v>0.125</v>
      </c>
      <c r="F170" s="1074"/>
    </row>
    <row r="171" spans="1:6" ht="14.25" thickBot="1">
      <c r="A171" s="839" t="s">
        <v>526</v>
      </c>
      <c r="B171" s="833" t="s">
        <v>914</v>
      </c>
      <c r="C171" s="1062">
        <v>0.127</v>
      </c>
      <c r="D171" s="1062">
        <v>0.126</v>
      </c>
      <c r="E171" s="1062">
        <v>0.126</v>
      </c>
      <c r="F171" s="1063">
        <v>0.11799999999999999</v>
      </c>
    </row>
    <row r="172" spans="1:6" ht="14.25" thickBot="1">
      <c r="A172" s="839" t="s">
        <v>526</v>
      </c>
      <c r="B172" s="833" t="s">
        <v>915</v>
      </c>
      <c r="C172" s="1062">
        <v>0.13</v>
      </c>
      <c r="D172" s="1062">
        <v>0.13</v>
      </c>
      <c r="E172" s="1062">
        <v>0.13</v>
      </c>
      <c r="F172" s="1074"/>
    </row>
    <row r="173" spans="1:6" ht="14.25" thickBot="1">
      <c r="A173" s="839" t="s">
        <v>526</v>
      </c>
      <c r="B173" s="833" t="s">
        <v>348</v>
      </c>
      <c r="C173" s="1062">
        <v>0.13</v>
      </c>
      <c r="D173" s="1062">
        <v>0.13</v>
      </c>
      <c r="E173" s="1062">
        <v>0.13</v>
      </c>
      <c r="F173" s="1074"/>
    </row>
    <row r="174" spans="1:6" ht="14.25" thickBot="1">
      <c r="A174" s="839" t="s">
        <v>526</v>
      </c>
      <c r="B174" s="833" t="s">
        <v>916</v>
      </c>
      <c r="C174" s="1062">
        <v>0.13</v>
      </c>
      <c r="D174" s="1062">
        <v>0.13</v>
      </c>
      <c r="E174" s="1062">
        <v>0.13</v>
      </c>
      <c r="F174" s="1063">
        <v>0.13</v>
      </c>
    </row>
    <row r="175" spans="1:6" ht="14.25" thickBot="1">
      <c r="A175" s="839" t="s">
        <v>526</v>
      </c>
      <c r="B175" s="833" t="s">
        <v>917</v>
      </c>
      <c r="C175" s="1062">
        <v>0.13</v>
      </c>
      <c r="D175" s="1062">
        <v>0.13</v>
      </c>
      <c r="E175" s="1062">
        <v>0.13</v>
      </c>
      <c r="F175" s="1063">
        <v>0.13</v>
      </c>
    </row>
    <row r="176" spans="1:6" ht="14.25" thickBot="1">
      <c r="A176" s="839" t="s">
        <v>526</v>
      </c>
      <c r="B176" s="833" t="s">
        <v>378</v>
      </c>
      <c r="C176" s="1062">
        <v>0.13</v>
      </c>
      <c r="D176" s="1062">
        <v>0.13</v>
      </c>
      <c r="E176" s="1062">
        <v>0.13</v>
      </c>
      <c r="F176" s="1063">
        <v>0.13</v>
      </c>
    </row>
    <row r="177" spans="1:6" ht="14.25" thickBot="1">
      <c r="A177" s="839" t="s">
        <v>526</v>
      </c>
      <c r="B177" s="833" t="s">
        <v>918</v>
      </c>
      <c r="C177" s="1062">
        <v>0.13</v>
      </c>
      <c r="D177" s="1062">
        <v>0.13</v>
      </c>
      <c r="E177" s="1062">
        <v>0.13</v>
      </c>
      <c r="F177" s="1063">
        <v>0.13</v>
      </c>
    </row>
    <row r="178" spans="1:6" ht="14.25" thickBot="1">
      <c r="A178" s="839" t="s">
        <v>526</v>
      </c>
      <c r="B178" s="833" t="s">
        <v>396</v>
      </c>
      <c r="C178" s="1062">
        <v>0.13</v>
      </c>
      <c r="D178" s="1062">
        <v>0.13</v>
      </c>
      <c r="E178" s="1062">
        <v>0.13</v>
      </c>
      <c r="F178" s="1063">
        <v>0.127</v>
      </c>
    </row>
    <row r="179" spans="1:6" ht="14.25" thickBot="1">
      <c r="A179" s="839" t="s">
        <v>526</v>
      </c>
      <c r="B179" s="833" t="s">
        <v>404</v>
      </c>
      <c r="C179" s="1062">
        <v>0.13</v>
      </c>
      <c r="D179" s="1062">
        <v>0.13</v>
      </c>
      <c r="E179" s="1062">
        <v>0.13</v>
      </c>
      <c r="F179" s="1074"/>
    </row>
    <row r="180" spans="1:6" ht="14.25" thickBot="1">
      <c r="A180" s="839" t="s">
        <v>526</v>
      </c>
      <c r="B180" s="833" t="s">
        <v>919</v>
      </c>
      <c r="C180" s="1062">
        <v>0.13</v>
      </c>
      <c r="D180" s="1062">
        <v>0.13</v>
      </c>
      <c r="E180" s="1062">
        <v>0.125</v>
      </c>
      <c r="F180" s="1063">
        <v>0.13</v>
      </c>
    </row>
    <row r="181" spans="1:6" ht="14.25" thickBot="1">
      <c r="A181" s="839" t="s">
        <v>526</v>
      </c>
      <c r="B181" s="833" t="s">
        <v>418</v>
      </c>
      <c r="C181" s="1062">
        <v>0.122</v>
      </c>
      <c r="D181" s="1062">
        <v>0.123</v>
      </c>
      <c r="E181" s="1062">
        <v>0.126</v>
      </c>
      <c r="F181" s="1063">
        <v>0.121</v>
      </c>
    </row>
    <row r="182" spans="1:6" ht="14.25" thickBot="1">
      <c r="A182" s="839" t="s">
        <v>526</v>
      </c>
      <c r="B182" s="833" t="s">
        <v>425</v>
      </c>
      <c r="C182" s="1062">
        <v>0.125</v>
      </c>
      <c r="D182" s="1062">
        <v>0.125</v>
      </c>
      <c r="E182" s="1062">
        <v>0.11700000000000001</v>
      </c>
      <c r="F182" s="1063">
        <v>0.13</v>
      </c>
    </row>
    <row r="183" spans="1:6" ht="14.25" thickBot="1">
      <c r="A183" s="839" t="s">
        <v>526</v>
      </c>
      <c r="B183" s="833" t="s">
        <v>432</v>
      </c>
      <c r="C183" s="1062">
        <v>0.127</v>
      </c>
      <c r="D183" s="1062">
        <v>0.127</v>
      </c>
      <c r="E183" s="1062">
        <v>0.128</v>
      </c>
      <c r="F183" s="1074"/>
    </row>
    <row r="184" spans="1:6" ht="14.25" thickBot="1">
      <c r="A184" s="839" t="s">
        <v>526</v>
      </c>
      <c r="B184" s="833" t="s">
        <v>439</v>
      </c>
      <c r="C184" s="1062">
        <v>0.125</v>
      </c>
      <c r="D184" s="1062">
        <v>0.125</v>
      </c>
      <c r="E184" s="1062">
        <v>0.127</v>
      </c>
      <c r="F184" s="1074"/>
    </row>
    <row r="185" spans="1:6" ht="14.25" thickBot="1">
      <c r="A185" s="839" t="s">
        <v>526</v>
      </c>
      <c r="B185" s="833" t="s">
        <v>920</v>
      </c>
      <c r="C185" s="1062">
        <v>0.127</v>
      </c>
      <c r="D185" s="1062">
        <v>0.127</v>
      </c>
      <c r="E185" s="1062">
        <v>0.128</v>
      </c>
      <c r="F185" s="1063">
        <v>0.13</v>
      </c>
    </row>
    <row r="186" spans="1:6" ht="24.75" thickBot="1">
      <c r="A186" s="839" t="s">
        <v>526</v>
      </c>
      <c r="B186" s="833" t="s">
        <v>921</v>
      </c>
      <c r="C186" s="1075"/>
      <c r="D186" s="1075"/>
      <c r="E186" s="1075"/>
      <c r="F186" s="1063">
        <v>0.05</v>
      </c>
    </row>
    <row r="187" spans="1:6" ht="14.25" thickBot="1">
      <c r="A187" s="839" t="s">
        <v>526</v>
      </c>
      <c r="B187" s="833" t="s">
        <v>922</v>
      </c>
      <c r="C187" s="1075"/>
      <c r="D187" s="1075"/>
      <c r="E187" s="1075"/>
      <c r="F187" s="1063">
        <v>0.05</v>
      </c>
    </row>
    <row r="188" spans="1:6" ht="14.25" thickBot="1">
      <c r="A188" s="839" t="s">
        <v>526</v>
      </c>
      <c r="B188" s="833" t="s">
        <v>923</v>
      </c>
      <c r="C188" s="1075"/>
      <c r="D188" s="1075"/>
      <c r="E188" s="1075"/>
      <c r="F188" s="1063">
        <v>0.05</v>
      </c>
    </row>
    <row r="189" spans="1:6" ht="24.75" thickBot="1">
      <c r="A189" s="839" t="s">
        <v>526</v>
      </c>
      <c r="B189" s="833" t="s">
        <v>924</v>
      </c>
      <c r="C189" s="1075"/>
      <c r="D189" s="1075"/>
      <c r="E189" s="1075"/>
      <c r="F189" s="1063">
        <v>0.05</v>
      </c>
    </row>
    <row r="190" spans="1:6" ht="24.75" thickBot="1">
      <c r="A190" s="839" t="s">
        <v>526</v>
      </c>
      <c r="B190" s="833" t="s">
        <v>925</v>
      </c>
      <c r="C190" s="1075"/>
      <c r="D190" s="1075"/>
      <c r="E190" s="1075"/>
      <c r="F190" s="1063">
        <v>0.05</v>
      </c>
    </row>
    <row r="191" spans="1:6" ht="24.75" thickBot="1">
      <c r="A191" s="839" t="s">
        <v>526</v>
      </c>
      <c r="B191" s="833" t="s">
        <v>926</v>
      </c>
      <c r="C191" s="1075"/>
      <c r="D191" s="1075"/>
      <c r="E191" s="1075"/>
      <c r="F191" s="1063">
        <v>0.05</v>
      </c>
    </row>
    <row r="192" spans="1:6" ht="24.75" thickBot="1">
      <c r="A192" s="839" t="s">
        <v>526</v>
      </c>
      <c r="B192" s="833" t="s">
        <v>927</v>
      </c>
      <c r="C192" s="1075"/>
      <c r="D192" s="1075"/>
      <c r="E192" s="1075"/>
      <c r="F192" s="1063">
        <v>0.05</v>
      </c>
    </row>
    <row r="193" spans="1:6" ht="24.75" thickBot="1">
      <c r="A193" s="839" t="s">
        <v>526</v>
      </c>
      <c r="B193" s="833" t="s">
        <v>928</v>
      </c>
      <c r="C193" s="1075"/>
      <c r="D193" s="1075"/>
      <c r="E193" s="1075"/>
      <c r="F193" s="1063">
        <v>0.05</v>
      </c>
    </row>
    <row r="194" spans="1:6" ht="24.75" thickBot="1">
      <c r="A194" s="839" t="s">
        <v>526</v>
      </c>
      <c r="B194" s="833" t="s">
        <v>929</v>
      </c>
      <c r="C194" s="1075"/>
      <c r="D194" s="1075"/>
      <c r="E194" s="1075"/>
      <c r="F194" s="1063">
        <v>0.05</v>
      </c>
    </row>
    <row r="195" spans="1:6" ht="14.25" thickBot="1">
      <c r="A195" s="839" t="s">
        <v>526</v>
      </c>
      <c r="B195" s="833" t="s">
        <v>930</v>
      </c>
      <c r="C195" s="1075"/>
      <c r="D195" s="1075"/>
      <c r="E195" s="1075"/>
      <c r="F195" s="1063">
        <v>0.05</v>
      </c>
    </row>
    <row r="196" spans="1:6" ht="24.75" thickBot="1">
      <c r="A196" s="839" t="s">
        <v>526</v>
      </c>
      <c r="B196" s="833" t="s">
        <v>931</v>
      </c>
      <c r="C196" s="1075"/>
      <c r="D196" s="1075"/>
      <c r="E196" s="1075"/>
      <c r="F196" s="1063">
        <v>0.05</v>
      </c>
    </row>
    <row r="197" spans="1:6" ht="24.75" thickBot="1">
      <c r="A197" s="839" t="s">
        <v>526</v>
      </c>
      <c r="B197" s="833" t="s">
        <v>932</v>
      </c>
      <c r="C197" s="1075"/>
      <c r="D197" s="1075"/>
      <c r="E197" s="1075"/>
      <c r="F197" s="1063">
        <v>0.05</v>
      </c>
    </row>
    <row r="198" spans="1:6" ht="24.75" thickBot="1">
      <c r="A198" s="839" t="s">
        <v>526</v>
      </c>
      <c r="B198" s="833" t="s">
        <v>933</v>
      </c>
      <c r="C198" s="1075"/>
      <c r="D198" s="1075"/>
      <c r="E198" s="1075"/>
      <c r="F198" s="1063">
        <v>0.05</v>
      </c>
    </row>
    <row r="199" spans="1:6" ht="24.75" thickBot="1">
      <c r="A199" s="839" t="s">
        <v>526</v>
      </c>
      <c r="B199" s="833" t="s">
        <v>934</v>
      </c>
      <c r="C199" s="1075"/>
      <c r="D199" s="1075"/>
      <c r="E199" s="1075"/>
      <c r="F199" s="1063">
        <v>0.05</v>
      </c>
    </row>
    <row r="200" spans="1:6" ht="24.75" thickBot="1">
      <c r="A200" s="839" t="s">
        <v>526</v>
      </c>
      <c r="B200" s="833" t="s">
        <v>935</v>
      </c>
      <c r="C200" s="1075"/>
      <c r="D200" s="1075"/>
      <c r="E200" s="1075"/>
      <c r="F200" s="1063">
        <v>0.05</v>
      </c>
    </row>
    <row r="201" spans="1:6" ht="24.75" thickBot="1">
      <c r="A201" s="839" t="s">
        <v>526</v>
      </c>
      <c r="B201" s="833" t="s">
        <v>936</v>
      </c>
      <c r="C201" s="1075"/>
      <c r="D201" s="1075"/>
      <c r="E201" s="1075"/>
      <c r="F201" s="1063">
        <v>0.05</v>
      </c>
    </row>
    <row r="202" spans="1:6" ht="24.75" thickBot="1">
      <c r="A202" s="839" t="s">
        <v>526</v>
      </c>
      <c r="B202" s="833" t="s">
        <v>937</v>
      </c>
      <c r="C202" s="1075"/>
      <c r="D202" s="1075"/>
      <c r="E202" s="1075"/>
      <c r="F202" s="1063">
        <v>0.05</v>
      </c>
    </row>
    <row r="203" spans="1:6" ht="24.75" thickBot="1">
      <c r="A203" s="839" t="s">
        <v>526</v>
      </c>
      <c r="B203" s="833" t="s">
        <v>938</v>
      </c>
      <c r="C203" s="1075"/>
      <c r="D203" s="1075"/>
      <c r="E203" s="1075"/>
      <c r="F203" s="1063">
        <v>0.05</v>
      </c>
    </row>
    <row r="204" spans="1:6" ht="14.25" thickBot="1">
      <c r="A204" s="839" t="s">
        <v>526</v>
      </c>
      <c r="B204" s="833" t="s">
        <v>939</v>
      </c>
      <c r="C204" s="1075"/>
      <c r="D204" s="1075"/>
      <c r="E204" s="1075"/>
      <c r="F204" s="1063">
        <v>0.05</v>
      </c>
    </row>
    <row r="205" spans="1:6" ht="14.25" thickBot="1">
      <c r="A205" s="849" t="s">
        <v>526</v>
      </c>
      <c r="B205" s="845" t="s">
        <v>940</v>
      </c>
      <c r="C205" s="1072"/>
      <c r="D205" s="1072"/>
      <c r="E205" s="1072"/>
      <c r="F205" s="1065">
        <v>0.05</v>
      </c>
    </row>
    <row r="206" spans="1:6" ht="14.25" thickBot="1">
      <c r="A206" s="839" t="s">
        <v>528</v>
      </c>
      <c r="B206" s="840" t="s">
        <v>941</v>
      </c>
      <c r="C206" s="1060">
        <v>0.15</v>
      </c>
      <c r="D206" s="1060">
        <v>0.15</v>
      </c>
      <c r="E206" s="1060">
        <v>0.15</v>
      </c>
      <c r="F206" s="1061">
        <v>0.15</v>
      </c>
    </row>
    <row r="207" spans="1:6" ht="14.25" thickBot="1">
      <c r="A207" s="839" t="s">
        <v>528</v>
      </c>
      <c r="B207" s="833" t="s">
        <v>194</v>
      </c>
      <c r="C207" s="1062">
        <v>0.15</v>
      </c>
      <c r="D207" s="1062">
        <v>0.15</v>
      </c>
      <c r="E207" s="1062">
        <v>0.15</v>
      </c>
      <c r="F207" s="1063">
        <v>0.14399999999999999</v>
      </c>
    </row>
    <row r="208" spans="1:6" ht="14.25" thickBot="1">
      <c r="A208" s="839" t="s">
        <v>528</v>
      </c>
      <c r="B208" s="833" t="s">
        <v>207</v>
      </c>
      <c r="C208" s="1062">
        <v>0.15</v>
      </c>
      <c r="D208" s="1062">
        <v>0.15</v>
      </c>
      <c r="E208" s="1062">
        <v>0.15</v>
      </c>
      <c r="F208" s="1063">
        <v>0.15</v>
      </c>
    </row>
    <row r="209" spans="1:6" ht="14.25" thickBot="1">
      <c r="A209" s="839" t="s">
        <v>528</v>
      </c>
      <c r="B209" s="833" t="s">
        <v>220</v>
      </c>
      <c r="C209" s="1062">
        <v>0.13700000000000001</v>
      </c>
      <c r="D209" s="1062">
        <v>0.13700000000000001</v>
      </c>
      <c r="E209" s="1062">
        <v>0.14000000000000001</v>
      </c>
      <c r="F209" s="1063">
        <v>0.11700000000000001</v>
      </c>
    </row>
    <row r="210" spans="1:6" ht="14.25" thickBot="1">
      <c r="A210" s="839" t="s">
        <v>528</v>
      </c>
      <c r="B210" s="833" t="s">
        <v>942</v>
      </c>
      <c r="C210" s="1062">
        <v>0.15</v>
      </c>
      <c r="D210" s="1062">
        <v>0.15</v>
      </c>
      <c r="E210" s="1062">
        <v>0.15</v>
      </c>
      <c r="F210" s="1063">
        <v>0.13800000000000001</v>
      </c>
    </row>
    <row r="211" spans="1:6" ht="14.25" thickBot="1">
      <c r="A211" s="839" t="s">
        <v>528</v>
      </c>
      <c r="B211" s="833" t="s">
        <v>943</v>
      </c>
      <c r="C211" s="1062">
        <v>0.13700000000000001</v>
      </c>
      <c r="D211" s="1062">
        <v>0.13500000000000001</v>
      </c>
      <c r="E211" s="1062">
        <v>0.13600000000000001</v>
      </c>
      <c r="F211" s="1063">
        <v>0.1</v>
      </c>
    </row>
    <row r="212" spans="1:6" ht="14.25" thickBot="1">
      <c r="A212" s="839" t="s">
        <v>528</v>
      </c>
      <c r="B212" s="833" t="s">
        <v>944</v>
      </c>
      <c r="C212" s="1062">
        <v>0.15</v>
      </c>
      <c r="D212" s="1062">
        <v>0.15</v>
      </c>
      <c r="E212" s="1062">
        <v>0.14799999999999999</v>
      </c>
      <c r="F212" s="1063">
        <v>0.13600000000000001</v>
      </c>
    </row>
    <row r="213" spans="1:6" ht="14.25" thickBot="1">
      <c r="A213" s="839" t="s">
        <v>528</v>
      </c>
      <c r="B213" s="833" t="s">
        <v>265</v>
      </c>
      <c r="C213" s="1062">
        <v>0.15</v>
      </c>
      <c r="D213" s="1062">
        <v>0.15</v>
      </c>
      <c r="E213" s="1062">
        <v>0.15</v>
      </c>
      <c r="F213" s="1063">
        <v>0.13800000000000001</v>
      </c>
    </row>
    <row r="214" spans="1:6" ht="14.25" thickBot="1">
      <c r="A214" s="839" t="s">
        <v>528</v>
      </c>
      <c r="B214" s="833" t="s">
        <v>277</v>
      </c>
      <c r="C214" s="1062">
        <v>9.0999999999999998E-2</v>
      </c>
      <c r="D214" s="1062">
        <v>0.09</v>
      </c>
      <c r="E214" s="1062">
        <v>9.1999999999999998E-2</v>
      </c>
      <c r="F214" s="1074"/>
    </row>
    <row r="215" spans="1:6" ht="14.25" thickBot="1">
      <c r="A215" s="839" t="s">
        <v>528</v>
      </c>
      <c r="B215" s="833" t="s">
        <v>945</v>
      </c>
      <c r="C215" s="1062">
        <v>0.15</v>
      </c>
      <c r="D215" s="1062">
        <v>0.15</v>
      </c>
      <c r="E215" s="1062">
        <v>0.15</v>
      </c>
      <c r="F215" s="1063">
        <v>0.15</v>
      </c>
    </row>
    <row r="216" spans="1:6" ht="14.25" thickBot="1">
      <c r="A216" s="839" t="s">
        <v>528</v>
      </c>
      <c r="B216" s="833" t="s">
        <v>297</v>
      </c>
      <c r="C216" s="1062">
        <v>0.14699999999999999</v>
      </c>
      <c r="D216" s="1062">
        <v>0.14699999999999999</v>
      </c>
      <c r="E216" s="1062">
        <v>0.15</v>
      </c>
      <c r="F216" s="1063">
        <v>0.14000000000000001</v>
      </c>
    </row>
    <row r="217" spans="1:6" ht="14.25" thickBot="1">
      <c r="A217" s="839" t="s">
        <v>528</v>
      </c>
      <c r="B217" s="833" t="s">
        <v>307</v>
      </c>
      <c r="C217" s="1062">
        <v>0.15</v>
      </c>
      <c r="D217" s="1062">
        <v>0.15</v>
      </c>
      <c r="E217" s="1062">
        <v>0.15</v>
      </c>
      <c r="F217" s="1063">
        <v>0.15</v>
      </c>
    </row>
    <row r="218" spans="1:6" ht="14.25" thickBot="1">
      <c r="A218" s="839" t="s">
        <v>528</v>
      </c>
      <c r="B218" s="833" t="s">
        <v>946</v>
      </c>
      <c r="C218" s="1062">
        <v>0.15</v>
      </c>
      <c r="D218" s="1062">
        <v>0.15</v>
      </c>
      <c r="E218" s="1062">
        <v>0.15</v>
      </c>
      <c r="F218" s="1063">
        <v>0.15</v>
      </c>
    </row>
    <row r="219" spans="1:6" ht="14.25" thickBot="1">
      <c r="A219" s="839" t="s">
        <v>528</v>
      </c>
      <c r="B219" s="833" t="s">
        <v>328</v>
      </c>
      <c r="C219" s="1062">
        <v>0.15</v>
      </c>
      <c r="D219" s="1062">
        <v>0.15</v>
      </c>
      <c r="E219" s="1062">
        <v>0.15</v>
      </c>
      <c r="F219" s="1063">
        <v>0.14799999999999999</v>
      </c>
    </row>
    <row r="220" spans="1:6" ht="14.25" thickBot="1">
      <c r="A220" s="839" t="s">
        <v>528</v>
      </c>
      <c r="B220" s="833" t="s">
        <v>947</v>
      </c>
      <c r="C220" s="1062">
        <v>0.15</v>
      </c>
      <c r="D220" s="1062">
        <v>0.15</v>
      </c>
      <c r="E220" s="1062">
        <v>0.15</v>
      </c>
      <c r="F220" s="1063">
        <v>0.15</v>
      </c>
    </row>
    <row r="221" spans="1:6" ht="14.25" thickBot="1">
      <c r="A221" s="839" t="s">
        <v>528</v>
      </c>
      <c r="B221" s="833" t="s">
        <v>349</v>
      </c>
      <c r="C221" s="1062"/>
      <c r="D221" s="1075"/>
      <c r="E221" s="1075"/>
      <c r="F221" s="1063">
        <v>0.14799999999999999</v>
      </c>
    </row>
    <row r="222" spans="1:6" ht="14.25" thickBot="1">
      <c r="A222" s="839" t="s">
        <v>528</v>
      </c>
      <c r="B222" s="833" t="s">
        <v>359</v>
      </c>
      <c r="C222" s="1062"/>
      <c r="D222" s="1075"/>
      <c r="E222" s="1075"/>
      <c r="F222" s="1063">
        <v>0.1</v>
      </c>
    </row>
    <row r="223" spans="1:6" ht="14.25" thickBot="1">
      <c r="A223" s="839" t="s">
        <v>528</v>
      </c>
      <c r="B223" s="833" t="s">
        <v>369</v>
      </c>
      <c r="C223" s="1062"/>
      <c r="D223" s="1075"/>
      <c r="E223" s="1075"/>
      <c r="F223" s="1063">
        <v>0.15</v>
      </c>
    </row>
    <row r="224" spans="1:6" ht="14.25" thickBot="1">
      <c r="A224" s="839" t="s">
        <v>528</v>
      </c>
      <c r="B224" s="833" t="s">
        <v>379</v>
      </c>
      <c r="C224" s="1062"/>
      <c r="D224" s="1075"/>
      <c r="E224" s="1075"/>
      <c r="F224" s="1063">
        <v>0.15</v>
      </c>
    </row>
    <row r="225" spans="1:6" ht="14.25" thickBot="1">
      <c r="A225" s="839" t="s">
        <v>528</v>
      </c>
      <c r="B225" s="833" t="s">
        <v>948</v>
      </c>
      <c r="C225" s="1062">
        <v>0.15</v>
      </c>
      <c r="D225" s="1062">
        <v>0.15</v>
      </c>
      <c r="E225" s="1062">
        <v>0.15</v>
      </c>
      <c r="F225" s="1063">
        <v>0.15</v>
      </c>
    </row>
    <row r="226" spans="1:6" ht="14.25" thickBot="1">
      <c r="A226" s="839" t="s">
        <v>528</v>
      </c>
      <c r="B226" s="833" t="s">
        <v>397</v>
      </c>
      <c r="C226" s="1062">
        <v>0.15</v>
      </c>
      <c r="D226" s="1062">
        <v>0.15</v>
      </c>
      <c r="E226" s="1062">
        <v>0.15</v>
      </c>
      <c r="F226" s="1063">
        <v>0.14799999999999999</v>
      </c>
    </row>
    <row r="227" spans="1:6" ht="14.25" thickBot="1">
      <c r="A227" s="839" t="s">
        <v>528</v>
      </c>
      <c r="B227" s="833" t="s">
        <v>949</v>
      </c>
      <c r="C227" s="1062">
        <v>0.15</v>
      </c>
      <c r="D227" s="1062">
        <v>0.15</v>
      </c>
      <c r="E227" s="1062">
        <v>0.15</v>
      </c>
      <c r="F227" s="1063">
        <v>0.15</v>
      </c>
    </row>
    <row r="228" spans="1:6" ht="14.25" thickBot="1">
      <c r="A228" s="839" t="s">
        <v>528</v>
      </c>
      <c r="B228" s="833" t="s">
        <v>412</v>
      </c>
      <c r="C228" s="1062">
        <v>0.15</v>
      </c>
      <c r="D228" s="1062">
        <v>0.15</v>
      </c>
      <c r="E228" s="1062">
        <v>0.15</v>
      </c>
      <c r="F228" s="1063">
        <v>0.15</v>
      </c>
    </row>
    <row r="229" spans="1:6" ht="14.25" thickBot="1">
      <c r="A229" s="839" t="s">
        <v>528</v>
      </c>
      <c r="B229" s="833" t="s">
        <v>419</v>
      </c>
      <c r="C229" s="1062">
        <v>0.15</v>
      </c>
      <c r="D229" s="1062">
        <v>0.15</v>
      </c>
      <c r="E229" s="1062">
        <v>0.15</v>
      </c>
      <c r="F229" s="1074"/>
    </row>
    <row r="230" spans="1:6" ht="14.25" thickBot="1">
      <c r="A230" s="839" t="s">
        <v>528</v>
      </c>
      <c r="B230" s="833" t="s">
        <v>426</v>
      </c>
      <c r="C230" s="1062">
        <v>0.14499999999999999</v>
      </c>
      <c r="D230" s="1062">
        <v>0.14499999999999999</v>
      </c>
      <c r="E230" s="1062">
        <v>0.14399999999999999</v>
      </c>
      <c r="F230" s="1074"/>
    </row>
    <row r="231" spans="1:6" ht="14.25" thickBot="1">
      <c r="A231" s="839" t="s">
        <v>528</v>
      </c>
      <c r="B231" s="833" t="s">
        <v>950</v>
      </c>
      <c r="C231" s="1062">
        <v>0.128</v>
      </c>
      <c r="D231" s="1062">
        <v>0.125</v>
      </c>
      <c r="E231" s="1062">
        <v>0.13200000000000001</v>
      </c>
      <c r="F231" s="1074"/>
    </row>
    <row r="232" spans="1:6" ht="14.25" thickBot="1">
      <c r="A232" s="839" t="s">
        <v>528</v>
      </c>
      <c r="B232" s="833" t="s">
        <v>951</v>
      </c>
      <c r="C232" s="1062">
        <v>0.14499999999999999</v>
      </c>
      <c r="D232" s="1062">
        <v>0.14399999999999999</v>
      </c>
      <c r="E232" s="1062">
        <v>0.14599999999999999</v>
      </c>
      <c r="F232" s="1063">
        <v>0.13800000000000001</v>
      </c>
    </row>
    <row r="233" spans="1:6" ht="14.25" thickBot="1">
      <c r="A233" s="839" t="s">
        <v>528</v>
      </c>
      <c r="B233" s="833" t="s">
        <v>952</v>
      </c>
      <c r="C233" s="1062">
        <v>0.14499999999999999</v>
      </c>
      <c r="D233" s="1062">
        <v>0.14299999999999999</v>
      </c>
      <c r="E233" s="1062">
        <v>0.14199999999999999</v>
      </c>
      <c r="F233" s="1074"/>
    </row>
    <row r="234" spans="1:6" ht="14.25" thickBot="1">
      <c r="A234" s="839" t="s">
        <v>528</v>
      </c>
      <c r="B234" s="833" t="s">
        <v>953</v>
      </c>
      <c r="C234" s="1062">
        <v>0.14000000000000001</v>
      </c>
      <c r="D234" s="1062">
        <v>0.14000000000000001</v>
      </c>
      <c r="E234" s="1062">
        <v>0.14399999999999999</v>
      </c>
      <c r="F234" s="1074"/>
    </row>
    <row r="235" spans="1:6" ht="14.25" thickBot="1">
      <c r="A235" s="839" t="s">
        <v>528</v>
      </c>
      <c r="B235" s="833" t="s">
        <v>954</v>
      </c>
      <c r="C235" s="1062">
        <v>0.14099999999999999</v>
      </c>
      <c r="D235" s="1062">
        <v>0.14199999999999999</v>
      </c>
      <c r="E235" s="1062">
        <v>0.14499999999999999</v>
      </c>
      <c r="F235" s="1063">
        <v>0.15</v>
      </c>
    </row>
    <row r="236" spans="1:6" ht="14.25" thickBot="1">
      <c r="A236" s="839" t="s">
        <v>528</v>
      </c>
      <c r="B236" s="833" t="s">
        <v>461</v>
      </c>
      <c r="C236" s="1075"/>
      <c r="D236" s="1075"/>
      <c r="E236" s="1075"/>
      <c r="F236" s="1063">
        <v>0.14299999999999999</v>
      </c>
    </row>
    <row r="237" spans="1:6" ht="24.75" thickBot="1">
      <c r="A237" s="839" t="s">
        <v>528</v>
      </c>
      <c r="B237" s="833" t="s">
        <v>955</v>
      </c>
      <c r="C237" s="1075"/>
      <c r="D237" s="1075"/>
      <c r="E237" s="1075"/>
      <c r="F237" s="1063">
        <v>0.05</v>
      </c>
    </row>
    <row r="238" spans="1:6" ht="24.75" thickBot="1">
      <c r="A238" s="839" t="s">
        <v>528</v>
      </c>
      <c r="B238" s="833" t="s">
        <v>956</v>
      </c>
      <c r="C238" s="1075"/>
      <c r="D238" s="1075"/>
      <c r="E238" s="1075"/>
      <c r="F238" s="1063">
        <v>0.05</v>
      </c>
    </row>
    <row r="239" spans="1:6" ht="24.75" thickBot="1">
      <c r="A239" s="839" t="s">
        <v>528</v>
      </c>
      <c r="B239" s="833" t="s">
        <v>957</v>
      </c>
      <c r="C239" s="1075"/>
      <c r="D239" s="1075"/>
      <c r="E239" s="1075"/>
      <c r="F239" s="1063">
        <v>0.05</v>
      </c>
    </row>
    <row r="240" spans="1:6" ht="24.75" thickBot="1">
      <c r="A240" s="839" t="s">
        <v>528</v>
      </c>
      <c r="B240" s="833" t="s">
        <v>958</v>
      </c>
      <c r="C240" s="1075"/>
      <c r="D240" s="1075"/>
      <c r="E240" s="1075"/>
      <c r="F240" s="1063">
        <v>0.05</v>
      </c>
    </row>
    <row r="241" spans="1:6" ht="24.75" thickBot="1">
      <c r="A241" s="839" t="s">
        <v>528</v>
      </c>
      <c r="B241" s="833" t="s">
        <v>959</v>
      </c>
      <c r="C241" s="1075"/>
      <c r="D241" s="1075"/>
      <c r="E241" s="1075"/>
      <c r="F241" s="1063">
        <v>0.05</v>
      </c>
    </row>
    <row r="242" spans="1:6" ht="24.75" thickBot="1">
      <c r="A242" s="839" t="s">
        <v>528</v>
      </c>
      <c r="B242" s="833" t="s">
        <v>960</v>
      </c>
      <c r="C242" s="1075"/>
      <c r="D242" s="1075"/>
      <c r="E242" s="1075"/>
      <c r="F242" s="1063">
        <v>0.05</v>
      </c>
    </row>
    <row r="243" spans="1:6" ht="24.75" thickBot="1">
      <c r="A243" s="839" t="s">
        <v>528</v>
      </c>
      <c r="B243" s="833" t="s">
        <v>961</v>
      </c>
      <c r="C243" s="1075"/>
      <c r="D243" s="1075"/>
      <c r="E243" s="1075"/>
      <c r="F243" s="1063">
        <v>0.05</v>
      </c>
    </row>
    <row r="244" spans="1:6" ht="24.75" thickBot="1">
      <c r="A244" s="849" t="s">
        <v>528</v>
      </c>
      <c r="B244" s="845" t="s">
        <v>962</v>
      </c>
      <c r="C244" s="1072"/>
      <c r="D244" s="1072"/>
      <c r="E244" s="1072"/>
      <c r="F244" s="1065">
        <v>0.05</v>
      </c>
    </row>
    <row r="245" spans="1:6" ht="14.25" thickBot="1">
      <c r="A245" s="839" t="s">
        <v>530</v>
      </c>
      <c r="B245" s="840" t="s">
        <v>963</v>
      </c>
      <c r="C245" s="1060">
        <v>0.15</v>
      </c>
      <c r="D245" s="1060">
        <v>0.15</v>
      </c>
      <c r="E245" s="1060">
        <v>0.15</v>
      </c>
      <c r="F245" s="1061">
        <v>0.14299999999999999</v>
      </c>
    </row>
    <row r="246" spans="1:6" ht="14.25" thickBot="1">
      <c r="A246" s="839" t="s">
        <v>530</v>
      </c>
      <c r="B246" s="833" t="s">
        <v>195</v>
      </c>
      <c r="C246" s="1062">
        <v>0.15</v>
      </c>
      <c r="D246" s="1062">
        <v>0.15</v>
      </c>
      <c r="E246" s="1062">
        <v>0.15</v>
      </c>
      <c r="F246" s="1063">
        <v>0.114</v>
      </c>
    </row>
    <row r="247" spans="1:6" ht="14.25" thickBot="1">
      <c r="A247" s="839" t="s">
        <v>530</v>
      </c>
      <c r="B247" s="833" t="s">
        <v>964</v>
      </c>
      <c r="C247" s="1062">
        <v>0.15</v>
      </c>
      <c r="D247" s="1062">
        <v>0.15</v>
      </c>
      <c r="E247" s="1062">
        <v>0.15</v>
      </c>
      <c r="F247" s="1063">
        <v>0.15</v>
      </c>
    </row>
    <row r="248" spans="1:6" ht="14.25" thickBot="1">
      <c r="A248" s="839" t="s">
        <v>530</v>
      </c>
      <c r="B248" s="833" t="s">
        <v>965</v>
      </c>
      <c r="C248" s="1062">
        <v>0.15</v>
      </c>
      <c r="D248" s="1062">
        <v>0.15</v>
      </c>
      <c r="E248" s="1062">
        <v>0.15</v>
      </c>
      <c r="F248" s="1063">
        <v>0.14000000000000001</v>
      </c>
    </row>
    <row r="249" spans="1:6" ht="14.25" thickBot="1">
      <c r="A249" s="839" t="s">
        <v>530</v>
      </c>
      <c r="B249" s="833" t="s">
        <v>966</v>
      </c>
      <c r="C249" s="1062">
        <v>0.15</v>
      </c>
      <c r="D249" s="1062">
        <v>0.14899999999999999</v>
      </c>
      <c r="E249" s="1062">
        <v>0.15</v>
      </c>
      <c r="F249" s="1063">
        <v>0.1</v>
      </c>
    </row>
    <row r="250" spans="1:6" ht="14.25" thickBot="1">
      <c r="A250" s="839" t="s">
        <v>530</v>
      </c>
      <c r="B250" s="833" t="s">
        <v>967</v>
      </c>
      <c r="C250" s="1062">
        <v>0.15</v>
      </c>
      <c r="D250" s="1062">
        <v>0.15</v>
      </c>
      <c r="E250" s="1062">
        <v>0.15</v>
      </c>
      <c r="F250" s="1063">
        <v>0.14399999999999999</v>
      </c>
    </row>
    <row r="251" spans="1:6" ht="14.25" thickBot="1">
      <c r="A251" s="839" t="s">
        <v>530</v>
      </c>
      <c r="B251" s="833" t="s">
        <v>255</v>
      </c>
      <c r="C251" s="1062">
        <v>0.15</v>
      </c>
      <c r="D251" s="1062">
        <v>0.15</v>
      </c>
      <c r="E251" s="1062">
        <v>0.15</v>
      </c>
      <c r="F251" s="1063">
        <v>0.14299999999999999</v>
      </c>
    </row>
    <row r="252" spans="1:6" ht="14.25" thickBot="1">
      <c r="A252" s="839" t="s">
        <v>530</v>
      </c>
      <c r="B252" s="833" t="s">
        <v>266</v>
      </c>
      <c r="C252" s="1062">
        <v>0.15</v>
      </c>
      <c r="D252" s="1062">
        <v>0.15</v>
      </c>
      <c r="E252" s="1062">
        <v>0.15</v>
      </c>
      <c r="F252" s="1063">
        <v>0.1</v>
      </c>
    </row>
    <row r="253" spans="1:6" ht="14.25" thickBot="1">
      <c r="A253" s="839" t="s">
        <v>530</v>
      </c>
      <c r="B253" s="833" t="s">
        <v>278</v>
      </c>
      <c r="C253" s="1062">
        <v>0.15</v>
      </c>
      <c r="D253" s="1062">
        <v>0.15</v>
      </c>
      <c r="E253" s="1062">
        <v>0.15</v>
      </c>
      <c r="F253" s="1063">
        <v>0.1</v>
      </c>
    </row>
    <row r="254" spans="1:6" ht="14.25" thickBot="1">
      <c r="A254" s="839" t="s">
        <v>530</v>
      </c>
      <c r="B254" s="833" t="s">
        <v>288</v>
      </c>
      <c r="C254" s="1075"/>
      <c r="D254" s="1075"/>
      <c r="E254" s="1075"/>
      <c r="F254" s="1063">
        <v>0.15</v>
      </c>
    </row>
    <row r="255" spans="1:6" ht="14.25" thickBot="1">
      <c r="A255" s="839" t="s">
        <v>530</v>
      </c>
      <c r="B255" s="833" t="s">
        <v>298</v>
      </c>
      <c r="C255" s="1075"/>
      <c r="D255" s="1075"/>
      <c r="E255" s="1075"/>
      <c r="F255" s="1063">
        <v>0.14299999999999999</v>
      </c>
    </row>
    <row r="256" spans="1:6" ht="14.25" thickBot="1">
      <c r="A256" s="839" t="s">
        <v>530</v>
      </c>
      <c r="B256" s="833" t="s">
        <v>968</v>
      </c>
      <c r="C256" s="1062">
        <v>0.14599999999999999</v>
      </c>
      <c r="D256" s="1062">
        <v>0.14699999999999999</v>
      </c>
      <c r="E256" s="1062">
        <v>0.15</v>
      </c>
      <c r="F256" s="1063">
        <v>0.13200000000000001</v>
      </c>
    </row>
    <row r="257" spans="1:6" ht="14.25" thickBot="1">
      <c r="A257" s="839" t="s">
        <v>530</v>
      </c>
      <c r="B257" s="833" t="s">
        <v>318</v>
      </c>
      <c r="C257" s="1062">
        <v>0.15</v>
      </c>
      <c r="D257" s="1062">
        <v>0.15</v>
      </c>
      <c r="E257" s="1062">
        <v>0.15</v>
      </c>
      <c r="F257" s="1063">
        <v>0.13900000000000001</v>
      </c>
    </row>
    <row r="258" spans="1:6" ht="14.25" thickBot="1">
      <c r="A258" s="839" t="s">
        <v>530</v>
      </c>
      <c r="B258" s="833" t="s">
        <v>329</v>
      </c>
      <c r="C258" s="1062">
        <v>0.15</v>
      </c>
      <c r="D258" s="1062">
        <v>0.15</v>
      </c>
      <c r="E258" s="1062">
        <v>0.15</v>
      </c>
      <c r="F258" s="1063">
        <v>0.13</v>
      </c>
    </row>
    <row r="259" spans="1:6" ht="14.25" thickBot="1">
      <c r="A259" s="839" t="s">
        <v>530</v>
      </c>
      <c r="B259" s="833" t="s">
        <v>969</v>
      </c>
      <c r="C259" s="1062">
        <v>0.14799999999999999</v>
      </c>
      <c r="D259" s="1062">
        <v>0.14899999999999999</v>
      </c>
      <c r="E259" s="1062">
        <v>0.15</v>
      </c>
      <c r="F259" s="1063">
        <v>0.13700000000000001</v>
      </c>
    </row>
    <row r="260" spans="1:6" ht="14.25" thickBot="1">
      <c r="A260" s="839" t="s">
        <v>530</v>
      </c>
      <c r="B260" s="833" t="s">
        <v>350</v>
      </c>
      <c r="C260" s="1062">
        <v>0.15</v>
      </c>
      <c r="D260" s="1062">
        <v>0.15</v>
      </c>
      <c r="E260" s="1062">
        <v>0.15</v>
      </c>
      <c r="F260" s="1063">
        <v>0.14199999999999999</v>
      </c>
    </row>
    <row r="261" spans="1:6" ht="14.25" thickBot="1">
      <c r="A261" s="839" t="s">
        <v>530</v>
      </c>
      <c r="B261" s="833" t="s">
        <v>360</v>
      </c>
      <c r="C261" s="1062">
        <v>0.15</v>
      </c>
      <c r="D261" s="1062">
        <v>0.15</v>
      </c>
      <c r="E261" s="1062">
        <v>0.14899999999999999</v>
      </c>
      <c r="F261" s="1063">
        <v>0.14799999999999999</v>
      </c>
    </row>
    <row r="262" spans="1:6" ht="14.25" thickBot="1">
      <c r="A262" s="839" t="s">
        <v>530</v>
      </c>
      <c r="B262" s="833" t="s">
        <v>370</v>
      </c>
      <c r="C262" s="1062">
        <v>0.15</v>
      </c>
      <c r="D262" s="1062">
        <v>0.15</v>
      </c>
      <c r="E262" s="1062">
        <v>0.15</v>
      </c>
      <c r="F262" s="1074"/>
    </row>
    <row r="263" spans="1:6" ht="14.25" thickBot="1">
      <c r="A263" s="839" t="s">
        <v>530</v>
      </c>
      <c r="B263" s="833" t="s">
        <v>970</v>
      </c>
      <c r="C263" s="1062">
        <v>0.14899999999999999</v>
      </c>
      <c r="D263" s="1062">
        <v>0.14899999999999999</v>
      </c>
      <c r="E263" s="1062">
        <v>0.15</v>
      </c>
      <c r="F263" s="1063">
        <v>0.13</v>
      </c>
    </row>
    <row r="264" spans="1:6" ht="14.25" thickBot="1">
      <c r="A264" s="839" t="s">
        <v>530</v>
      </c>
      <c r="B264" s="833" t="s">
        <v>389</v>
      </c>
      <c r="C264" s="1062">
        <v>0.14799999999999999</v>
      </c>
      <c r="D264" s="1062">
        <v>0.14699999999999999</v>
      </c>
      <c r="E264" s="1062">
        <v>0.15</v>
      </c>
      <c r="F264" s="1063">
        <v>7.8E-2</v>
      </c>
    </row>
    <row r="265" spans="1:6" ht="14.25" thickBot="1">
      <c r="A265" s="839" t="s">
        <v>530</v>
      </c>
      <c r="B265" s="833" t="s">
        <v>398</v>
      </c>
      <c r="C265" s="1062">
        <v>0.15</v>
      </c>
      <c r="D265" s="1062">
        <v>0.15</v>
      </c>
      <c r="E265" s="1062">
        <v>0.15</v>
      </c>
      <c r="F265" s="1063">
        <v>7.3999999999999996E-2</v>
      </c>
    </row>
    <row r="266" spans="1:6" ht="14.25" thickBot="1">
      <c r="A266" s="839" t="s">
        <v>530</v>
      </c>
      <c r="B266" s="833" t="s">
        <v>406</v>
      </c>
      <c r="C266" s="1062">
        <v>0.14699999999999999</v>
      </c>
      <c r="D266" s="1062">
        <v>0.14699999999999999</v>
      </c>
      <c r="E266" s="1062">
        <v>0.15</v>
      </c>
      <c r="F266" s="1063">
        <v>0.14299999999999999</v>
      </c>
    </row>
    <row r="267" spans="1:6" ht="14.25" thickBot="1">
      <c r="A267" s="839" t="s">
        <v>530</v>
      </c>
      <c r="B267" s="833" t="s">
        <v>413</v>
      </c>
      <c r="C267" s="1062">
        <v>0.14199999999999999</v>
      </c>
      <c r="D267" s="1062">
        <v>0.14299999999999999</v>
      </c>
      <c r="E267" s="1062">
        <v>0.15</v>
      </c>
      <c r="F267" s="1074"/>
    </row>
    <row r="268" spans="1:6" ht="14.25" thickBot="1">
      <c r="A268" s="839" t="s">
        <v>530</v>
      </c>
      <c r="B268" s="833" t="s">
        <v>971</v>
      </c>
      <c r="C268" s="1062">
        <v>0.15</v>
      </c>
      <c r="D268" s="1062">
        <v>0.15</v>
      </c>
      <c r="E268" s="1062">
        <v>0.15</v>
      </c>
      <c r="F268" s="1063">
        <v>0.13</v>
      </c>
    </row>
    <row r="269" spans="1:6" ht="14.25" thickBot="1">
      <c r="A269" s="839" t="s">
        <v>530</v>
      </c>
      <c r="B269" s="833" t="s">
        <v>427</v>
      </c>
      <c r="C269" s="1062">
        <v>0.15</v>
      </c>
      <c r="D269" s="1062">
        <v>0.15</v>
      </c>
      <c r="E269" s="1062">
        <v>0.15</v>
      </c>
      <c r="F269" s="1063">
        <v>0.14299999999999999</v>
      </c>
    </row>
    <row r="270" spans="1:6" ht="14.25" thickBot="1">
      <c r="A270" s="839" t="s">
        <v>530</v>
      </c>
      <c r="B270" s="833" t="s">
        <v>434</v>
      </c>
      <c r="C270" s="1062">
        <v>0.14499999999999999</v>
      </c>
      <c r="D270" s="1062">
        <v>0.14499999999999999</v>
      </c>
      <c r="E270" s="1062">
        <v>0.15</v>
      </c>
      <c r="F270" s="1063">
        <v>0.14699999999999999</v>
      </c>
    </row>
    <row r="271" spans="1:6" ht="14.25" thickBot="1">
      <c r="A271" s="839" t="s">
        <v>530</v>
      </c>
      <c r="B271" s="833" t="s">
        <v>441</v>
      </c>
      <c r="C271" s="1062">
        <v>0.15</v>
      </c>
      <c r="D271" s="1062">
        <v>0.15</v>
      </c>
      <c r="E271" s="1062">
        <v>0.15</v>
      </c>
      <c r="F271" s="1063">
        <v>0.13800000000000001</v>
      </c>
    </row>
    <row r="272" spans="1:6" ht="14.25" thickBot="1">
      <c r="A272" s="839" t="s">
        <v>530</v>
      </c>
      <c r="B272" s="833" t="s">
        <v>448</v>
      </c>
      <c r="C272" s="1075"/>
      <c r="D272" s="1075"/>
      <c r="E272" s="1075"/>
      <c r="F272" s="1063">
        <v>0.14000000000000001</v>
      </c>
    </row>
    <row r="273" spans="1:6" ht="14.25" thickBot="1">
      <c r="A273" s="839" t="s">
        <v>530</v>
      </c>
      <c r="B273" s="833" t="s">
        <v>972</v>
      </c>
      <c r="C273" s="1062">
        <v>0.14199999999999999</v>
      </c>
      <c r="D273" s="1062">
        <v>0.14299999999999999</v>
      </c>
      <c r="E273" s="1062">
        <v>0.15</v>
      </c>
      <c r="F273" s="1063">
        <v>0.1</v>
      </c>
    </row>
    <row r="274" spans="1:6" ht="14.25" thickBot="1">
      <c r="A274" s="839" t="s">
        <v>530</v>
      </c>
      <c r="B274" s="833" t="s">
        <v>973</v>
      </c>
      <c r="C274" s="1062">
        <v>0.14799999999999999</v>
      </c>
      <c r="D274" s="1062">
        <v>0.14799999999999999</v>
      </c>
      <c r="E274" s="1062">
        <v>0.15</v>
      </c>
      <c r="F274" s="1063">
        <v>6.7000000000000004E-2</v>
      </c>
    </row>
    <row r="275" spans="1:6" ht="14.25" thickBot="1">
      <c r="A275" s="839" t="s">
        <v>530</v>
      </c>
      <c r="B275" s="833" t="s">
        <v>974</v>
      </c>
      <c r="C275" s="1062">
        <v>0.15</v>
      </c>
      <c r="D275" s="1062">
        <v>0.15</v>
      </c>
      <c r="E275" s="1062">
        <v>0.15</v>
      </c>
      <c r="F275" s="1063">
        <v>0.15</v>
      </c>
    </row>
    <row r="276" spans="1:6" ht="14.25" thickBot="1">
      <c r="A276" s="839" t="s">
        <v>530</v>
      </c>
      <c r="B276" s="833" t="s">
        <v>975</v>
      </c>
      <c r="C276" s="1062">
        <v>0.14499999999999999</v>
      </c>
      <c r="D276" s="1062">
        <v>0.14299999999999999</v>
      </c>
      <c r="E276" s="1062">
        <v>0.15</v>
      </c>
      <c r="F276" s="1063">
        <v>5.8999999999999997E-2</v>
      </c>
    </row>
    <row r="277" spans="1:6" ht="14.25" thickBot="1">
      <c r="A277" s="839" t="s">
        <v>530</v>
      </c>
      <c r="B277" s="833" t="s">
        <v>976</v>
      </c>
      <c r="C277" s="1062">
        <v>0.15</v>
      </c>
      <c r="D277" s="1062">
        <v>0.15</v>
      </c>
      <c r="E277" s="1062">
        <v>0.15</v>
      </c>
      <c r="F277" s="1063">
        <v>0.121</v>
      </c>
    </row>
    <row r="278" spans="1:6" ht="14.25" thickBot="1">
      <c r="A278" s="839" t="s">
        <v>530</v>
      </c>
      <c r="B278" s="833" t="s">
        <v>977</v>
      </c>
      <c r="C278" s="1062">
        <v>0.15</v>
      </c>
      <c r="D278" s="1062">
        <v>0.15</v>
      </c>
      <c r="E278" s="1062">
        <v>0.15</v>
      </c>
      <c r="F278" s="1063">
        <v>0.13800000000000001</v>
      </c>
    </row>
    <row r="279" spans="1:6" ht="24.75" thickBot="1">
      <c r="A279" s="839" t="s">
        <v>530</v>
      </c>
      <c r="B279" s="833" t="s">
        <v>978</v>
      </c>
      <c r="C279" s="1075"/>
      <c r="D279" s="1075"/>
      <c r="E279" s="1075"/>
      <c r="F279" s="1063">
        <v>0.05</v>
      </c>
    </row>
    <row r="280" spans="1:6" ht="24.75" thickBot="1">
      <c r="A280" s="839" t="s">
        <v>530</v>
      </c>
      <c r="B280" s="833" t="s">
        <v>979</v>
      </c>
      <c r="C280" s="1075"/>
      <c r="D280" s="1075"/>
      <c r="E280" s="1075"/>
      <c r="F280" s="1063">
        <v>0.05</v>
      </c>
    </row>
    <row r="281" spans="1:6" ht="24.75" thickBot="1">
      <c r="A281" s="839" t="s">
        <v>530</v>
      </c>
      <c r="B281" s="833" t="s">
        <v>980</v>
      </c>
      <c r="C281" s="1075"/>
      <c r="D281" s="1075"/>
      <c r="E281" s="1075"/>
      <c r="F281" s="1063">
        <v>0.05</v>
      </c>
    </row>
    <row r="282" spans="1:6" ht="24.75" thickBot="1">
      <c r="A282" s="839" t="s">
        <v>530</v>
      </c>
      <c r="B282" s="833" t="s">
        <v>981</v>
      </c>
      <c r="C282" s="1075"/>
      <c r="D282" s="1075"/>
      <c r="E282" s="1075"/>
      <c r="F282" s="1063">
        <v>0.05</v>
      </c>
    </row>
    <row r="283" spans="1:6" ht="24.75" thickBot="1">
      <c r="A283" s="839" t="s">
        <v>530</v>
      </c>
      <c r="B283" s="833" t="s">
        <v>982</v>
      </c>
      <c r="C283" s="1075"/>
      <c r="D283" s="1075"/>
      <c r="E283" s="1075"/>
      <c r="F283" s="1063">
        <v>0.05</v>
      </c>
    </row>
    <row r="284" spans="1:6" ht="24.75" thickBot="1">
      <c r="A284" s="839" t="s">
        <v>530</v>
      </c>
      <c r="B284" s="833" t="s">
        <v>983</v>
      </c>
      <c r="C284" s="1075"/>
      <c r="D284" s="1075"/>
      <c r="E284" s="1075"/>
      <c r="F284" s="1063">
        <v>0.05</v>
      </c>
    </row>
    <row r="285" spans="1:6" ht="24.75" thickBot="1">
      <c r="A285" s="839" t="s">
        <v>530</v>
      </c>
      <c r="B285" s="833" t="s">
        <v>984</v>
      </c>
      <c r="C285" s="1075"/>
      <c r="D285" s="1075"/>
      <c r="E285" s="1075"/>
      <c r="F285" s="1063">
        <v>0.05</v>
      </c>
    </row>
    <row r="286" spans="1:6" ht="24.75" thickBot="1">
      <c r="A286" s="839" t="s">
        <v>530</v>
      </c>
      <c r="B286" s="833" t="s">
        <v>985</v>
      </c>
      <c r="C286" s="1075"/>
      <c r="D286" s="1075"/>
      <c r="E286" s="1075"/>
      <c r="F286" s="1063">
        <v>0.05</v>
      </c>
    </row>
    <row r="287" spans="1:6" ht="24.75" thickBot="1">
      <c r="A287" s="839" t="s">
        <v>530</v>
      </c>
      <c r="B287" s="833" t="s">
        <v>986</v>
      </c>
      <c r="C287" s="1075"/>
      <c r="D287" s="1075"/>
      <c r="E287" s="1075"/>
      <c r="F287" s="1063">
        <v>0.05</v>
      </c>
    </row>
    <row r="288" spans="1:6" ht="24.75" thickBot="1">
      <c r="A288" s="839" t="s">
        <v>530</v>
      </c>
      <c r="B288" s="833" t="s">
        <v>987</v>
      </c>
      <c r="C288" s="1075"/>
      <c r="D288" s="1075"/>
      <c r="E288" s="1075"/>
      <c r="F288" s="1063">
        <v>0.05</v>
      </c>
    </row>
    <row r="289" spans="1:6" ht="24.75" thickBot="1">
      <c r="A289" s="849" t="s">
        <v>530</v>
      </c>
      <c r="B289" s="845" t="s">
        <v>988</v>
      </c>
      <c r="C289" s="1072"/>
      <c r="D289" s="1072"/>
      <c r="E289" s="1072"/>
      <c r="F289" s="1065">
        <v>0.05</v>
      </c>
    </row>
    <row r="290" spans="1:6" ht="14.25" thickBot="1">
      <c r="A290" s="839" t="s">
        <v>534</v>
      </c>
      <c r="B290" s="840" t="s">
        <v>989</v>
      </c>
      <c r="C290" s="1060">
        <v>0.15</v>
      </c>
      <c r="D290" s="1060">
        <v>0.15</v>
      </c>
      <c r="E290" s="1060">
        <v>0.15</v>
      </c>
      <c r="F290" s="1077"/>
    </row>
    <row r="291" spans="1:6" ht="14.25" thickBot="1">
      <c r="A291" s="839" t="s">
        <v>534</v>
      </c>
      <c r="B291" s="833" t="s">
        <v>196</v>
      </c>
      <c r="C291" s="1062">
        <v>0.15</v>
      </c>
      <c r="D291" s="1062">
        <v>0.15</v>
      </c>
      <c r="E291" s="1062">
        <v>0.15</v>
      </c>
      <c r="F291" s="1074"/>
    </row>
    <row r="292" spans="1:6" ht="14.25" thickBot="1">
      <c r="A292" s="839" t="s">
        <v>534</v>
      </c>
      <c r="B292" s="833" t="s">
        <v>990</v>
      </c>
      <c r="C292" s="1062">
        <v>0.15</v>
      </c>
      <c r="D292" s="1062">
        <v>0.15</v>
      </c>
      <c r="E292" s="1062">
        <v>0.15</v>
      </c>
      <c r="F292" s="1063">
        <v>0.14699999999999999</v>
      </c>
    </row>
    <row r="293" spans="1:6" ht="14.25" thickBot="1">
      <c r="A293" s="839" t="s">
        <v>534</v>
      </c>
      <c r="B293" s="833" t="s">
        <v>991</v>
      </c>
      <c r="C293" s="1075"/>
      <c r="D293" s="1075"/>
      <c r="E293" s="1075"/>
      <c r="F293" s="1063">
        <v>0.1</v>
      </c>
    </row>
    <row r="294" spans="1:6" ht="14.25" thickBot="1">
      <c r="A294" s="839" t="s">
        <v>534</v>
      </c>
      <c r="B294" s="833" t="s">
        <v>992</v>
      </c>
      <c r="C294" s="1062">
        <v>0.15</v>
      </c>
      <c r="D294" s="1062">
        <v>0.15</v>
      </c>
      <c r="E294" s="1062">
        <v>0.15</v>
      </c>
      <c r="F294" s="1063">
        <v>0.15</v>
      </c>
    </row>
    <row r="295" spans="1:6" ht="14.25" thickBot="1">
      <c r="A295" s="839" t="s">
        <v>534</v>
      </c>
      <c r="B295" s="833" t="s">
        <v>234</v>
      </c>
      <c r="C295" s="1062">
        <v>0.15</v>
      </c>
      <c r="D295" s="1062">
        <v>0.15</v>
      </c>
      <c r="E295" s="1062">
        <v>0.15</v>
      </c>
      <c r="F295" s="1063">
        <v>0.15</v>
      </c>
    </row>
    <row r="296" spans="1:6" ht="14.25" thickBot="1">
      <c r="A296" s="839" t="s">
        <v>534</v>
      </c>
      <c r="B296" s="833" t="s">
        <v>993</v>
      </c>
      <c r="C296" s="1062">
        <v>0.15</v>
      </c>
      <c r="D296" s="1062">
        <v>0.15</v>
      </c>
      <c r="E296" s="1062">
        <v>0.15</v>
      </c>
      <c r="F296" s="1063">
        <v>0.15</v>
      </c>
    </row>
    <row r="297" spans="1:6" ht="14.25" thickBot="1">
      <c r="A297" s="839" t="s">
        <v>534</v>
      </c>
      <c r="B297" s="833" t="s">
        <v>994</v>
      </c>
      <c r="C297" s="1062">
        <v>0.14799999999999999</v>
      </c>
      <c r="D297" s="1062">
        <v>0.14899999999999999</v>
      </c>
      <c r="E297" s="1062">
        <v>0.15</v>
      </c>
      <c r="F297" s="1063">
        <v>0.13700000000000001</v>
      </c>
    </row>
    <row r="298" spans="1:6" ht="14.25" thickBot="1">
      <c r="A298" s="839" t="s">
        <v>534</v>
      </c>
      <c r="B298" s="833" t="s">
        <v>267</v>
      </c>
      <c r="C298" s="1062">
        <v>0.13400000000000001</v>
      </c>
      <c r="D298" s="1062">
        <v>0.13400000000000001</v>
      </c>
      <c r="E298" s="1062">
        <v>0.14499999999999999</v>
      </c>
      <c r="F298" s="1063">
        <v>0.14799999999999999</v>
      </c>
    </row>
    <row r="299" spans="1:6" ht="14.25" thickBot="1">
      <c r="A299" s="839" t="s">
        <v>534</v>
      </c>
      <c r="B299" s="833" t="s">
        <v>279</v>
      </c>
      <c r="C299" s="1062">
        <v>0.15</v>
      </c>
      <c r="D299" s="1062">
        <v>0.15</v>
      </c>
      <c r="E299" s="1062">
        <v>0.15</v>
      </c>
      <c r="F299" s="1074"/>
    </row>
    <row r="300" spans="1:6" ht="14.25" thickBot="1">
      <c r="A300" s="839" t="s">
        <v>534</v>
      </c>
      <c r="B300" s="833" t="s">
        <v>995</v>
      </c>
      <c r="C300" s="1062">
        <v>0.15</v>
      </c>
      <c r="D300" s="1062">
        <v>0.15</v>
      </c>
      <c r="E300" s="1062">
        <v>0.15</v>
      </c>
      <c r="F300" s="1063">
        <v>0.15</v>
      </c>
    </row>
    <row r="301" spans="1:6" ht="14.25" thickBot="1">
      <c r="A301" s="839" t="s">
        <v>534</v>
      </c>
      <c r="B301" s="833" t="s">
        <v>299</v>
      </c>
      <c r="C301" s="1062">
        <v>0.15</v>
      </c>
      <c r="D301" s="1062">
        <v>0.15</v>
      </c>
      <c r="E301" s="1062">
        <v>0.15</v>
      </c>
      <c r="F301" s="1074"/>
    </row>
    <row r="302" spans="1:6" ht="14.25" thickBot="1">
      <c r="A302" s="839" t="s">
        <v>534</v>
      </c>
      <c r="B302" s="833" t="s">
        <v>996</v>
      </c>
      <c r="C302" s="1062">
        <v>0.15</v>
      </c>
      <c r="D302" s="1062">
        <v>0.15</v>
      </c>
      <c r="E302" s="1062">
        <v>0.15</v>
      </c>
      <c r="F302" s="1063">
        <v>0.15</v>
      </c>
    </row>
    <row r="303" spans="1:6" ht="14.25" thickBot="1">
      <c r="A303" s="839" t="s">
        <v>534</v>
      </c>
      <c r="B303" s="833" t="s">
        <v>319</v>
      </c>
      <c r="C303" s="1062">
        <v>0.15</v>
      </c>
      <c r="D303" s="1062">
        <v>0.15</v>
      </c>
      <c r="E303" s="1062">
        <v>0.15</v>
      </c>
      <c r="F303" s="1063">
        <v>0.15</v>
      </c>
    </row>
    <row r="304" spans="1:6" ht="14.25" thickBot="1">
      <c r="A304" s="839" t="s">
        <v>534</v>
      </c>
      <c r="B304" s="833" t="s">
        <v>330</v>
      </c>
      <c r="C304" s="1062">
        <v>0.15</v>
      </c>
      <c r="D304" s="1062">
        <v>0.15</v>
      </c>
      <c r="E304" s="1062">
        <v>0.15</v>
      </c>
      <c r="F304" s="1074"/>
    </row>
    <row r="305" spans="1:6" ht="14.25" thickBot="1">
      <c r="A305" s="839" t="s">
        <v>534</v>
      </c>
      <c r="B305" s="833" t="s">
        <v>997</v>
      </c>
      <c r="C305" s="1062">
        <v>0.15</v>
      </c>
      <c r="D305" s="1062">
        <v>0.15</v>
      </c>
      <c r="E305" s="1062">
        <v>0.15</v>
      </c>
      <c r="F305" s="1063">
        <v>0.14000000000000001</v>
      </c>
    </row>
    <row r="306" spans="1:6" ht="14.25" thickBot="1">
      <c r="A306" s="839" t="s">
        <v>534</v>
      </c>
      <c r="B306" s="833" t="s">
        <v>351</v>
      </c>
      <c r="C306" s="1062">
        <v>0.15</v>
      </c>
      <c r="D306" s="1062">
        <v>0.15</v>
      </c>
      <c r="E306" s="1062">
        <v>0.15</v>
      </c>
      <c r="F306" s="1074"/>
    </row>
    <row r="307" spans="1:6" ht="14.25" thickBot="1">
      <c r="A307" s="839" t="s">
        <v>534</v>
      </c>
      <c r="B307" s="833" t="s">
        <v>998</v>
      </c>
      <c r="C307" s="1062">
        <v>0.15</v>
      </c>
      <c r="D307" s="1062">
        <v>0.15</v>
      </c>
      <c r="E307" s="1062">
        <v>0.15</v>
      </c>
      <c r="F307" s="1063">
        <v>0.14299999999999999</v>
      </c>
    </row>
    <row r="308" spans="1:6" ht="14.25" thickBot="1">
      <c r="A308" s="839" t="s">
        <v>534</v>
      </c>
      <c r="B308" s="833" t="s">
        <v>371</v>
      </c>
      <c r="C308" s="1062">
        <v>0.15</v>
      </c>
      <c r="D308" s="1062">
        <v>0.15</v>
      </c>
      <c r="E308" s="1062">
        <v>0.15</v>
      </c>
      <c r="F308" s="1063">
        <v>0.15</v>
      </c>
    </row>
    <row r="309" spans="1:6" ht="14.25" thickBot="1">
      <c r="A309" s="839" t="s">
        <v>534</v>
      </c>
      <c r="B309" s="833" t="s">
        <v>381</v>
      </c>
      <c r="C309" s="1062">
        <v>0.15</v>
      </c>
      <c r="D309" s="1062">
        <v>0.15</v>
      </c>
      <c r="E309" s="1062">
        <v>0.15</v>
      </c>
      <c r="F309" s="1074"/>
    </row>
    <row r="310" spans="1:6" ht="14.25" thickBot="1">
      <c r="A310" s="839" t="s">
        <v>534</v>
      </c>
      <c r="B310" s="833" t="s">
        <v>999</v>
      </c>
      <c r="C310" s="1062">
        <v>0.15</v>
      </c>
      <c r="D310" s="1062">
        <v>0.15</v>
      </c>
      <c r="E310" s="1062">
        <v>0.15</v>
      </c>
      <c r="F310" s="1063">
        <v>0.13700000000000001</v>
      </c>
    </row>
    <row r="311" spans="1:6" ht="14.25" thickBot="1">
      <c r="A311" s="839" t="s">
        <v>534</v>
      </c>
      <c r="B311" s="833" t="s">
        <v>1000</v>
      </c>
      <c r="C311" s="1062">
        <v>0.15</v>
      </c>
      <c r="D311" s="1062">
        <v>0.15</v>
      </c>
      <c r="E311" s="1062">
        <v>0.15</v>
      </c>
      <c r="F311" s="1063">
        <v>0.15</v>
      </c>
    </row>
    <row r="312" spans="1:6" ht="14.25" thickBot="1">
      <c r="A312" s="839" t="s">
        <v>534</v>
      </c>
      <c r="B312" s="833" t="s">
        <v>407</v>
      </c>
      <c r="C312" s="1062">
        <v>0.15</v>
      </c>
      <c r="D312" s="1062">
        <v>0.15</v>
      </c>
      <c r="E312" s="1062">
        <v>0.15</v>
      </c>
      <c r="F312" s="1063">
        <v>0.1</v>
      </c>
    </row>
    <row r="313" spans="1:6" ht="14.25" thickBot="1">
      <c r="A313" s="839" t="s">
        <v>534</v>
      </c>
      <c r="B313" s="833" t="s">
        <v>1001</v>
      </c>
      <c r="C313" s="1062">
        <v>0.15</v>
      </c>
      <c r="D313" s="1062">
        <v>0.15</v>
      </c>
      <c r="E313" s="1062">
        <v>0.15</v>
      </c>
      <c r="F313" s="1063">
        <v>0.15</v>
      </c>
    </row>
    <row r="314" spans="1:6" ht="24.75" thickBot="1">
      <c r="A314" s="839" t="s">
        <v>534</v>
      </c>
      <c r="B314" s="833" t="s">
        <v>1002</v>
      </c>
      <c r="C314" s="1075"/>
      <c r="D314" s="1075"/>
      <c r="E314" s="1075"/>
      <c r="F314" s="1063">
        <v>0.05</v>
      </c>
    </row>
    <row r="315" spans="1:6" ht="24.75" thickBot="1">
      <c r="A315" s="839" t="s">
        <v>534</v>
      </c>
      <c r="B315" s="833" t="s">
        <v>1003</v>
      </c>
      <c r="C315" s="1075"/>
      <c r="D315" s="1075"/>
      <c r="E315" s="1075"/>
      <c r="F315" s="1063">
        <v>0.05</v>
      </c>
    </row>
    <row r="316" spans="1:6" ht="24.75" thickBot="1">
      <c r="A316" s="849" t="s">
        <v>534</v>
      </c>
      <c r="B316" s="845" t="s">
        <v>1004</v>
      </c>
      <c r="C316" s="1072"/>
      <c r="D316" s="1072"/>
      <c r="E316" s="1072"/>
      <c r="F316" s="1065">
        <v>0.05</v>
      </c>
    </row>
    <row r="317" spans="1:6" ht="14.25" thickBot="1">
      <c r="A317" s="839" t="s">
        <v>1005</v>
      </c>
      <c r="B317" s="840" t="s">
        <v>1006</v>
      </c>
      <c r="C317" s="1060">
        <v>0.15</v>
      </c>
      <c r="D317" s="1060">
        <v>0.15</v>
      </c>
      <c r="E317" s="1060">
        <v>0.15</v>
      </c>
      <c r="F317" s="1061">
        <v>0.15</v>
      </c>
    </row>
    <row r="318" spans="1:6" ht="14.25" thickBot="1">
      <c r="A318" s="839" t="s">
        <v>1005</v>
      </c>
      <c r="B318" s="833" t="s">
        <v>1007</v>
      </c>
      <c r="C318" s="1062">
        <v>0.107</v>
      </c>
      <c r="D318" s="1062">
        <v>0.11</v>
      </c>
      <c r="E318" s="1062">
        <v>0.112</v>
      </c>
      <c r="F318" s="1074"/>
    </row>
    <row r="319" spans="1:6" ht="14.25" thickBot="1">
      <c r="A319" s="839" t="s">
        <v>1005</v>
      </c>
      <c r="B319" s="833" t="s">
        <v>1008</v>
      </c>
      <c r="C319" s="1062">
        <v>0.15</v>
      </c>
      <c r="D319" s="1062">
        <v>0.15</v>
      </c>
      <c r="E319" s="1062">
        <v>0.15</v>
      </c>
      <c r="F319" s="1063">
        <v>0.15</v>
      </c>
    </row>
    <row r="320" spans="1:6" ht="14.25" thickBot="1">
      <c r="A320" s="839" t="s">
        <v>1005</v>
      </c>
      <c r="B320" s="833" t="s">
        <v>223</v>
      </c>
      <c r="C320" s="1062">
        <v>0.15</v>
      </c>
      <c r="D320" s="1062">
        <v>0.15</v>
      </c>
      <c r="E320" s="1062">
        <v>0.15</v>
      </c>
      <c r="F320" s="1074"/>
    </row>
    <row r="321" spans="1:6" ht="14.25" thickBot="1">
      <c r="A321" s="839" t="s">
        <v>1005</v>
      </c>
      <c r="B321" s="833" t="s">
        <v>1009</v>
      </c>
      <c r="C321" s="1062">
        <v>0.15</v>
      </c>
      <c r="D321" s="1062">
        <v>0.15</v>
      </c>
      <c r="E321" s="1062">
        <v>0.15</v>
      </c>
      <c r="F321" s="1074"/>
    </row>
    <row r="322" spans="1:6" ht="14.25" thickBot="1">
      <c r="A322" s="839" t="s">
        <v>1005</v>
      </c>
      <c r="B322" s="833" t="s">
        <v>1010</v>
      </c>
      <c r="C322" s="1062">
        <v>0.15</v>
      </c>
      <c r="D322" s="1062">
        <v>0.15</v>
      </c>
      <c r="E322" s="1062">
        <v>0.15</v>
      </c>
      <c r="F322" s="1063">
        <v>0.15</v>
      </c>
    </row>
    <row r="323" spans="1:6" ht="14.25" thickBot="1">
      <c r="A323" s="839" t="s">
        <v>1005</v>
      </c>
      <c r="B323" s="833" t="s">
        <v>1011</v>
      </c>
      <c r="C323" s="1062">
        <v>0.15</v>
      </c>
      <c r="D323" s="1062">
        <v>0.15</v>
      </c>
      <c r="E323" s="1062">
        <v>0.15</v>
      </c>
      <c r="F323" s="1074"/>
    </row>
    <row r="324" spans="1:6" ht="14.25" thickBot="1">
      <c r="A324" s="839" t="s">
        <v>1005</v>
      </c>
      <c r="B324" s="833" t="s">
        <v>1012</v>
      </c>
      <c r="C324" s="1062">
        <v>0.15</v>
      </c>
      <c r="D324" s="1062">
        <v>0.15</v>
      </c>
      <c r="E324" s="1062">
        <v>0.15</v>
      </c>
      <c r="F324" s="1074"/>
    </row>
    <row r="325" spans="1:6" ht="14.25" thickBot="1">
      <c r="A325" s="839" t="s">
        <v>1005</v>
      </c>
      <c r="B325" s="833" t="s">
        <v>1013</v>
      </c>
      <c r="C325" s="1062">
        <v>0.15</v>
      </c>
      <c r="D325" s="1062">
        <v>0.15</v>
      </c>
      <c r="E325" s="1062">
        <v>0.15</v>
      </c>
      <c r="F325" s="1063">
        <v>0.14699999999999999</v>
      </c>
    </row>
    <row r="326" spans="1:6" ht="14.25" thickBot="1">
      <c r="A326" s="839" t="s">
        <v>1005</v>
      </c>
      <c r="B326" s="833" t="s">
        <v>290</v>
      </c>
      <c r="C326" s="1062">
        <v>0.15</v>
      </c>
      <c r="D326" s="1062">
        <v>0.15</v>
      </c>
      <c r="E326" s="1062">
        <v>0.15</v>
      </c>
      <c r="F326" s="1074"/>
    </row>
    <row r="327" spans="1:6" ht="14.25" thickBot="1">
      <c r="A327" s="839" t="s">
        <v>1005</v>
      </c>
      <c r="B327" s="833" t="s">
        <v>1014</v>
      </c>
      <c r="C327" s="1062">
        <v>0.15</v>
      </c>
      <c r="D327" s="1062">
        <v>0.15</v>
      </c>
      <c r="E327" s="1062">
        <v>0.15</v>
      </c>
      <c r="F327" s="1063">
        <v>0.15</v>
      </c>
    </row>
    <row r="328" spans="1:6" ht="14.25" thickBot="1">
      <c r="A328" s="839" t="s">
        <v>1005</v>
      </c>
      <c r="B328" s="833" t="s">
        <v>310</v>
      </c>
      <c r="C328" s="1062">
        <v>0.15</v>
      </c>
      <c r="D328" s="1062">
        <v>0.15</v>
      </c>
      <c r="E328" s="1062">
        <v>0.15</v>
      </c>
      <c r="F328" s="1063">
        <v>0.14099999999999999</v>
      </c>
    </row>
    <row r="329" spans="1:6" ht="14.25" thickBot="1">
      <c r="A329" s="839" t="s">
        <v>1005</v>
      </c>
      <c r="B329" s="833" t="s">
        <v>320</v>
      </c>
      <c r="C329" s="1062">
        <v>0.15</v>
      </c>
      <c r="D329" s="1062">
        <v>0.15</v>
      </c>
      <c r="E329" s="1062">
        <v>0.15</v>
      </c>
      <c r="F329" s="1063">
        <v>0.15</v>
      </c>
    </row>
    <row r="330" spans="1:6" ht="14.25" thickBot="1">
      <c r="A330" s="839" t="s">
        <v>1005</v>
      </c>
      <c r="B330" s="833" t="s">
        <v>331</v>
      </c>
      <c r="C330" s="1062">
        <v>0.15</v>
      </c>
      <c r="D330" s="1062">
        <v>0.15</v>
      </c>
      <c r="E330" s="1062">
        <v>0.15</v>
      </c>
      <c r="F330" s="1074"/>
    </row>
    <row r="331" spans="1:6" ht="14.25" thickBot="1">
      <c r="A331" s="839" t="s">
        <v>1005</v>
      </c>
      <c r="B331" s="833" t="s">
        <v>1015</v>
      </c>
      <c r="C331" s="1062">
        <v>0.15</v>
      </c>
      <c r="D331" s="1062">
        <v>0.15</v>
      </c>
      <c r="E331" s="1062">
        <v>0.15</v>
      </c>
      <c r="F331" s="1063">
        <v>0.15</v>
      </c>
    </row>
    <row r="332" spans="1:6" ht="14.25" thickBot="1">
      <c r="A332" s="839" t="s">
        <v>1005</v>
      </c>
      <c r="B332" s="833" t="s">
        <v>352</v>
      </c>
      <c r="C332" s="1062">
        <v>0.15</v>
      </c>
      <c r="D332" s="1062">
        <v>0.15</v>
      </c>
      <c r="E332" s="1062">
        <v>0.15</v>
      </c>
      <c r="F332" s="1063">
        <v>0.15</v>
      </c>
    </row>
    <row r="333" spans="1:6" ht="14.25" thickBot="1">
      <c r="A333" s="839" t="s">
        <v>1005</v>
      </c>
      <c r="B333" s="833" t="s">
        <v>1016</v>
      </c>
      <c r="C333" s="1062">
        <v>0.15</v>
      </c>
      <c r="D333" s="1062">
        <v>0.15</v>
      </c>
      <c r="E333" s="1062">
        <v>0.15</v>
      </c>
      <c r="F333" s="1063">
        <v>0.14099999999999999</v>
      </c>
    </row>
    <row r="334" spans="1:6" ht="14.25" thickBot="1">
      <c r="A334" s="839" t="s">
        <v>1005</v>
      </c>
      <c r="B334" s="833" t="s">
        <v>372</v>
      </c>
      <c r="C334" s="1062">
        <v>0.15</v>
      </c>
      <c r="D334" s="1062">
        <v>0.15</v>
      </c>
      <c r="E334" s="1062">
        <v>0.15</v>
      </c>
      <c r="F334" s="1063">
        <v>0.15</v>
      </c>
    </row>
    <row r="335" spans="1:6" ht="14.25" thickBot="1">
      <c r="A335" s="839" t="s">
        <v>1005</v>
      </c>
      <c r="B335" s="833" t="s">
        <v>382</v>
      </c>
      <c r="C335" s="1062">
        <v>0.15</v>
      </c>
      <c r="D335" s="1062">
        <v>0.15</v>
      </c>
      <c r="E335" s="1062">
        <v>0.15</v>
      </c>
      <c r="F335" s="1074"/>
    </row>
    <row r="336" spans="1:6" ht="14.25" thickBot="1">
      <c r="A336" s="839" t="s">
        <v>1005</v>
      </c>
      <c r="B336" s="833" t="s">
        <v>1017</v>
      </c>
      <c r="C336" s="1062">
        <v>0.15</v>
      </c>
      <c r="D336" s="1062">
        <v>0.15</v>
      </c>
      <c r="E336" s="1062">
        <v>0.15</v>
      </c>
      <c r="F336" s="1063">
        <v>0.11799999999999999</v>
      </c>
    </row>
    <row r="337" spans="1:6" ht="14.25" thickBot="1">
      <c r="A337" s="849" t="s">
        <v>1005</v>
      </c>
      <c r="B337" s="845" t="s">
        <v>400</v>
      </c>
      <c r="C337" s="1072"/>
      <c r="D337" s="1072"/>
      <c r="E337" s="1072"/>
      <c r="F337" s="1065">
        <v>0.14299999999999999</v>
      </c>
    </row>
    <row r="338" spans="1:6" ht="14.25" thickBot="1">
      <c r="A338" s="839" t="s">
        <v>1018</v>
      </c>
      <c r="B338" s="840" t="s">
        <v>1019</v>
      </c>
      <c r="C338" s="1060">
        <v>0.15</v>
      </c>
      <c r="D338" s="1060">
        <v>0.15</v>
      </c>
      <c r="E338" s="1060">
        <v>0.15</v>
      </c>
      <c r="F338" s="1077"/>
    </row>
    <row r="339" spans="1:6" ht="14.25" thickBot="1">
      <c r="A339" s="839" t="s">
        <v>1018</v>
      </c>
      <c r="B339" s="833" t="s">
        <v>1020</v>
      </c>
      <c r="C339" s="1062">
        <v>0.15</v>
      </c>
      <c r="D339" s="1062">
        <v>0.15</v>
      </c>
      <c r="E339" s="1062">
        <v>0.15</v>
      </c>
      <c r="F339" s="1074"/>
    </row>
    <row r="340" spans="1:6" ht="14.25" thickBot="1">
      <c r="A340" s="839" t="s">
        <v>1018</v>
      </c>
      <c r="B340" s="833" t="s">
        <v>1021</v>
      </c>
      <c r="C340" s="1062">
        <v>0.15</v>
      </c>
      <c r="D340" s="1062">
        <v>0.15</v>
      </c>
      <c r="E340" s="1062">
        <v>0.15</v>
      </c>
      <c r="F340" s="1074"/>
    </row>
    <row r="341" spans="1:6" ht="14.25" thickBot="1">
      <c r="A341" s="839" t="s">
        <v>1018</v>
      </c>
      <c r="B341" s="833" t="s">
        <v>1022</v>
      </c>
      <c r="C341" s="1062">
        <v>0.15</v>
      </c>
      <c r="D341" s="1062">
        <v>0.15</v>
      </c>
      <c r="E341" s="1062">
        <v>0.15</v>
      </c>
      <c r="F341" s="1063">
        <v>0.15</v>
      </c>
    </row>
    <row r="342" spans="1:6" ht="14.25" thickBot="1">
      <c r="A342" s="839" t="s">
        <v>1018</v>
      </c>
      <c r="B342" s="833" t="s">
        <v>1023</v>
      </c>
      <c r="C342" s="1062">
        <v>0.15</v>
      </c>
      <c r="D342" s="1062">
        <v>0.15</v>
      </c>
      <c r="E342" s="1062">
        <v>0.15</v>
      </c>
      <c r="F342" s="1063">
        <v>0.15</v>
      </c>
    </row>
    <row r="343" spans="1:6" ht="14.25" thickBot="1">
      <c r="A343" s="839" t="s">
        <v>1018</v>
      </c>
      <c r="B343" s="833" t="s">
        <v>1024</v>
      </c>
      <c r="C343" s="1062">
        <v>0.15</v>
      </c>
      <c r="D343" s="1062">
        <v>0.15</v>
      </c>
      <c r="E343" s="1062">
        <v>0.15</v>
      </c>
      <c r="F343" s="1063">
        <v>0.15</v>
      </c>
    </row>
    <row r="344" spans="1:6" ht="14.25" thickBot="1">
      <c r="A344" s="849" t="s">
        <v>1018</v>
      </c>
      <c r="B344" s="845"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43711</v>
      </c>
      <c r="D1" s="1698" t="s">
        <v>1297</v>
      </c>
      <c r="E1" s="1693">
        <f>'数据-取费表'!B22</f>
        <v>1</v>
      </c>
      <c r="F1" s="1698" t="s">
        <v>1298</v>
      </c>
      <c r="G1" s="1694">
        <f ca="1">INDIRECT("d"&amp;$K$1)/100</f>
        <v>4.3499999999999997E-2</v>
      </c>
      <c r="H1" s="1698" t="s">
        <v>1328</v>
      </c>
      <c r="I1" s="1694">
        <f ca="1">F4/100</f>
        <v>1.4999999999999999E-2</v>
      </c>
      <c r="J1" s="1699">
        <f>IF(C1&gt;C13,0,MATCH(C1,C$13:C$100,-1))+IF(SUMIF(C13:C100,C1,D13:D100)=0,13,12)</f>
        <v>13</v>
      </c>
      <c r="K1" s="1699">
        <f ca="1">MATCH(E1,C3:C7,1)+IF(SUMIF(C3:C7,E1,D3:D7)=0,2,1)</f>
        <v>4</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7"/>
  <sheetViews>
    <sheetView workbookViewId="0">
      <selection activeCell="Q13" sqref="Q13"/>
    </sheetView>
  </sheetViews>
  <sheetFormatPr defaultRowHeight="13.5"/>
  <cols>
    <col min="1" max="5" width="16.625" customWidth="1"/>
    <col min="7" max="7" width="9" style="3006"/>
    <col min="8" max="9" width="12.875" style="3006" customWidth="1"/>
    <col min="10" max="11" width="9" style="3006"/>
    <col min="12" max="13" width="0" style="3006" hidden="1" customWidth="1"/>
  </cols>
  <sheetData>
    <row r="1" spans="1:13" ht="22.5">
      <c r="A1" s="3359" t="s">
        <v>3059</v>
      </c>
      <c r="B1" s="3359"/>
      <c r="C1" s="3359"/>
      <c r="D1" s="3359"/>
      <c r="E1" s="3359"/>
    </row>
    <row r="2" spans="1:13">
      <c r="A2" s="2979" t="s">
        <v>3060</v>
      </c>
      <c r="B2" s="2980" t="s">
        <v>3061</v>
      </c>
      <c r="C2" s="2981" t="s">
        <v>3062</v>
      </c>
      <c r="D2" s="2982" t="s">
        <v>3063</v>
      </c>
      <c r="E2" s="2982" t="s">
        <v>3064</v>
      </c>
    </row>
    <row r="3" spans="1:13" ht="40.5">
      <c r="A3" s="2983">
        <v>101</v>
      </c>
      <c r="B3" s="2984">
        <f>C3*0.5394</f>
        <v>54.468612</v>
      </c>
      <c r="C3" s="2984">
        <v>100.98</v>
      </c>
      <c r="D3" s="2985">
        <v>98.44</v>
      </c>
      <c r="E3" s="2985">
        <v>2.544</v>
      </c>
      <c r="G3" s="3007" t="s">
        <v>3274</v>
      </c>
      <c r="H3" s="3014" t="s">
        <v>3275</v>
      </c>
      <c r="I3" s="3014" t="s">
        <v>3277</v>
      </c>
      <c r="J3" s="3015" t="s">
        <v>3061</v>
      </c>
      <c r="K3" s="3008" t="s">
        <v>3062</v>
      </c>
      <c r="L3" s="3009" t="s">
        <v>3063</v>
      </c>
      <c r="M3" s="3009" t="s">
        <v>3064</v>
      </c>
    </row>
    <row r="4" spans="1:13" ht="40.5">
      <c r="A4" s="2983">
        <v>102</v>
      </c>
      <c r="B4" s="2984">
        <f t="shared" ref="B4:B19" si="0">C4*0.5394</f>
        <v>59.010359999999999</v>
      </c>
      <c r="C4" s="2984">
        <v>109.4</v>
      </c>
      <c r="D4" s="2985">
        <v>106.64</v>
      </c>
      <c r="E4" s="2985">
        <v>2.7559999999999998</v>
      </c>
      <c r="G4" s="3010">
        <v>1</v>
      </c>
      <c r="H4" s="3005" t="s">
        <v>3276</v>
      </c>
      <c r="I4" s="3013" t="s">
        <v>3333</v>
      </c>
      <c r="J4" s="3011">
        <f>K4*0.5394</f>
        <v>54.468612</v>
      </c>
      <c r="K4" s="3011">
        <v>100.98</v>
      </c>
      <c r="L4" s="3012">
        <v>98.44</v>
      </c>
      <c r="M4" s="3012">
        <v>2.544</v>
      </c>
    </row>
    <row r="5" spans="1:13" ht="40.5">
      <c r="A5" s="2983">
        <v>103</v>
      </c>
      <c r="B5" s="2984">
        <f t="shared" si="0"/>
        <v>58.783812000000005</v>
      </c>
      <c r="C5" s="2984">
        <v>108.98</v>
      </c>
      <c r="D5" s="2985">
        <v>106.24</v>
      </c>
      <c r="E5" s="2985">
        <v>2.7440000000000002</v>
      </c>
      <c r="G5" s="3010">
        <v>2</v>
      </c>
      <c r="H5" s="3005" t="s">
        <v>3278</v>
      </c>
      <c r="I5" s="3013" t="s">
        <v>3334</v>
      </c>
      <c r="J5" s="3011">
        <f t="shared" ref="J5:J20" si="1">K5*0.5394</f>
        <v>59.010359999999999</v>
      </c>
      <c r="K5" s="3011">
        <v>109.4</v>
      </c>
      <c r="L5" s="3012">
        <v>106.64</v>
      </c>
      <c r="M5" s="3012">
        <v>2.7559999999999998</v>
      </c>
    </row>
    <row r="6" spans="1:13" ht="40.5">
      <c r="A6" s="2983">
        <v>104</v>
      </c>
      <c r="B6" s="2984">
        <f t="shared" si="0"/>
        <v>58.783812000000005</v>
      </c>
      <c r="C6" s="2984">
        <v>108.98</v>
      </c>
      <c r="D6" s="2985">
        <v>106.24</v>
      </c>
      <c r="E6" s="2985">
        <v>2.7440000000000002</v>
      </c>
      <c r="G6" s="3010">
        <v>3</v>
      </c>
      <c r="H6" s="3005" t="s">
        <v>3279</v>
      </c>
      <c r="I6" s="3013" t="s">
        <v>3313</v>
      </c>
      <c r="J6" s="3011">
        <f t="shared" si="1"/>
        <v>58.783812000000005</v>
      </c>
      <c r="K6" s="3011">
        <v>108.98</v>
      </c>
      <c r="L6" s="3012">
        <v>106.24</v>
      </c>
      <c r="M6" s="3012">
        <v>2.7440000000000002</v>
      </c>
    </row>
    <row r="7" spans="1:13" ht="40.5">
      <c r="A7" s="2983">
        <v>105</v>
      </c>
      <c r="B7" s="2984">
        <f t="shared" si="0"/>
        <v>58.783812000000005</v>
      </c>
      <c r="C7" s="2984">
        <v>108.98</v>
      </c>
      <c r="D7" s="2985">
        <v>106.24</v>
      </c>
      <c r="E7" s="2985">
        <v>2.7440000000000002</v>
      </c>
      <c r="G7" s="3010">
        <v>4</v>
      </c>
      <c r="H7" s="3005" t="s">
        <v>3280</v>
      </c>
      <c r="I7" s="3013" t="s">
        <v>3335</v>
      </c>
      <c r="J7" s="3011">
        <f t="shared" si="1"/>
        <v>58.783812000000005</v>
      </c>
      <c r="K7" s="3011">
        <v>108.98</v>
      </c>
      <c r="L7" s="3012">
        <v>106.24</v>
      </c>
      <c r="M7" s="3012">
        <v>2.7440000000000002</v>
      </c>
    </row>
    <row r="8" spans="1:13" ht="40.5">
      <c r="A8" s="2983">
        <v>106</v>
      </c>
      <c r="B8" s="2984">
        <f t="shared" si="0"/>
        <v>58.783812000000005</v>
      </c>
      <c r="C8" s="2984">
        <v>108.98</v>
      </c>
      <c r="D8" s="2985">
        <v>106.24</v>
      </c>
      <c r="E8" s="2985">
        <v>2.7440000000000002</v>
      </c>
      <c r="G8" s="3010">
        <v>5</v>
      </c>
      <c r="H8" s="3005" t="s">
        <v>3281</v>
      </c>
      <c r="I8" s="3013" t="s">
        <v>3336</v>
      </c>
      <c r="J8" s="3011">
        <f t="shared" si="1"/>
        <v>58.783812000000005</v>
      </c>
      <c r="K8" s="3011">
        <v>108.98</v>
      </c>
      <c r="L8" s="3012">
        <v>106.24</v>
      </c>
      <c r="M8" s="3012">
        <v>2.7440000000000002</v>
      </c>
    </row>
    <row r="9" spans="1:13" ht="40.5">
      <c r="A9" s="2983">
        <v>107</v>
      </c>
      <c r="B9" s="2984">
        <f t="shared" si="0"/>
        <v>58.783812000000005</v>
      </c>
      <c r="C9" s="2984">
        <v>108.98</v>
      </c>
      <c r="D9" s="2985">
        <v>106.24</v>
      </c>
      <c r="E9" s="2985">
        <v>2.7440000000000002</v>
      </c>
      <c r="G9" s="3010">
        <v>6</v>
      </c>
      <c r="H9" s="3005" t="s">
        <v>3282</v>
      </c>
      <c r="I9" s="3013" t="s">
        <v>3337</v>
      </c>
      <c r="J9" s="3011">
        <f t="shared" si="1"/>
        <v>58.783812000000005</v>
      </c>
      <c r="K9" s="3011">
        <v>108.98</v>
      </c>
      <c r="L9" s="3012">
        <v>106.24</v>
      </c>
      <c r="M9" s="3012">
        <v>2.7440000000000002</v>
      </c>
    </row>
    <row r="10" spans="1:13" ht="40.5">
      <c r="A10" s="2983">
        <v>108</v>
      </c>
      <c r="B10" s="2984">
        <f t="shared" si="0"/>
        <v>58.568052000000002</v>
      </c>
      <c r="C10" s="2984">
        <v>108.58</v>
      </c>
      <c r="D10" s="2985">
        <v>105.84</v>
      </c>
      <c r="E10" s="2985">
        <v>2.734</v>
      </c>
      <c r="G10" s="3010">
        <v>7</v>
      </c>
      <c r="H10" s="3005" t="s">
        <v>3283</v>
      </c>
      <c r="I10" s="3013" t="s">
        <v>3338</v>
      </c>
      <c r="J10" s="3011">
        <f t="shared" si="1"/>
        <v>58.783812000000005</v>
      </c>
      <c r="K10" s="3011">
        <v>108.98</v>
      </c>
      <c r="L10" s="3012">
        <v>106.24</v>
      </c>
      <c r="M10" s="3012">
        <v>2.7440000000000002</v>
      </c>
    </row>
    <row r="11" spans="1:13" ht="40.5">
      <c r="A11" s="2983">
        <v>109</v>
      </c>
      <c r="B11" s="2984">
        <f t="shared" si="0"/>
        <v>58.945631999999996</v>
      </c>
      <c r="C11" s="2984">
        <v>109.28</v>
      </c>
      <c r="D11" s="2985">
        <v>106.52</v>
      </c>
      <c r="E11" s="2985">
        <v>2.7519999999999998</v>
      </c>
      <c r="G11" s="3010">
        <v>8</v>
      </c>
      <c r="H11" s="3005" t="s">
        <v>3284</v>
      </c>
      <c r="I11" s="3013" t="s">
        <v>3339</v>
      </c>
      <c r="J11" s="3011">
        <f t="shared" si="1"/>
        <v>58.568052000000002</v>
      </c>
      <c r="K11" s="3011">
        <v>108.58</v>
      </c>
      <c r="L11" s="3012">
        <v>105.84</v>
      </c>
      <c r="M11" s="3012">
        <v>2.734</v>
      </c>
    </row>
    <row r="12" spans="1:13" ht="40.5">
      <c r="A12" s="2983">
        <v>110</v>
      </c>
      <c r="B12" s="2984">
        <f t="shared" si="0"/>
        <v>58.783812000000005</v>
      </c>
      <c r="C12" s="2984">
        <v>108.98</v>
      </c>
      <c r="D12" s="2985">
        <v>106.24</v>
      </c>
      <c r="E12" s="2985">
        <v>2.7440000000000002</v>
      </c>
      <c r="G12" s="3010">
        <v>9</v>
      </c>
      <c r="H12" s="3005" t="s">
        <v>3285</v>
      </c>
      <c r="I12" s="3013" t="s">
        <v>3340</v>
      </c>
      <c r="J12" s="3011">
        <f t="shared" si="1"/>
        <v>58.945631999999996</v>
      </c>
      <c r="K12" s="3011">
        <v>109.28</v>
      </c>
      <c r="L12" s="3012">
        <v>106.52</v>
      </c>
      <c r="M12" s="3012">
        <v>2.7519999999999998</v>
      </c>
    </row>
    <row r="13" spans="1:13" ht="40.5">
      <c r="A13" s="2983">
        <v>111</v>
      </c>
      <c r="B13" s="2984">
        <f t="shared" si="0"/>
        <v>58.783812000000005</v>
      </c>
      <c r="C13" s="2984">
        <v>108.98</v>
      </c>
      <c r="D13" s="2985">
        <v>106.24</v>
      </c>
      <c r="E13" s="2985">
        <v>2.7440000000000002</v>
      </c>
      <c r="G13" s="3010">
        <v>10</v>
      </c>
      <c r="H13" s="3005" t="s">
        <v>3286</v>
      </c>
      <c r="I13" s="3013" t="s">
        <v>3341</v>
      </c>
      <c r="J13" s="3011">
        <f t="shared" si="1"/>
        <v>58.783812000000005</v>
      </c>
      <c r="K13" s="3011">
        <v>108.98</v>
      </c>
      <c r="L13" s="3012">
        <v>106.24</v>
      </c>
      <c r="M13" s="3012">
        <v>2.7440000000000002</v>
      </c>
    </row>
    <row r="14" spans="1:13" ht="40.5">
      <c r="A14" s="2983">
        <v>112</v>
      </c>
      <c r="B14" s="2984">
        <f t="shared" si="0"/>
        <v>58.783812000000005</v>
      </c>
      <c r="C14" s="2984">
        <v>108.98</v>
      </c>
      <c r="D14" s="2985">
        <v>106.24</v>
      </c>
      <c r="E14" s="2985">
        <v>2.7440000000000002</v>
      </c>
      <c r="G14" s="3010">
        <v>11</v>
      </c>
      <c r="H14" s="3005" t="s">
        <v>3287</v>
      </c>
      <c r="I14" s="3013" t="s">
        <v>3342</v>
      </c>
      <c r="J14" s="3011">
        <f t="shared" si="1"/>
        <v>58.783812000000005</v>
      </c>
      <c r="K14" s="3011">
        <v>108.98</v>
      </c>
      <c r="L14" s="3012">
        <v>106.24</v>
      </c>
      <c r="M14" s="3012">
        <v>2.7440000000000002</v>
      </c>
    </row>
    <row r="15" spans="1:13" ht="40.5">
      <c r="A15" s="2983">
        <v>113</v>
      </c>
      <c r="B15" s="2984">
        <f t="shared" si="0"/>
        <v>58.783812000000005</v>
      </c>
      <c r="C15" s="2984">
        <v>108.98</v>
      </c>
      <c r="D15" s="2985">
        <v>106.24</v>
      </c>
      <c r="E15" s="2985">
        <v>2.7440000000000002</v>
      </c>
      <c r="G15" s="3010">
        <v>12</v>
      </c>
      <c r="H15" s="3005" t="s">
        <v>3288</v>
      </c>
      <c r="I15" s="3013" t="s">
        <v>3343</v>
      </c>
      <c r="J15" s="3011">
        <f t="shared" si="1"/>
        <v>58.783812000000005</v>
      </c>
      <c r="K15" s="3011">
        <v>108.98</v>
      </c>
      <c r="L15" s="3012">
        <v>106.24</v>
      </c>
      <c r="M15" s="3012">
        <v>2.7440000000000002</v>
      </c>
    </row>
    <row r="16" spans="1:13" ht="40.5">
      <c r="A16" s="2983">
        <v>114</v>
      </c>
      <c r="B16" s="2984">
        <f t="shared" si="0"/>
        <v>58.783812000000005</v>
      </c>
      <c r="C16" s="2984">
        <v>108.98</v>
      </c>
      <c r="D16" s="2985">
        <v>106.24</v>
      </c>
      <c r="E16" s="2985">
        <v>2.7440000000000002</v>
      </c>
      <c r="G16" s="3010">
        <v>13</v>
      </c>
      <c r="H16" s="3005" t="s">
        <v>3289</v>
      </c>
      <c r="I16" s="3013" t="s">
        <v>3344</v>
      </c>
      <c r="J16" s="3011">
        <f t="shared" si="1"/>
        <v>58.783812000000005</v>
      </c>
      <c r="K16" s="3011">
        <v>108.98</v>
      </c>
      <c r="L16" s="3012">
        <v>106.24</v>
      </c>
      <c r="M16" s="3012">
        <v>2.7440000000000002</v>
      </c>
    </row>
    <row r="17" spans="1:13" ht="40.5">
      <c r="A17" s="2983">
        <v>115</v>
      </c>
      <c r="B17" s="2984">
        <f t="shared" si="0"/>
        <v>58.783812000000005</v>
      </c>
      <c r="C17" s="2984">
        <v>108.98</v>
      </c>
      <c r="D17" s="2985">
        <v>106.24</v>
      </c>
      <c r="E17" s="2985">
        <v>2.7440000000000002</v>
      </c>
      <c r="G17" s="3010">
        <v>14</v>
      </c>
      <c r="H17" s="3005" t="s">
        <v>3290</v>
      </c>
      <c r="I17" s="3013" t="s">
        <v>3345</v>
      </c>
      <c r="J17" s="3011">
        <f t="shared" si="1"/>
        <v>58.783812000000005</v>
      </c>
      <c r="K17" s="3011">
        <v>108.98</v>
      </c>
      <c r="L17" s="3012">
        <v>106.24</v>
      </c>
      <c r="M17" s="3012">
        <v>2.7440000000000002</v>
      </c>
    </row>
    <row r="18" spans="1:13" ht="40.5">
      <c r="A18" s="2983">
        <v>116</v>
      </c>
      <c r="B18" s="2984">
        <f t="shared" si="0"/>
        <v>58.783812000000005</v>
      </c>
      <c r="C18" s="2984">
        <v>108.98</v>
      </c>
      <c r="D18" s="2985">
        <v>106.24</v>
      </c>
      <c r="E18" s="2985">
        <v>2.7440000000000002</v>
      </c>
      <c r="G18" s="3010">
        <v>15</v>
      </c>
      <c r="H18" s="3005" t="s">
        <v>3291</v>
      </c>
      <c r="I18" s="3013" t="s">
        <v>3346</v>
      </c>
      <c r="J18" s="3011">
        <f t="shared" si="1"/>
        <v>58.783812000000005</v>
      </c>
      <c r="K18" s="3011">
        <v>108.98</v>
      </c>
      <c r="L18" s="3012">
        <v>106.24</v>
      </c>
      <c r="M18" s="3012">
        <v>2.7440000000000002</v>
      </c>
    </row>
    <row r="19" spans="1:13" ht="40.5">
      <c r="A19" s="2983">
        <v>117</v>
      </c>
      <c r="B19" s="2984">
        <f t="shared" si="0"/>
        <v>109.36874399999999</v>
      </c>
      <c r="C19" s="2984">
        <v>202.76</v>
      </c>
      <c r="D19" s="2985">
        <v>197.64599999999999</v>
      </c>
      <c r="E19" s="2985">
        <v>5.1059999999999999</v>
      </c>
      <c r="G19" s="3010">
        <v>16</v>
      </c>
      <c r="H19" s="3005" t="s">
        <v>3292</v>
      </c>
      <c r="I19" s="3013" t="s">
        <v>3347</v>
      </c>
      <c r="J19" s="3011">
        <f t="shared" si="1"/>
        <v>58.783812000000005</v>
      </c>
      <c r="K19" s="3011">
        <v>108.98</v>
      </c>
      <c r="L19" s="3012">
        <v>106.24</v>
      </c>
      <c r="M19" s="3012">
        <v>2.7440000000000002</v>
      </c>
    </row>
    <row r="20" spans="1:13" ht="40.5">
      <c r="G20" s="3010">
        <v>17</v>
      </c>
      <c r="H20" s="3005" t="s">
        <v>3293</v>
      </c>
      <c r="I20" s="3013" t="s">
        <v>3348</v>
      </c>
      <c r="J20" s="3011">
        <f t="shared" si="1"/>
        <v>109.36874399999999</v>
      </c>
      <c r="K20" s="3011">
        <v>202.76</v>
      </c>
      <c r="L20" s="3012">
        <v>197.64599999999999</v>
      </c>
      <c r="M20" s="3012">
        <v>5.1059999999999999</v>
      </c>
    </row>
    <row r="21" spans="1:13" ht="40.5">
      <c r="B21" s="2986">
        <f>SUM(B3:B19)</f>
        <v>1045.7671440000001</v>
      </c>
      <c r="C21" s="2986">
        <f>SUM(C3:C19)</f>
        <v>1938.7600000000002</v>
      </c>
      <c r="G21" s="3010">
        <v>18</v>
      </c>
      <c r="H21" s="3005" t="s">
        <v>3294</v>
      </c>
      <c r="I21" s="3013" t="s">
        <v>3314</v>
      </c>
      <c r="J21" s="3016">
        <v>48.01</v>
      </c>
      <c r="K21" s="3011">
        <v>100.94</v>
      </c>
      <c r="L21" s="3012">
        <v>98.44</v>
      </c>
      <c r="M21" s="3012">
        <v>2.504</v>
      </c>
    </row>
    <row r="22" spans="1:13" ht="40.5">
      <c r="G22" s="3010">
        <v>19</v>
      </c>
      <c r="H22" s="3005" t="s">
        <v>3295</v>
      </c>
      <c r="I22" s="3013" t="s">
        <v>3315</v>
      </c>
      <c r="J22" s="3016">
        <v>51.81</v>
      </c>
      <c r="K22" s="3011">
        <v>108.94</v>
      </c>
      <c r="L22" s="3012">
        <v>106.24</v>
      </c>
      <c r="M22" s="3012">
        <v>2.7040000000000002</v>
      </c>
    </row>
    <row r="23" spans="1:13" ht="40.5">
      <c r="A23" s="3360" t="s">
        <v>3065</v>
      </c>
      <c r="B23" s="3361"/>
      <c r="C23" s="3361"/>
      <c r="D23" s="3361"/>
      <c r="E23" s="3361"/>
      <c r="G23" s="3010">
        <v>20</v>
      </c>
      <c r="H23" s="3005" t="s">
        <v>3296</v>
      </c>
      <c r="I23" s="3013" t="s">
        <v>3316</v>
      </c>
      <c r="J23" s="3016">
        <v>51.81</v>
      </c>
      <c r="K23" s="3011">
        <v>108.94</v>
      </c>
      <c r="L23" s="3012">
        <v>106.24</v>
      </c>
      <c r="M23" s="3012">
        <v>2.7040000000000002</v>
      </c>
    </row>
    <row r="24" spans="1:13" ht="40.5">
      <c r="A24" s="2979" t="s">
        <v>3060</v>
      </c>
      <c r="B24" s="2980" t="s">
        <v>3061</v>
      </c>
      <c r="C24" s="2981" t="s">
        <v>3062</v>
      </c>
      <c r="D24" s="2982" t="s">
        <v>3063</v>
      </c>
      <c r="E24" s="2982" t="s">
        <v>3064</v>
      </c>
      <c r="G24" s="3010">
        <v>21</v>
      </c>
      <c r="H24" s="3005" t="s">
        <v>3297</v>
      </c>
      <c r="I24" s="3013" t="s">
        <v>3317</v>
      </c>
      <c r="J24" s="3016">
        <v>51.81</v>
      </c>
      <c r="K24" s="3011">
        <v>108.94</v>
      </c>
      <c r="L24" s="3012">
        <v>106.24</v>
      </c>
      <c r="M24" s="3012">
        <v>2.7040000000000002</v>
      </c>
    </row>
    <row r="25" spans="1:13" ht="40.5">
      <c r="A25" s="2983">
        <v>101</v>
      </c>
      <c r="B25" s="2984">
        <v>48.01</v>
      </c>
      <c r="C25" s="2984">
        <v>100.94</v>
      </c>
      <c r="D25" s="2985">
        <v>98.44</v>
      </c>
      <c r="E25" s="2985">
        <v>2.504</v>
      </c>
      <c r="G25" s="3010">
        <v>22</v>
      </c>
      <c r="H25" s="3005" t="s">
        <v>3298</v>
      </c>
      <c r="I25" s="3013" t="s">
        <v>3318</v>
      </c>
      <c r="J25" s="3016">
        <v>51.81</v>
      </c>
      <c r="K25" s="3011">
        <v>108.94</v>
      </c>
      <c r="L25" s="3012">
        <v>106.24</v>
      </c>
      <c r="M25" s="3012">
        <v>2.7040000000000002</v>
      </c>
    </row>
    <row r="26" spans="1:13" ht="40.5">
      <c r="A26" s="2983">
        <v>102</v>
      </c>
      <c r="B26" s="2984">
        <v>51.81</v>
      </c>
      <c r="C26" s="2984">
        <v>108.94</v>
      </c>
      <c r="D26" s="2985">
        <v>106.24</v>
      </c>
      <c r="E26" s="2985">
        <v>2.7040000000000002</v>
      </c>
      <c r="G26" s="3010">
        <v>23</v>
      </c>
      <c r="H26" s="3005" t="s">
        <v>3299</v>
      </c>
      <c r="I26" s="3013" t="s">
        <v>3319</v>
      </c>
      <c r="J26" s="3016">
        <v>51.81</v>
      </c>
      <c r="K26" s="3011">
        <v>108.94</v>
      </c>
      <c r="L26" s="3012">
        <v>106.24</v>
      </c>
      <c r="M26" s="3012">
        <v>2.7040000000000002</v>
      </c>
    </row>
    <row r="27" spans="1:13" ht="40.5">
      <c r="A27" s="2983">
        <v>103</v>
      </c>
      <c r="B27" s="2984">
        <v>51.81</v>
      </c>
      <c r="C27" s="2984">
        <v>108.94</v>
      </c>
      <c r="D27" s="2985">
        <v>106.24</v>
      </c>
      <c r="E27" s="2985">
        <v>2.7040000000000002</v>
      </c>
      <c r="G27" s="3010">
        <v>24</v>
      </c>
      <c r="H27" s="3005" t="s">
        <v>3300</v>
      </c>
      <c r="I27" s="3013" t="s">
        <v>3320</v>
      </c>
      <c r="J27" s="3016">
        <v>51.81</v>
      </c>
      <c r="K27" s="3011">
        <v>108.94</v>
      </c>
      <c r="L27" s="3012">
        <v>106.24</v>
      </c>
      <c r="M27" s="3012">
        <v>2.7040000000000002</v>
      </c>
    </row>
    <row r="28" spans="1:13" ht="40.5">
      <c r="A28" s="2983">
        <v>104</v>
      </c>
      <c r="B28" s="2984">
        <v>51.81</v>
      </c>
      <c r="C28" s="2984">
        <v>108.94</v>
      </c>
      <c r="D28" s="2985">
        <v>106.24</v>
      </c>
      <c r="E28" s="2985">
        <v>2.7040000000000002</v>
      </c>
      <c r="G28" s="3010">
        <v>25</v>
      </c>
      <c r="H28" s="3005" t="s">
        <v>3301</v>
      </c>
      <c r="I28" s="3013" t="s">
        <v>3321</v>
      </c>
      <c r="J28" s="3016">
        <v>51.81</v>
      </c>
      <c r="K28" s="3011">
        <v>108.94</v>
      </c>
      <c r="L28" s="3012">
        <v>106.24</v>
      </c>
      <c r="M28" s="3012">
        <v>2.7040000000000002</v>
      </c>
    </row>
    <row r="29" spans="1:13" ht="40.5">
      <c r="A29" s="2983">
        <v>105</v>
      </c>
      <c r="B29" s="2984">
        <v>51.81</v>
      </c>
      <c r="C29" s="2984">
        <v>108.94</v>
      </c>
      <c r="D29" s="2985">
        <v>106.24</v>
      </c>
      <c r="E29" s="2985">
        <v>2.7040000000000002</v>
      </c>
      <c r="G29" s="3010">
        <v>26</v>
      </c>
      <c r="H29" s="3005" t="s">
        <v>3302</v>
      </c>
      <c r="I29" s="3013" t="s">
        <v>3322</v>
      </c>
      <c r="J29" s="3016">
        <v>51.81</v>
      </c>
      <c r="K29" s="3011">
        <v>108.94</v>
      </c>
      <c r="L29" s="3012">
        <v>106.24</v>
      </c>
      <c r="M29" s="3012">
        <v>2.7040000000000002</v>
      </c>
    </row>
    <row r="30" spans="1:13" ht="40.5">
      <c r="A30" s="2983">
        <v>106</v>
      </c>
      <c r="B30" s="2984">
        <v>51.81</v>
      </c>
      <c r="C30" s="2984">
        <v>108.94</v>
      </c>
      <c r="D30" s="2985">
        <v>106.24</v>
      </c>
      <c r="E30" s="2985">
        <v>2.7040000000000002</v>
      </c>
      <c r="G30" s="3010">
        <v>27</v>
      </c>
      <c r="H30" s="3005" t="s">
        <v>3303</v>
      </c>
      <c r="I30" s="3013" t="s">
        <v>3323</v>
      </c>
      <c r="J30" s="3016">
        <v>51.81</v>
      </c>
      <c r="K30" s="3011">
        <v>108.94</v>
      </c>
      <c r="L30" s="3012">
        <v>106.24</v>
      </c>
      <c r="M30" s="3012">
        <v>2.7040000000000002</v>
      </c>
    </row>
    <row r="31" spans="1:13" ht="40.5">
      <c r="A31" s="2983">
        <v>107</v>
      </c>
      <c r="B31" s="2984">
        <v>51.81</v>
      </c>
      <c r="C31" s="2984">
        <v>108.94</v>
      </c>
      <c r="D31" s="2985">
        <v>106.24</v>
      </c>
      <c r="E31" s="2985">
        <v>2.7040000000000002</v>
      </c>
      <c r="G31" s="3010">
        <v>28</v>
      </c>
      <c r="H31" s="3005" t="s">
        <v>3304</v>
      </c>
      <c r="I31" s="3013" t="s">
        <v>3324</v>
      </c>
      <c r="J31" s="3016">
        <v>51.95</v>
      </c>
      <c r="K31" s="3011">
        <v>109.24</v>
      </c>
      <c r="L31" s="3012">
        <v>106.52</v>
      </c>
      <c r="M31" s="3012">
        <v>2.71</v>
      </c>
    </row>
    <row r="32" spans="1:13" ht="40.5">
      <c r="A32" s="2983">
        <v>108</v>
      </c>
      <c r="B32" s="2984">
        <v>51.81</v>
      </c>
      <c r="C32" s="2984">
        <v>108.94</v>
      </c>
      <c r="D32" s="2985">
        <v>106.24</v>
      </c>
      <c r="E32" s="2985">
        <v>2.7040000000000002</v>
      </c>
      <c r="G32" s="3010">
        <v>29</v>
      </c>
      <c r="H32" s="3005" t="s">
        <v>3305</v>
      </c>
      <c r="I32" s="3013" t="s">
        <v>3325</v>
      </c>
      <c r="J32" s="3016">
        <v>51.62</v>
      </c>
      <c r="K32" s="3011">
        <v>108.54</v>
      </c>
      <c r="L32" s="3012">
        <v>105.84</v>
      </c>
      <c r="M32" s="3012">
        <v>2.6920000000000002</v>
      </c>
    </row>
    <row r="33" spans="1:13" ht="40.5">
      <c r="A33" s="2983">
        <v>109</v>
      </c>
      <c r="B33" s="2984">
        <v>51.81</v>
      </c>
      <c r="C33" s="2984">
        <v>108.94</v>
      </c>
      <c r="D33" s="2985">
        <v>106.24</v>
      </c>
      <c r="E33" s="2985">
        <v>2.7040000000000002</v>
      </c>
      <c r="G33" s="3010">
        <v>30</v>
      </c>
      <c r="H33" s="3005" t="s">
        <v>3306</v>
      </c>
      <c r="I33" s="3013" t="s">
        <v>3326</v>
      </c>
      <c r="J33" s="3016">
        <v>51.81</v>
      </c>
      <c r="K33" s="3011">
        <v>108.94</v>
      </c>
      <c r="L33" s="3012">
        <v>106.24</v>
      </c>
      <c r="M33" s="3012">
        <v>2.7040000000000002</v>
      </c>
    </row>
    <row r="34" spans="1:13" ht="40.5">
      <c r="A34" s="2983">
        <v>110</v>
      </c>
      <c r="B34" s="2984">
        <v>51.81</v>
      </c>
      <c r="C34" s="2984">
        <v>108.94</v>
      </c>
      <c r="D34" s="2985">
        <v>106.24</v>
      </c>
      <c r="E34" s="2985">
        <v>2.7040000000000002</v>
      </c>
      <c r="G34" s="3010">
        <v>31</v>
      </c>
      <c r="H34" s="3005" t="s">
        <v>3307</v>
      </c>
      <c r="I34" s="3013" t="s">
        <v>3327</v>
      </c>
      <c r="J34" s="3016">
        <v>51.81</v>
      </c>
      <c r="K34" s="3011">
        <v>108.94</v>
      </c>
      <c r="L34" s="3012">
        <v>106.24</v>
      </c>
      <c r="M34" s="3012">
        <v>2.7040000000000002</v>
      </c>
    </row>
    <row r="35" spans="1:13" ht="40.5">
      <c r="A35" s="2983">
        <v>111</v>
      </c>
      <c r="B35" s="2984">
        <v>51.95</v>
      </c>
      <c r="C35" s="2984">
        <v>109.24</v>
      </c>
      <c r="D35" s="2985">
        <v>106.52</v>
      </c>
      <c r="E35" s="2985">
        <v>2.71</v>
      </c>
      <c r="G35" s="3010">
        <v>32</v>
      </c>
      <c r="H35" s="3005" t="s">
        <v>3308</v>
      </c>
      <c r="I35" s="3013" t="s">
        <v>3328</v>
      </c>
      <c r="J35" s="3016">
        <v>51.81</v>
      </c>
      <c r="K35" s="3011">
        <v>108.94</v>
      </c>
      <c r="L35" s="3012">
        <v>106.24</v>
      </c>
      <c r="M35" s="3012">
        <v>2.7040000000000002</v>
      </c>
    </row>
    <row r="36" spans="1:13" ht="40.5">
      <c r="A36" s="2983">
        <v>112</v>
      </c>
      <c r="B36" s="2984">
        <v>51.62</v>
      </c>
      <c r="C36" s="2984">
        <v>108.54</v>
      </c>
      <c r="D36" s="2985">
        <v>105.84</v>
      </c>
      <c r="E36" s="2985">
        <v>2.6920000000000002</v>
      </c>
      <c r="G36" s="3010">
        <v>33</v>
      </c>
      <c r="H36" s="3005" t="s">
        <v>3309</v>
      </c>
      <c r="I36" s="3013" t="s">
        <v>3329</v>
      </c>
      <c r="J36" s="3016">
        <v>51.81</v>
      </c>
      <c r="K36" s="3011">
        <v>108.94</v>
      </c>
      <c r="L36" s="3012">
        <v>106.24</v>
      </c>
      <c r="M36" s="3012">
        <v>2.7040000000000002</v>
      </c>
    </row>
    <row r="37" spans="1:13" ht="40.5">
      <c r="A37" s="2983">
        <v>113</v>
      </c>
      <c r="B37" s="2984">
        <v>51.81</v>
      </c>
      <c r="C37" s="2984">
        <v>108.94</v>
      </c>
      <c r="D37" s="2985">
        <v>106.24</v>
      </c>
      <c r="E37" s="2985">
        <v>2.7040000000000002</v>
      </c>
      <c r="G37" s="3010">
        <v>34</v>
      </c>
      <c r="H37" s="3005" t="s">
        <v>3310</v>
      </c>
      <c r="I37" s="3013" t="s">
        <v>3330</v>
      </c>
      <c r="J37" s="3016">
        <v>51.81</v>
      </c>
      <c r="K37" s="3011">
        <v>108.94</v>
      </c>
      <c r="L37" s="3012">
        <v>106.24</v>
      </c>
      <c r="M37" s="3012">
        <v>2.7040000000000002</v>
      </c>
    </row>
    <row r="38" spans="1:13" ht="40.5">
      <c r="A38" s="2983">
        <v>114</v>
      </c>
      <c r="B38" s="2984">
        <v>51.81</v>
      </c>
      <c r="C38" s="2984">
        <v>108.94</v>
      </c>
      <c r="D38" s="2985">
        <v>106.24</v>
      </c>
      <c r="E38" s="2985">
        <v>2.7040000000000002</v>
      </c>
      <c r="G38" s="3010">
        <v>35</v>
      </c>
      <c r="H38" s="3005" t="s">
        <v>3311</v>
      </c>
      <c r="I38" s="3013" t="s">
        <v>3331</v>
      </c>
      <c r="J38" s="3016">
        <v>52.01</v>
      </c>
      <c r="K38" s="3011">
        <v>109.36</v>
      </c>
      <c r="L38" s="3012">
        <v>106.64</v>
      </c>
      <c r="M38" s="3012">
        <v>2.714</v>
      </c>
    </row>
    <row r="39" spans="1:13" ht="40.5">
      <c r="A39" s="2983">
        <v>115</v>
      </c>
      <c r="B39" s="2984">
        <v>51.81</v>
      </c>
      <c r="C39" s="2984">
        <v>108.94</v>
      </c>
      <c r="D39" s="2985">
        <v>106.24</v>
      </c>
      <c r="E39" s="2985">
        <v>2.7040000000000002</v>
      </c>
      <c r="G39" s="3010">
        <v>36</v>
      </c>
      <c r="H39" s="3005" t="s">
        <v>3312</v>
      </c>
      <c r="I39" s="3013" t="s">
        <v>3332</v>
      </c>
      <c r="J39" s="3016">
        <v>48.01</v>
      </c>
      <c r="K39" s="3011">
        <v>100.94</v>
      </c>
      <c r="L39" s="3012">
        <v>98.44</v>
      </c>
      <c r="M39" s="3012">
        <v>2.504</v>
      </c>
    </row>
    <row r="40" spans="1:13">
      <c r="A40" s="2983">
        <v>116</v>
      </c>
      <c r="B40" s="2984">
        <v>51.81</v>
      </c>
      <c r="C40" s="2984">
        <v>108.94</v>
      </c>
      <c r="D40" s="2985">
        <v>106.24</v>
      </c>
      <c r="E40" s="2985">
        <v>2.7040000000000002</v>
      </c>
    </row>
    <row r="41" spans="1:13">
      <c r="A41" s="2983">
        <v>117</v>
      </c>
      <c r="B41" s="2984">
        <v>51.81</v>
      </c>
      <c r="C41" s="2984">
        <v>108.94</v>
      </c>
      <c r="D41" s="2985">
        <v>106.24</v>
      </c>
      <c r="E41" s="2985">
        <v>2.7040000000000002</v>
      </c>
    </row>
    <row r="42" spans="1:13">
      <c r="A42" s="2983">
        <v>118</v>
      </c>
      <c r="B42" s="2984">
        <v>52.01</v>
      </c>
      <c r="C42" s="2984">
        <v>109.36</v>
      </c>
      <c r="D42" s="2985">
        <v>106.64</v>
      </c>
      <c r="E42" s="2985">
        <v>2.714</v>
      </c>
    </row>
    <row r="43" spans="1:13">
      <c r="A43" s="2983">
        <v>119</v>
      </c>
      <c r="B43" s="2984">
        <v>48.01</v>
      </c>
      <c r="C43" s="2984">
        <v>100.94</v>
      </c>
      <c r="D43" s="2985">
        <v>98.44</v>
      </c>
      <c r="E43" s="2985">
        <v>2.504</v>
      </c>
    </row>
    <row r="46" spans="1:13">
      <c r="B46" s="2986">
        <f>SUM(B25:B43)</f>
        <v>976.93999999999983</v>
      </c>
      <c r="C46" s="2986">
        <f>SUM(C25:C43)</f>
        <v>2054.1800000000003</v>
      </c>
    </row>
    <row r="47" spans="1:13">
      <c r="B47" s="2987">
        <f>B46+B21</f>
        <v>2022.707144</v>
      </c>
      <c r="C47" s="2987">
        <f>C46+C21</f>
        <v>3992.9400000000005</v>
      </c>
    </row>
  </sheetData>
  <mergeCells count="2">
    <mergeCell ref="A1:E1"/>
    <mergeCell ref="A23:E23"/>
  </mergeCells>
  <phoneticPr fontId="14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1"/>
  <sheetViews>
    <sheetView workbookViewId="0">
      <selection activeCell="S15" sqref="S15"/>
    </sheetView>
  </sheetViews>
  <sheetFormatPr defaultRowHeight="13.5"/>
  <cols>
    <col min="1" max="1" width="22.75" customWidth="1"/>
    <col min="13" max="13" width="5.125" customWidth="1"/>
    <col min="15" max="15" width="9" style="2994"/>
  </cols>
  <sheetData>
    <row r="1" spans="1:15">
      <c r="A1" s="2991" t="s">
        <v>3086</v>
      </c>
      <c r="B1" s="2991" t="s">
        <v>3087</v>
      </c>
      <c r="C1" s="2991" t="s">
        <v>3088</v>
      </c>
      <c r="D1" s="2991" t="s">
        <v>3089</v>
      </c>
      <c r="E1" s="2991" t="s">
        <v>3090</v>
      </c>
      <c r="F1" s="2991" t="s">
        <v>3091</v>
      </c>
      <c r="G1" s="2991" t="s">
        <v>3092</v>
      </c>
      <c r="H1" s="2991" t="s">
        <v>3093</v>
      </c>
      <c r="I1" s="2991" t="s">
        <v>3094</v>
      </c>
      <c r="J1" s="2991" t="s">
        <v>3095</v>
      </c>
      <c r="K1" s="2991" t="s">
        <v>3096</v>
      </c>
      <c r="L1" s="2991" t="s">
        <v>3097</v>
      </c>
      <c r="M1" s="2991" t="s">
        <v>3098</v>
      </c>
      <c r="N1" s="2991" t="s">
        <v>3099</v>
      </c>
    </row>
    <row r="2" spans="1:15">
      <c r="A2" s="2991" t="s">
        <v>3100</v>
      </c>
      <c r="B2" s="2991" t="s">
        <v>3101</v>
      </c>
      <c r="C2" s="2991" t="s">
        <v>3102</v>
      </c>
      <c r="D2" s="2991">
        <v>13106.53</v>
      </c>
      <c r="E2" s="2991">
        <v>45872.86</v>
      </c>
      <c r="F2" s="2991" t="s">
        <v>3103</v>
      </c>
      <c r="G2" s="2991" t="s">
        <v>3104</v>
      </c>
      <c r="H2" s="2991" t="s">
        <v>3105</v>
      </c>
      <c r="I2" s="2991">
        <v>8000</v>
      </c>
      <c r="J2" s="2991">
        <v>8200</v>
      </c>
      <c r="K2" s="2991">
        <v>1787.54</v>
      </c>
      <c r="L2" s="2991">
        <v>2.5</v>
      </c>
      <c r="M2" s="2991" t="s">
        <v>3106</v>
      </c>
      <c r="N2" s="2991" t="s">
        <v>3107</v>
      </c>
      <c r="O2" s="2994">
        <f>J2/D2*666.67</f>
        <v>417.0969737985568</v>
      </c>
    </row>
    <row r="3" spans="1:15">
      <c r="A3" s="2991" t="s">
        <v>3108</v>
      </c>
      <c r="B3" s="2991" t="s">
        <v>3101</v>
      </c>
      <c r="C3" s="2991" t="s">
        <v>3102</v>
      </c>
      <c r="D3" s="2991">
        <v>6966</v>
      </c>
      <c r="E3" s="2991">
        <v>24381</v>
      </c>
      <c r="F3" s="2991" t="s">
        <v>3103</v>
      </c>
      <c r="G3" s="2991" t="s">
        <v>3104</v>
      </c>
      <c r="H3" s="2991" t="s">
        <v>3105</v>
      </c>
      <c r="I3" s="2991">
        <v>4500</v>
      </c>
      <c r="J3" s="2991">
        <v>4700</v>
      </c>
      <c r="K3" s="2991">
        <v>1927.73</v>
      </c>
      <c r="L3" s="2991">
        <v>4.4400000000000004</v>
      </c>
      <c r="M3" s="2991" t="s">
        <v>3106</v>
      </c>
      <c r="N3" s="2991" t="s">
        <v>3107</v>
      </c>
      <c r="O3" s="2994">
        <f t="shared" ref="O3:O36" si="0">J3/D3*666.67</f>
        <v>449.8060579959805</v>
      </c>
    </row>
    <row r="4" spans="1:15">
      <c r="A4" s="2991" t="s">
        <v>3109</v>
      </c>
      <c r="B4" s="2991" t="s">
        <v>3101</v>
      </c>
      <c r="C4" s="2991" t="s">
        <v>3102</v>
      </c>
      <c r="D4" s="2991">
        <v>8321.4599999999991</v>
      </c>
      <c r="E4" s="2991">
        <v>29125.11</v>
      </c>
      <c r="F4" s="2991" t="s">
        <v>3103</v>
      </c>
      <c r="G4" s="2991" t="s">
        <v>3104</v>
      </c>
      <c r="H4" s="2991" t="s">
        <v>3105</v>
      </c>
      <c r="I4" s="2991">
        <v>5500</v>
      </c>
      <c r="J4" s="2991">
        <v>5700</v>
      </c>
      <c r="K4" s="2991">
        <v>1957.06</v>
      </c>
      <c r="L4" s="2991">
        <v>3.64</v>
      </c>
      <c r="M4" s="2991" t="s">
        <v>3106</v>
      </c>
      <c r="N4" s="2991" t="s">
        <v>3107</v>
      </c>
      <c r="O4" s="2994">
        <f t="shared" si="0"/>
        <v>456.65291907910392</v>
      </c>
    </row>
    <row r="5" spans="1:15">
      <c r="A5" s="2991" t="s">
        <v>3110</v>
      </c>
      <c r="B5" s="2991" t="s">
        <v>3101</v>
      </c>
      <c r="C5" s="2991" t="s">
        <v>3102</v>
      </c>
      <c r="D5" s="2991">
        <v>65152.59</v>
      </c>
      <c r="E5" s="2991">
        <v>228034.07</v>
      </c>
      <c r="F5" s="2991" t="s">
        <v>3103</v>
      </c>
      <c r="G5" s="2991" t="s">
        <v>3104</v>
      </c>
      <c r="H5" s="2991" t="s">
        <v>3111</v>
      </c>
      <c r="I5" s="2991">
        <v>101998</v>
      </c>
      <c r="J5" s="2991">
        <v>102198</v>
      </c>
      <c r="K5" s="2991">
        <v>4481.6899999999996</v>
      </c>
      <c r="L5" s="2991">
        <v>0.2</v>
      </c>
      <c r="M5" s="2991" t="s">
        <v>3106</v>
      </c>
      <c r="N5" s="2991" t="s">
        <v>3107</v>
      </c>
      <c r="O5" s="2994">
        <f t="shared" si="0"/>
        <v>1045.7349532842823</v>
      </c>
    </row>
    <row r="6" spans="1:15">
      <c r="A6" s="2991" t="s">
        <v>3112</v>
      </c>
      <c r="B6" s="2991" t="s">
        <v>3101</v>
      </c>
      <c r="C6" s="2991" t="s">
        <v>3102</v>
      </c>
      <c r="D6" s="2991">
        <v>43487</v>
      </c>
      <c r="E6" s="2991">
        <v>152204.5</v>
      </c>
      <c r="F6" s="2991" t="s">
        <v>3113</v>
      </c>
      <c r="G6" s="2991" t="s">
        <v>3104</v>
      </c>
      <c r="H6" s="2991" t="s">
        <v>3114</v>
      </c>
      <c r="I6" s="2991">
        <v>52188</v>
      </c>
      <c r="J6" s="2991">
        <v>52288</v>
      </c>
      <c r="K6" s="2991">
        <v>3435.38</v>
      </c>
      <c r="L6" s="2991">
        <v>0.19</v>
      </c>
      <c r="M6" s="2991" t="s">
        <v>3115</v>
      </c>
      <c r="N6" s="2991" t="s">
        <v>3107</v>
      </c>
      <c r="O6" s="2994">
        <f t="shared" si="0"/>
        <v>801.59222204336925</v>
      </c>
    </row>
    <row r="7" spans="1:15">
      <c r="A7" s="2991" t="s">
        <v>3116</v>
      </c>
      <c r="B7" s="2991" t="s">
        <v>3101</v>
      </c>
      <c r="C7" s="2991" t="s">
        <v>3102</v>
      </c>
      <c r="D7" s="2991">
        <v>24255</v>
      </c>
      <c r="E7" s="2991">
        <v>38808</v>
      </c>
      <c r="F7" s="2991" t="s">
        <v>3117</v>
      </c>
      <c r="G7" s="2991" t="s">
        <v>3104</v>
      </c>
      <c r="H7" s="2991" t="s">
        <v>3114</v>
      </c>
      <c r="I7" s="2991">
        <v>3180</v>
      </c>
      <c r="J7" s="2991">
        <v>3280</v>
      </c>
      <c r="K7" s="2991">
        <v>845.19</v>
      </c>
      <c r="L7" s="2991">
        <v>3.14</v>
      </c>
      <c r="M7" s="2991" t="s">
        <v>3118</v>
      </c>
      <c r="N7" s="2991" t="s">
        <v>3107</v>
      </c>
      <c r="O7" s="2994">
        <f t="shared" si="0"/>
        <v>90.153683776540916</v>
      </c>
    </row>
    <row r="8" spans="1:15">
      <c r="A8" s="2991" t="s">
        <v>3119</v>
      </c>
      <c r="B8" s="2991" t="s">
        <v>3101</v>
      </c>
      <c r="C8" s="2991" t="s">
        <v>3102</v>
      </c>
      <c r="D8" s="2991">
        <v>62902</v>
      </c>
      <c r="E8" s="2991">
        <v>220157</v>
      </c>
      <c r="F8" s="2991" t="s">
        <v>3113</v>
      </c>
      <c r="G8" s="2991" t="s">
        <v>3104</v>
      </c>
      <c r="H8" s="2991" t="s">
        <v>3114</v>
      </c>
      <c r="I8" s="2991">
        <v>75480</v>
      </c>
      <c r="J8" s="2991">
        <v>75580</v>
      </c>
      <c r="K8" s="2991">
        <v>3433</v>
      </c>
      <c r="L8" s="2991">
        <v>0.13</v>
      </c>
      <c r="M8" s="2991" t="s">
        <v>3115</v>
      </c>
      <c r="N8" s="2991" t="s">
        <v>3107</v>
      </c>
      <c r="O8" s="2994">
        <f t="shared" si="0"/>
        <v>801.03841849225773</v>
      </c>
    </row>
    <row r="9" spans="1:15">
      <c r="A9" s="2991" t="s">
        <v>3120</v>
      </c>
      <c r="B9" s="2991" t="s">
        <v>3101</v>
      </c>
      <c r="C9" s="2991" t="s">
        <v>3102</v>
      </c>
      <c r="D9" s="2991">
        <v>47812</v>
      </c>
      <c r="E9" s="2991">
        <v>191248</v>
      </c>
      <c r="F9" s="2991" t="s">
        <v>3121</v>
      </c>
      <c r="G9" s="2991" t="s">
        <v>3104</v>
      </c>
      <c r="H9" s="2991" t="s">
        <v>3122</v>
      </c>
      <c r="I9" s="2991">
        <v>35860</v>
      </c>
      <c r="J9" s="2991">
        <v>35960</v>
      </c>
      <c r="K9" s="2991">
        <v>1880.27</v>
      </c>
      <c r="L9" s="2991">
        <v>0.28000000000000003</v>
      </c>
      <c r="M9" s="2991" t="s">
        <v>3123</v>
      </c>
      <c r="N9" s="2991" t="s">
        <v>3107</v>
      </c>
      <c r="O9" s="2994">
        <f t="shared" si="0"/>
        <v>501.41080063582359</v>
      </c>
    </row>
    <row r="10" spans="1:15">
      <c r="A10" s="2991" t="s">
        <v>3124</v>
      </c>
      <c r="B10" s="2991" t="s">
        <v>3101</v>
      </c>
      <c r="C10" s="2991" t="s">
        <v>3102</v>
      </c>
      <c r="D10" s="2991">
        <v>1820</v>
      </c>
      <c r="E10" s="2991">
        <v>2912</v>
      </c>
      <c r="F10" s="2991" t="s">
        <v>3125</v>
      </c>
      <c r="G10" s="2991" t="s">
        <v>3104</v>
      </c>
      <c r="H10" s="2991" t="s">
        <v>3126</v>
      </c>
      <c r="I10" s="2991">
        <v>173</v>
      </c>
      <c r="J10" s="2991">
        <v>175</v>
      </c>
      <c r="K10" s="2991">
        <v>600.96</v>
      </c>
      <c r="L10" s="2991">
        <v>1.1599999999999999</v>
      </c>
      <c r="M10" s="2991" t="s">
        <v>3127</v>
      </c>
      <c r="N10" s="2991" t="s">
        <v>3107</v>
      </c>
      <c r="O10" s="2994">
        <f t="shared" si="0"/>
        <v>64.10288461538461</v>
      </c>
    </row>
    <row r="11" spans="1:15">
      <c r="A11" s="2991" t="s">
        <v>3128</v>
      </c>
      <c r="B11" s="2991" t="s">
        <v>3101</v>
      </c>
      <c r="C11" s="2991" t="s">
        <v>3102</v>
      </c>
      <c r="D11" s="2991">
        <v>12828</v>
      </c>
      <c r="E11" s="2991">
        <v>44898</v>
      </c>
      <c r="F11" s="2991" t="s">
        <v>3113</v>
      </c>
      <c r="G11" s="2991" t="s">
        <v>3104</v>
      </c>
      <c r="H11" s="2991" t="s">
        <v>3126</v>
      </c>
      <c r="I11" s="2991">
        <v>15398</v>
      </c>
      <c r="J11" s="2991">
        <v>15498</v>
      </c>
      <c r="K11" s="2991">
        <v>3451.82</v>
      </c>
      <c r="L11" s="2991">
        <v>0.65</v>
      </c>
      <c r="M11" s="2991" t="s">
        <v>3115</v>
      </c>
      <c r="N11" s="2991" t="s">
        <v>3107</v>
      </c>
      <c r="O11" s="2994">
        <f t="shared" si="0"/>
        <v>805.42965855940122</v>
      </c>
    </row>
    <row r="12" spans="1:15">
      <c r="A12" s="2991" t="s">
        <v>3129</v>
      </c>
      <c r="B12" s="2991" t="s">
        <v>3101</v>
      </c>
      <c r="C12" s="2991" t="s">
        <v>3102</v>
      </c>
      <c r="D12" s="2991">
        <v>1652</v>
      </c>
      <c r="E12" s="2991">
        <v>2808.4</v>
      </c>
      <c r="F12" s="2991" t="s">
        <v>3130</v>
      </c>
      <c r="G12" s="2991" t="s">
        <v>3104</v>
      </c>
      <c r="H12" s="2991" t="s">
        <v>3126</v>
      </c>
      <c r="I12" s="2991">
        <v>240</v>
      </c>
      <c r="J12" s="2991">
        <v>245</v>
      </c>
      <c r="K12" s="2991">
        <v>872.37</v>
      </c>
      <c r="L12" s="2991">
        <v>2.08</v>
      </c>
      <c r="M12" s="2991" t="s">
        <v>3131</v>
      </c>
      <c r="N12" s="2991" t="s">
        <v>3107</v>
      </c>
      <c r="O12" s="2994">
        <f t="shared" si="0"/>
        <v>98.870550847457622</v>
      </c>
    </row>
    <row r="13" spans="1:15">
      <c r="A13" s="2991" t="s">
        <v>3132</v>
      </c>
      <c r="B13" s="2991" t="s">
        <v>3101</v>
      </c>
      <c r="C13" s="2991" t="s">
        <v>3102</v>
      </c>
      <c r="D13" s="2991">
        <v>42195</v>
      </c>
      <c r="E13" s="2991">
        <v>147682.5</v>
      </c>
      <c r="F13" s="2991" t="s">
        <v>3113</v>
      </c>
      <c r="G13" s="2991" t="s">
        <v>3104</v>
      </c>
      <c r="H13" s="2991" t="s">
        <v>3126</v>
      </c>
      <c r="I13" s="2991">
        <v>50638</v>
      </c>
      <c r="J13" s="2991">
        <v>50738</v>
      </c>
      <c r="K13" s="2991">
        <v>3435.61</v>
      </c>
      <c r="L13" s="2991">
        <v>0.2</v>
      </c>
      <c r="M13" s="2991" t="s">
        <v>3115</v>
      </c>
      <c r="N13" s="2991" t="s">
        <v>3107</v>
      </c>
      <c r="O13" s="2994">
        <f t="shared" si="0"/>
        <v>801.64717288778286</v>
      </c>
    </row>
    <row r="14" spans="1:15">
      <c r="A14" s="2991" t="s">
        <v>3133</v>
      </c>
      <c r="B14" s="2991" t="s">
        <v>3101</v>
      </c>
      <c r="C14" s="2991" t="s">
        <v>3102</v>
      </c>
      <c r="D14" s="2991">
        <v>19341</v>
      </c>
      <c r="E14" s="2991">
        <v>67693.5</v>
      </c>
      <c r="F14" s="2991" t="s">
        <v>3113</v>
      </c>
      <c r="G14" s="2991" t="s">
        <v>3104</v>
      </c>
      <c r="H14" s="2991" t="s">
        <v>3126</v>
      </c>
      <c r="I14" s="2991">
        <v>23208</v>
      </c>
      <c r="J14" s="2991">
        <v>23308</v>
      </c>
      <c r="K14" s="2991">
        <v>3443.17</v>
      </c>
      <c r="L14" s="2991">
        <v>0.43</v>
      </c>
      <c r="M14" s="2991" t="s">
        <v>3115</v>
      </c>
      <c r="N14" s="2991" t="s">
        <v>3107</v>
      </c>
      <c r="O14" s="2994">
        <f t="shared" si="0"/>
        <v>803.40956310428612</v>
      </c>
    </row>
    <row r="15" spans="1:15" s="2993" customFormat="1">
      <c r="A15" s="2992" t="s">
        <v>3134</v>
      </c>
      <c r="B15" s="2992" t="s">
        <v>3101</v>
      </c>
      <c r="C15" s="2992" t="s">
        <v>3102</v>
      </c>
      <c r="D15" s="2992">
        <v>13349</v>
      </c>
      <c r="E15" s="2992">
        <v>33372.5</v>
      </c>
      <c r="F15" s="2992" t="s">
        <v>3135</v>
      </c>
      <c r="G15" s="2992" t="s">
        <v>3104</v>
      </c>
      <c r="H15" s="2992" t="s">
        <v>3136</v>
      </c>
      <c r="I15" s="2992">
        <v>1860</v>
      </c>
      <c r="J15" s="2992">
        <v>1910</v>
      </c>
      <c r="K15" s="2992">
        <v>572.33000000000004</v>
      </c>
      <c r="L15" s="2992">
        <v>2.69</v>
      </c>
      <c r="M15" s="2992" t="s">
        <v>3137</v>
      </c>
      <c r="N15" s="2992" t="s">
        <v>3107</v>
      </c>
      <c r="O15" s="2995">
        <f t="shared" si="0"/>
        <v>95.388396134541907</v>
      </c>
    </row>
    <row r="16" spans="1:15">
      <c r="A16" s="2991" t="s">
        <v>3138</v>
      </c>
      <c r="B16" s="2991" t="s">
        <v>3101</v>
      </c>
      <c r="C16" s="2991" t="s">
        <v>3102</v>
      </c>
      <c r="D16" s="2991">
        <v>3898</v>
      </c>
      <c r="E16" s="2991">
        <v>2338.8000000000002</v>
      </c>
      <c r="F16" s="2991" t="s">
        <v>3139</v>
      </c>
      <c r="G16" s="2991" t="s">
        <v>3104</v>
      </c>
      <c r="H16" s="2991" t="s">
        <v>3140</v>
      </c>
      <c r="I16" s="2991">
        <v>585</v>
      </c>
      <c r="J16" s="2991">
        <v>605</v>
      </c>
      <c r="K16" s="2991">
        <v>2586.8000000000002</v>
      </c>
      <c r="L16" s="2991">
        <v>3.42</v>
      </c>
      <c r="M16" s="2991" t="s">
        <v>3141</v>
      </c>
      <c r="N16" s="2991" t="s">
        <v>3107</v>
      </c>
      <c r="O16" s="2994">
        <f t="shared" si="0"/>
        <v>103.47238327347357</v>
      </c>
    </row>
    <row r="17" spans="1:15">
      <c r="A17" s="2991" t="s">
        <v>3142</v>
      </c>
      <c r="B17" s="2991" t="s">
        <v>3101</v>
      </c>
      <c r="C17" s="2991" t="s">
        <v>3102</v>
      </c>
      <c r="D17" s="2991">
        <v>32936</v>
      </c>
      <c r="E17" s="2991">
        <v>131744</v>
      </c>
      <c r="F17" s="2991" t="s">
        <v>3121</v>
      </c>
      <c r="G17" s="2991" t="s">
        <v>3104</v>
      </c>
      <c r="H17" s="2991" t="s">
        <v>3143</v>
      </c>
      <c r="I17" s="2991">
        <v>24500</v>
      </c>
      <c r="J17" s="2991">
        <v>24550</v>
      </c>
      <c r="K17" s="2991">
        <v>1863.46</v>
      </c>
      <c r="L17" s="2991">
        <v>0.2</v>
      </c>
      <c r="M17" s="2991" t="s">
        <v>3144</v>
      </c>
      <c r="N17" s="2991" t="s">
        <v>3107</v>
      </c>
      <c r="O17" s="2994">
        <f t="shared" si="0"/>
        <v>496.92581066310419</v>
      </c>
    </row>
    <row r="18" spans="1:15">
      <c r="A18" s="2991" t="s">
        <v>3145</v>
      </c>
      <c r="B18" s="2991" t="s">
        <v>3101</v>
      </c>
      <c r="C18" s="2991" t="s">
        <v>3102</v>
      </c>
      <c r="D18" s="2991">
        <v>32936</v>
      </c>
      <c r="E18" s="2991">
        <v>131744</v>
      </c>
      <c r="F18" s="2991" t="s">
        <v>3121</v>
      </c>
      <c r="G18" s="2991" t="s">
        <v>3104</v>
      </c>
      <c r="H18" s="2991" t="s">
        <v>3146</v>
      </c>
      <c r="I18" s="2991">
        <v>24700</v>
      </c>
      <c r="J18" s="2991">
        <v>24750</v>
      </c>
      <c r="K18" s="2991">
        <v>1878.64</v>
      </c>
      <c r="L18" s="2991">
        <v>0.2</v>
      </c>
      <c r="M18" s="2991" t="s">
        <v>3144</v>
      </c>
      <c r="N18" s="2991" t="s">
        <v>3107</v>
      </c>
      <c r="O18" s="2994">
        <f t="shared" si="0"/>
        <v>500.97408610638814</v>
      </c>
    </row>
    <row r="19" spans="1:15">
      <c r="A19" s="2991" t="s">
        <v>3147</v>
      </c>
      <c r="B19" s="2991" t="s">
        <v>3101</v>
      </c>
      <c r="C19" s="2991" t="s">
        <v>3102</v>
      </c>
      <c r="D19" s="2991">
        <v>5835</v>
      </c>
      <c r="E19" s="2991">
        <v>8169</v>
      </c>
      <c r="F19" s="2991" t="s">
        <v>3148</v>
      </c>
      <c r="G19" s="2991" t="s">
        <v>3104</v>
      </c>
      <c r="H19" s="2991" t="s">
        <v>3149</v>
      </c>
      <c r="I19" s="2991">
        <v>570</v>
      </c>
      <c r="J19" s="2991">
        <v>575</v>
      </c>
      <c r="K19" s="2991">
        <v>703.87</v>
      </c>
      <c r="L19" s="2991">
        <v>0.88</v>
      </c>
      <c r="M19" s="2991" t="s">
        <v>3150</v>
      </c>
      <c r="N19" s="2991" t="s">
        <v>3107</v>
      </c>
      <c r="O19" s="2994">
        <f t="shared" si="0"/>
        <v>65.695844044558697</v>
      </c>
    </row>
    <row r="20" spans="1:15">
      <c r="A20" s="2991" t="s">
        <v>3151</v>
      </c>
      <c r="B20" s="2991" t="s">
        <v>3101</v>
      </c>
      <c r="C20" s="2991" t="s">
        <v>3102</v>
      </c>
      <c r="D20" s="2991">
        <v>3593</v>
      </c>
      <c r="E20" s="2991">
        <v>6108.1</v>
      </c>
      <c r="F20" s="2991" t="s">
        <v>3130</v>
      </c>
      <c r="G20" s="2991" t="s">
        <v>3104</v>
      </c>
      <c r="H20" s="2991" t="s">
        <v>3152</v>
      </c>
      <c r="I20" s="2991">
        <v>325</v>
      </c>
      <c r="J20" s="2991">
        <v>330</v>
      </c>
      <c r="K20" s="2991">
        <v>540.26</v>
      </c>
      <c r="L20" s="2991">
        <v>1.54</v>
      </c>
      <c r="M20" s="2991" t="s">
        <v>3153</v>
      </c>
      <c r="N20" s="2991" t="s">
        <v>3107</v>
      </c>
      <c r="O20" s="2994">
        <f t="shared" si="0"/>
        <v>61.230475925410516</v>
      </c>
    </row>
    <row r="21" spans="1:15">
      <c r="A21" s="2991" t="s">
        <v>3154</v>
      </c>
      <c r="B21" s="2991" t="s">
        <v>3101</v>
      </c>
      <c r="C21" s="2991" t="s">
        <v>3102</v>
      </c>
      <c r="D21" s="2991">
        <v>2983</v>
      </c>
      <c r="E21" s="2991">
        <v>2088.1</v>
      </c>
      <c r="F21" s="2991" t="s">
        <v>3155</v>
      </c>
      <c r="G21" s="2991" t="s">
        <v>3104</v>
      </c>
      <c r="H21" s="2991" t="s">
        <v>3152</v>
      </c>
      <c r="I21" s="2991">
        <v>358</v>
      </c>
      <c r="J21" s="2991">
        <v>7998</v>
      </c>
      <c r="K21" s="2991">
        <v>38302.76</v>
      </c>
      <c r="L21" s="2991">
        <v>2134.08</v>
      </c>
      <c r="M21" s="2991" t="s">
        <v>3144</v>
      </c>
      <c r="N21" s="2991" t="s">
        <v>3107</v>
      </c>
      <c r="O21" s="2994">
        <f t="shared" si="0"/>
        <v>1787.4712236004023</v>
      </c>
    </row>
    <row r="22" spans="1:15">
      <c r="A22" s="2991" t="s">
        <v>3156</v>
      </c>
      <c r="B22" s="2991" t="s">
        <v>3101</v>
      </c>
      <c r="C22" s="2991" t="s">
        <v>3102</v>
      </c>
      <c r="D22" s="2991">
        <v>2738</v>
      </c>
      <c r="E22" s="2991">
        <v>3285.6</v>
      </c>
      <c r="F22" s="2991" t="s">
        <v>3157</v>
      </c>
      <c r="G22" s="2991" t="s">
        <v>3104</v>
      </c>
      <c r="H22" s="2991" t="s">
        <v>3158</v>
      </c>
      <c r="I22" s="2991">
        <v>190</v>
      </c>
      <c r="J22" s="2991">
        <v>455</v>
      </c>
      <c r="K22" s="2991">
        <v>1384.82</v>
      </c>
      <c r="L22" s="2991">
        <v>139.47</v>
      </c>
      <c r="M22" s="2991" t="s">
        <v>3159</v>
      </c>
      <c r="N22" s="2991" t="s">
        <v>3107</v>
      </c>
      <c r="O22" s="2994">
        <f t="shared" si="0"/>
        <v>110.78701607012418</v>
      </c>
    </row>
    <row r="23" spans="1:15">
      <c r="A23" s="2991" t="s">
        <v>3160</v>
      </c>
      <c r="B23" s="2991" t="s">
        <v>3101</v>
      </c>
      <c r="C23" s="2991" t="s">
        <v>3102</v>
      </c>
      <c r="D23" s="2991">
        <v>484</v>
      </c>
      <c r="E23" s="2991">
        <v>193.6</v>
      </c>
      <c r="F23" s="2991" t="s">
        <v>3161</v>
      </c>
      <c r="G23" s="2991" t="s">
        <v>3104</v>
      </c>
      <c r="H23" s="2991" t="s">
        <v>3158</v>
      </c>
      <c r="I23" s="2991">
        <v>53</v>
      </c>
      <c r="J23" s="2991">
        <v>63</v>
      </c>
      <c r="K23" s="2991">
        <v>3254.13</v>
      </c>
      <c r="L23" s="2991">
        <v>18.87</v>
      </c>
      <c r="M23" s="2991" t="s">
        <v>3162</v>
      </c>
      <c r="N23" s="2991" t="s">
        <v>3107</v>
      </c>
      <c r="O23" s="2994">
        <f t="shared" si="0"/>
        <v>86.777293388429754</v>
      </c>
    </row>
    <row r="24" spans="1:15">
      <c r="A24" s="2991" t="s">
        <v>3163</v>
      </c>
      <c r="B24" s="2991" t="s">
        <v>3101</v>
      </c>
      <c r="C24" s="2991" t="s">
        <v>3102</v>
      </c>
      <c r="D24" s="2991">
        <v>77519</v>
      </c>
      <c r="E24" s="2991">
        <v>155038</v>
      </c>
      <c r="F24" s="2991" t="s">
        <v>3164</v>
      </c>
      <c r="G24" s="2991" t="s">
        <v>3104</v>
      </c>
      <c r="H24" s="2991" t="s">
        <v>3165</v>
      </c>
      <c r="I24" s="2991">
        <v>9900</v>
      </c>
      <c r="J24" s="2991">
        <v>9950</v>
      </c>
      <c r="K24" s="2991">
        <v>641.77</v>
      </c>
      <c r="L24" s="2991">
        <v>0.51</v>
      </c>
      <c r="M24" s="2991" t="s">
        <v>3166</v>
      </c>
      <c r="N24" s="2991" t="s">
        <v>3107</v>
      </c>
      <c r="O24" s="2994">
        <f t="shared" si="0"/>
        <v>85.570847147151014</v>
      </c>
    </row>
    <row r="25" spans="1:15">
      <c r="A25" s="2991" t="s">
        <v>3167</v>
      </c>
      <c r="B25" s="2991" t="s">
        <v>3101</v>
      </c>
      <c r="C25" s="2991" t="s">
        <v>3102</v>
      </c>
      <c r="D25" s="2991">
        <v>24957</v>
      </c>
      <c r="E25" s="2991">
        <v>82358.100000000006</v>
      </c>
      <c r="F25" s="2991" t="s">
        <v>3168</v>
      </c>
      <c r="G25" s="2991" t="s">
        <v>3104</v>
      </c>
      <c r="H25" s="2991" t="s">
        <v>3165</v>
      </c>
      <c r="I25" s="2991">
        <v>3935</v>
      </c>
      <c r="J25" s="2991">
        <v>3955</v>
      </c>
      <c r="K25" s="2991">
        <v>480.22</v>
      </c>
      <c r="L25" s="2991">
        <v>0.51</v>
      </c>
      <c r="M25" s="2991" t="s">
        <v>3169</v>
      </c>
      <c r="N25" s="2991" t="s">
        <v>3107</v>
      </c>
      <c r="O25" s="2994">
        <f t="shared" si="0"/>
        <v>105.64891012541571</v>
      </c>
    </row>
    <row r="26" spans="1:15" s="2993" customFormat="1">
      <c r="A26" s="2992" t="s">
        <v>3170</v>
      </c>
      <c r="B26" s="2992" t="s">
        <v>3101</v>
      </c>
      <c r="C26" s="2992" t="s">
        <v>3102</v>
      </c>
      <c r="D26" s="2992">
        <v>42653</v>
      </c>
      <c r="E26" s="2992">
        <v>149285.5</v>
      </c>
      <c r="F26" s="2992" t="s">
        <v>3171</v>
      </c>
      <c r="G26" s="2992" t="s">
        <v>3104</v>
      </c>
      <c r="H26" s="2992" t="s">
        <v>3172</v>
      </c>
      <c r="I26" s="2992">
        <v>9640</v>
      </c>
      <c r="J26" s="2992">
        <v>9645</v>
      </c>
      <c r="K26" s="2992">
        <v>646.08000000000004</v>
      </c>
      <c r="L26" s="2992">
        <v>0.05</v>
      </c>
      <c r="M26" s="2992" t="s">
        <v>3137</v>
      </c>
      <c r="N26" s="2992" t="s">
        <v>3107</v>
      </c>
      <c r="O26" s="2995">
        <f t="shared" si="0"/>
        <v>150.75216631889901</v>
      </c>
    </row>
    <row r="27" spans="1:15" s="2993" customFormat="1">
      <c r="A27" s="2992" t="s">
        <v>3170</v>
      </c>
      <c r="B27" s="2992" t="s">
        <v>3101</v>
      </c>
      <c r="C27" s="2992" t="s">
        <v>3102</v>
      </c>
      <c r="D27" s="2992">
        <v>28436</v>
      </c>
      <c r="E27" s="2992">
        <v>99526</v>
      </c>
      <c r="F27" s="2992" t="s">
        <v>3171</v>
      </c>
      <c r="G27" s="2992" t="s">
        <v>3104</v>
      </c>
      <c r="H27" s="2992" t="s">
        <v>3172</v>
      </c>
      <c r="I27" s="2992">
        <v>6430</v>
      </c>
      <c r="J27" s="2992">
        <v>6435</v>
      </c>
      <c r="K27" s="2992">
        <v>646.54999999999995</v>
      </c>
      <c r="L27" s="2992">
        <v>0.08</v>
      </c>
      <c r="M27" s="2992" t="s">
        <v>3137</v>
      </c>
      <c r="N27" s="2992" t="s">
        <v>3107</v>
      </c>
      <c r="O27" s="2995">
        <f t="shared" si="0"/>
        <v>150.86585490223658</v>
      </c>
    </row>
    <row r="28" spans="1:15">
      <c r="A28" s="2991" t="s">
        <v>3173</v>
      </c>
      <c r="B28" s="2991" t="s">
        <v>3101</v>
      </c>
      <c r="C28" s="2991" t="s">
        <v>3102</v>
      </c>
      <c r="D28" s="2991">
        <v>8569</v>
      </c>
      <c r="E28" s="2991">
        <v>10282.799999999999</v>
      </c>
      <c r="F28" s="2991" t="s">
        <v>3157</v>
      </c>
      <c r="G28" s="2991" t="s">
        <v>3104</v>
      </c>
      <c r="H28" s="2991" t="s">
        <v>3174</v>
      </c>
      <c r="I28" s="2991">
        <v>652</v>
      </c>
      <c r="J28" s="2991">
        <v>657</v>
      </c>
      <c r="K28" s="2991">
        <v>638.91999999999996</v>
      </c>
      <c r="L28" s="2991">
        <v>0.77</v>
      </c>
      <c r="M28" s="2991" t="s">
        <v>3175</v>
      </c>
      <c r="N28" s="2991" t="s">
        <v>3107</v>
      </c>
      <c r="O28" s="2994">
        <f t="shared" si="0"/>
        <v>51.114738009102574</v>
      </c>
    </row>
    <row r="29" spans="1:15">
      <c r="A29" s="2991" t="s">
        <v>3176</v>
      </c>
      <c r="B29" s="2991" t="s">
        <v>3101</v>
      </c>
      <c r="C29" s="2991" t="s">
        <v>3102</v>
      </c>
      <c r="D29" s="2991">
        <v>3806</v>
      </c>
      <c r="E29" s="2991">
        <v>7612</v>
      </c>
      <c r="F29" s="2991" t="s">
        <v>3177</v>
      </c>
      <c r="G29" s="2991" t="s">
        <v>3104</v>
      </c>
      <c r="H29" s="2991" t="s">
        <v>3178</v>
      </c>
      <c r="I29" s="2991">
        <v>400</v>
      </c>
      <c r="J29" s="2991">
        <v>405</v>
      </c>
      <c r="K29" s="2991">
        <v>532.04</v>
      </c>
      <c r="L29" s="2991">
        <v>1.25</v>
      </c>
      <c r="M29" s="2991" t="s">
        <v>3179</v>
      </c>
      <c r="N29" s="2991" t="s">
        <v>3107</v>
      </c>
      <c r="O29" s="2994">
        <f t="shared" si="0"/>
        <v>70.940974776668412</v>
      </c>
    </row>
    <row r="30" spans="1:15">
      <c r="A30" s="2991" t="s">
        <v>3180</v>
      </c>
      <c r="B30" s="2991" t="s">
        <v>3101</v>
      </c>
      <c r="C30" s="2991" t="s">
        <v>3102</v>
      </c>
      <c r="D30" s="2991">
        <v>8508</v>
      </c>
      <c r="E30" s="2991">
        <v>13612.8</v>
      </c>
      <c r="F30" s="2991" t="s">
        <v>3181</v>
      </c>
      <c r="G30" s="2991" t="s">
        <v>3104</v>
      </c>
      <c r="H30" s="2991" t="s">
        <v>3182</v>
      </c>
      <c r="I30" s="2991">
        <v>1125</v>
      </c>
      <c r="J30" s="2991">
        <v>1145</v>
      </c>
      <c r="K30" s="2991">
        <v>841.12</v>
      </c>
      <c r="L30" s="2991">
        <v>1.78</v>
      </c>
      <c r="M30" s="2991" t="s">
        <v>3183</v>
      </c>
      <c r="N30" s="2991" t="s">
        <v>3107</v>
      </c>
      <c r="O30" s="2994">
        <f t="shared" si="0"/>
        <v>89.719928302773866</v>
      </c>
    </row>
    <row r="31" spans="1:15">
      <c r="A31" s="2991" t="s">
        <v>3184</v>
      </c>
      <c r="B31" s="2991" t="s">
        <v>3101</v>
      </c>
      <c r="C31" s="2991" t="s">
        <v>3102</v>
      </c>
      <c r="D31" s="2991">
        <v>63970</v>
      </c>
      <c r="E31" s="2991">
        <v>127940</v>
      </c>
      <c r="F31" s="2991" t="s">
        <v>3177</v>
      </c>
      <c r="G31" s="2991" t="s">
        <v>3104</v>
      </c>
      <c r="H31" s="2991" t="s">
        <v>3185</v>
      </c>
      <c r="I31" s="2991">
        <v>10335</v>
      </c>
      <c r="J31" s="2991">
        <v>10385</v>
      </c>
      <c r="K31" s="2991">
        <v>811.71</v>
      </c>
      <c r="L31" s="2991">
        <v>0.48</v>
      </c>
      <c r="M31" s="2991" t="s">
        <v>3123</v>
      </c>
      <c r="N31" s="2991" t="s">
        <v>3107</v>
      </c>
      <c r="O31" s="2994">
        <f t="shared" si="0"/>
        <v>108.22835626074722</v>
      </c>
    </row>
    <row r="32" spans="1:15">
      <c r="A32" s="2991" t="s">
        <v>3186</v>
      </c>
      <c r="B32" s="2991" t="s">
        <v>3101</v>
      </c>
      <c r="C32" s="2991" t="s">
        <v>3102</v>
      </c>
      <c r="D32" s="2991">
        <v>6052</v>
      </c>
      <c r="E32" s="2991">
        <v>14222.2</v>
      </c>
      <c r="F32" s="2991" t="s">
        <v>3187</v>
      </c>
      <c r="G32" s="2991" t="s">
        <v>3104</v>
      </c>
      <c r="H32" s="2991" t="s">
        <v>3188</v>
      </c>
      <c r="I32" s="2991">
        <v>640</v>
      </c>
      <c r="J32" s="2991">
        <v>645</v>
      </c>
      <c r="K32" s="2991">
        <v>453.51</v>
      </c>
      <c r="L32" s="2991">
        <v>0.78</v>
      </c>
      <c r="M32" s="2991" t="s">
        <v>3189</v>
      </c>
      <c r="N32" s="2991" t="s">
        <v>3107</v>
      </c>
      <c r="O32" s="2994">
        <f t="shared" si="0"/>
        <v>71.051247521480505</v>
      </c>
    </row>
    <row r="33" spans="1:15">
      <c r="A33" s="2991" t="s">
        <v>3190</v>
      </c>
      <c r="B33" s="2991" t="s">
        <v>3101</v>
      </c>
      <c r="C33" s="2991" t="s">
        <v>3102</v>
      </c>
      <c r="D33" s="2991">
        <v>43519</v>
      </c>
      <c r="E33" s="2991">
        <v>195835.5</v>
      </c>
      <c r="F33" s="2991" t="s">
        <v>3191</v>
      </c>
      <c r="G33" s="2991" t="s">
        <v>3104</v>
      </c>
      <c r="H33" s="2991" t="s">
        <v>3188</v>
      </c>
      <c r="I33" s="2991">
        <v>58750</v>
      </c>
      <c r="J33" s="2991">
        <v>58800</v>
      </c>
      <c r="K33" s="2991">
        <v>3002.51</v>
      </c>
      <c r="L33" s="2991">
        <v>0.09</v>
      </c>
      <c r="M33" s="2991" t="s">
        <v>3192</v>
      </c>
      <c r="N33" s="2991" t="s">
        <v>3107</v>
      </c>
      <c r="O33" s="2994">
        <f t="shared" si="0"/>
        <v>900.76049541579528</v>
      </c>
    </row>
    <row r="34" spans="1:15">
      <c r="A34" s="2991" t="s">
        <v>3119</v>
      </c>
      <c r="B34" s="2991" t="s">
        <v>3101</v>
      </c>
      <c r="C34" s="2991" t="s">
        <v>3102</v>
      </c>
      <c r="D34" s="2991">
        <v>63005</v>
      </c>
      <c r="E34" s="2991">
        <v>283522.5</v>
      </c>
      <c r="F34" s="2991" t="s">
        <v>3191</v>
      </c>
      <c r="G34" s="2991" t="s">
        <v>3104</v>
      </c>
      <c r="H34" s="2991" t="s">
        <v>3188</v>
      </c>
      <c r="I34" s="2991">
        <v>85100</v>
      </c>
      <c r="J34" s="2991">
        <v>85150</v>
      </c>
      <c r="K34" s="2991">
        <v>3003.28</v>
      </c>
      <c r="L34" s="2991">
        <v>0.06</v>
      </c>
      <c r="M34" s="2991" t="s">
        <v>3192</v>
      </c>
      <c r="N34" s="2991" t="s">
        <v>3107</v>
      </c>
      <c r="O34" s="2994">
        <f t="shared" si="0"/>
        <v>900.99119911118157</v>
      </c>
    </row>
    <row r="35" spans="1:15">
      <c r="A35" s="2991" t="s">
        <v>3193</v>
      </c>
      <c r="B35" s="2991" t="s">
        <v>3101</v>
      </c>
      <c r="C35" s="2991" t="s">
        <v>3102</v>
      </c>
      <c r="D35" s="2991">
        <v>15555</v>
      </c>
      <c r="E35" s="2991">
        <v>23332.5</v>
      </c>
      <c r="F35" s="2991" t="s">
        <v>3194</v>
      </c>
      <c r="G35" s="2991" t="s">
        <v>3104</v>
      </c>
      <c r="H35" s="2991" t="s">
        <v>3195</v>
      </c>
      <c r="I35" s="2991">
        <v>1985</v>
      </c>
      <c r="J35" s="2991">
        <v>2015</v>
      </c>
      <c r="K35" s="2991">
        <v>863.6</v>
      </c>
      <c r="L35" s="2991">
        <v>1.51</v>
      </c>
      <c r="M35" s="2991" t="s">
        <v>3196</v>
      </c>
      <c r="N35" s="2991" t="s">
        <v>3107</v>
      </c>
      <c r="O35" s="2994">
        <f t="shared" si="0"/>
        <v>86.360658952105425</v>
      </c>
    </row>
    <row r="36" spans="1:15">
      <c r="A36" s="2991" t="s">
        <v>3197</v>
      </c>
      <c r="B36" s="2991" t="s">
        <v>3101</v>
      </c>
      <c r="C36" s="2991" t="s">
        <v>3102</v>
      </c>
      <c r="D36" s="2991">
        <v>12355</v>
      </c>
      <c r="E36" s="2991">
        <v>18532.5</v>
      </c>
      <c r="F36" s="2991" t="s">
        <v>3194</v>
      </c>
      <c r="G36" s="2991" t="s">
        <v>3104</v>
      </c>
      <c r="H36" s="2991" t="s">
        <v>3198</v>
      </c>
      <c r="I36" s="2991">
        <v>1576</v>
      </c>
      <c r="J36" s="2991">
        <v>1576</v>
      </c>
      <c r="K36" s="2991">
        <v>850.39</v>
      </c>
      <c r="L36" s="2991">
        <v>0</v>
      </c>
      <c r="M36" s="2991" t="s">
        <v>3199</v>
      </c>
      <c r="N36" s="2991" t="s">
        <v>3107</v>
      </c>
      <c r="O36" s="2994">
        <f t="shared" si="0"/>
        <v>85.040220153783892</v>
      </c>
    </row>
    <row r="37" spans="1:15">
      <c r="A37" s="2991" t="s">
        <v>3200</v>
      </c>
      <c r="B37" s="2991" t="s">
        <v>3101</v>
      </c>
      <c r="C37" s="2991" t="s">
        <v>3102</v>
      </c>
      <c r="D37" s="2991">
        <v>6400</v>
      </c>
      <c r="E37" s="2991">
        <v>9600</v>
      </c>
      <c r="F37" s="2991" t="s">
        <v>3194</v>
      </c>
      <c r="G37" s="2991" t="s">
        <v>3104</v>
      </c>
      <c r="H37" s="2991" t="s">
        <v>3201</v>
      </c>
      <c r="I37" s="2991">
        <v>816</v>
      </c>
      <c r="J37" s="2991">
        <v>1231</v>
      </c>
      <c r="K37" s="2991">
        <v>1282.28</v>
      </c>
      <c r="L37" s="2991">
        <v>50.86</v>
      </c>
      <c r="M37" s="2991" t="s">
        <v>3202</v>
      </c>
      <c r="N37" s="2991" t="s">
        <v>3107</v>
      </c>
    </row>
    <row r="38" spans="1:15">
      <c r="A38" s="2991" t="s">
        <v>3203</v>
      </c>
      <c r="B38" s="2991" t="s">
        <v>3101</v>
      </c>
      <c r="C38" s="2991" t="s">
        <v>3102</v>
      </c>
      <c r="D38" s="2991">
        <v>111359</v>
      </c>
      <c r="E38" s="2991">
        <v>200446.2</v>
      </c>
      <c r="F38" s="2991" t="s">
        <v>3204</v>
      </c>
      <c r="G38" s="2991" t="s">
        <v>3104</v>
      </c>
      <c r="H38" s="2991" t="s">
        <v>3205</v>
      </c>
      <c r="I38" s="2991">
        <v>21718</v>
      </c>
      <c r="J38" s="2991">
        <v>29018</v>
      </c>
      <c r="K38" s="2991">
        <v>1447.67</v>
      </c>
      <c r="L38" s="2991">
        <v>33.61</v>
      </c>
      <c r="M38" s="2991" t="s">
        <v>3206</v>
      </c>
      <c r="N38" s="2991" t="s">
        <v>3107</v>
      </c>
    </row>
    <row r="39" spans="1:15">
      <c r="A39" s="2991" t="s">
        <v>3207</v>
      </c>
      <c r="B39" s="2991" t="s">
        <v>3101</v>
      </c>
      <c r="C39" s="2991" t="s">
        <v>3102</v>
      </c>
      <c r="D39" s="2991">
        <v>658</v>
      </c>
      <c r="E39" s="2991">
        <v>987</v>
      </c>
      <c r="F39" s="2991" t="s">
        <v>3194</v>
      </c>
      <c r="G39" s="2991" t="s">
        <v>3104</v>
      </c>
      <c r="H39" s="2991" t="s">
        <v>3208</v>
      </c>
      <c r="I39" s="2991">
        <v>70</v>
      </c>
      <c r="J39" s="2991">
        <v>72</v>
      </c>
      <c r="K39" s="2991">
        <v>729.48</v>
      </c>
      <c r="L39" s="2991">
        <v>2.86</v>
      </c>
      <c r="M39" s="2991" t="s">
        <v>3209</v>
      </c>
      <c r="N39" s="2991" t="s">
        <v>3107</v>
      </c>
    </row>
    <row r="40" spans="1:15">
      <c r="A40" s="2991" t="s">
        <v>3210</v>
      </c>
      <c r="B40" s="2991" t="s">
        <v>3101</v>
      </c>
      <c r="C40" s="2991" t="s">
        <v>3102</v>
      </c>
      <c r="D40" s="2991">
        <v>16016</v>
      </c>
      <c r="E40" s="2991">
        <v>19219.2</v>
      </c>
      <c r="F40" s="2991" t="s">
        <v>3157</v>
      </c>
      <c r="G40" s="2991" t="s">
        <v>3104</v>
      </c>
      <c r="H40" s="2991" t="s">
        <v>3211</v>
      </c>
      <c r="I40" s="2991">
        <v>1060</v>
      </c>
      <c r="J40" s="2991">
        <v>1080</v>
      </c>
      <c r="K40" s="2991">
        <v>561.94000000000005</v>
      </c>
      <c r="L40" s="2991">
        <v>1.89</v>
      </c>
      <c r="M40" s="2991" t="s">
        <v>3212</v>
      </c>
      <c r="N40" s="2991" t="s">
        <v>3107</v>
      </c>
    </row>
    <row r="41" spans="1:15">
      <c r="A41" s="2991" t="s">
        <v>3213</v>
      </c>
      <c r="B41" s="2991" t="s">
        <v>3101</v>
      </c>
      <c r="C41" s="2991" t="s">
        <v>3102</v>
      </c>
      <c r="D41" s="2991">
        <v>25099</v>
      </c>
      <c r="E41" s="2991">
        <v>87846.5</v>
      </c>
      <c r="F41" s="2991" t="s">
        <v>3113</v>
      </c>
      <c r="G41" s="2991" t="s">
        <v>3104</v>
      </c>
      <c r="H41" s="2991" t="s">
        <v>3214</v>
      </c>
      <c r="I41" s="2991">
        <v>22588</v>
      </c>
      <c r="J41" s="2991">
        <v>22638</v>
      </c>
      <c r="K41" s="2991">
        <v>2577</v>
      </c>
      <c r="L41" s="2991">
        <v>0.22</v>
      </c>
      <c r="M41" s="2991" t="s">
        <v>3215</v>
      </c>
      <c r="N41" s="2991" t="s">
        <v>3107</v>
      </c>
    </row>
    <row r="42" spans="1:15">
      <c r="A42" s="2991" t="s">
        <v>3216</v>
      </c>
      <c r="B42" s="2991" t="s">
        <v>3101</v>
      </c>
      <c r="C42" s="2991" t="s">
        <v>3102</v>
      </c>
      <c r="D42" s="2991">
        <v>97318</v>
      </c>
      <c r="E42" s="2991">
        <v>340613</v>
      </c>
      <c r="F42" s="2991" t="s">
        <v>3113</v>
      </c>
      <c r="G42" s="2991" t="s">
        <v>3104</v>
      </c>
      <c r="H42" s="2991" t="s">
        <v>3214</v>
      </c>
      <c r="I42" s="2991">
        <v>87588</v>
      </c>
      <c r="J42" s="2991">
        <v>87638</v>
      </c>
      <c r="K42" s="2991">
        <v>2572.94</v>
      </c>
      <c r="L42" s="2991">
        <v>0.06</v>
      </c>
      <c r="M42" s="2991" t="s">
        <v>3215</v>
      </c>
      <c r="N42" s="2991" t="s">
        <v>3107</v>
      </c>
    </row>
    <row r="43" spans="1:15">
      <c r="A43" s="2991" t="s">
        <v>3217</v>
      </c>
      <c r="B43" s="2991" t="s">
        <v>3101</v>
      </c>
      <c r="C43" s="2991" t="s">
        <v>3102</v>
      </c>
      <c r="D43" s="2991">
        <v>31565</v>
      </c>
      <c r="E43" s="2991">
        <v>110477.5</v>
      </c>
      <c r="F43" s="2991" t="s">
        <v>3113</v>
      </c>
      <c r="G43" s="2991" t="s">
        <v>3104</v>
      </c>
      <c r="H43" s="2991" t="s">
        <v>3214</v>
      </c>
      <c r="I43" s="2991">
        <v>28408</v>
      </c>
      <c r="J43" s="2991">
        <v>28458</v>
      </c>
      <c r="K43" s="2991">
        <v>2575.9</v>
      </c>
      <c r="L43" s="2991">
        <v>0.18</v>
      </c>
      <c r="M43" s="2991" t="s">
        <v>3215</v>
      </c>
      <c r="N43" s="2991" t="s">
        <v>3107</v>
      </c>
    </row>
    <row r="44" spans="1:15">
      <c r="A44" s="2991" t="s">
        <v>3218</v>
      </c>
      <c r="B44" s="2991" t="s">
        <v>3101</v>
      </c>
      <c r="C44" s="2991" t="s">
        <v>3102</v>
      </c>
      <c r="D44" s="2991">
        <v>81827</v>
      </c>
      <c r="E44" s="2991">
        <v>245481</v>
      </c>
      <c r="F44" s="2991" t="s">
        <v>3219</v>
      </c>
      <c r="G44" s="2991" t="s">
        <v>3104</v>
      </c>
      <c r="H44" s="2991" t="s">
        <v>3214</v>
      </c>
      <c r="I44" s="2991">
        <v>14485</v>
      </c>
      <c r="J44" s="2991">
        <v>14535</v>
      </c>
      <c r="K44" s="2991">
        <v>592.1</v>
      </c>
      <c r="L44" s="2991">
        <v>0.35</v>
      </c>
      <c r="M44" s="2991" t="s">
        <v>3123</v>
      </c>
      <c r="N44" s="2991" t="s">
        <v>3107</v>
      </c>
    </row>
    <row r="45" spans="1:15">
      <c r="A45" s="2991" t="s">
        <v>3220</v>
      </c>
      <c r="B45" s="2991" t="s">
        <v>3101</v>
      </c>
      <c r="C45" s="2991" t="s">
        <v>3102</v>
      </c>
      <c r="D45" s="2991">
        <v>23315</v>
      </c>
      <c r="E45" s="2991">
        <v>27978</v>
      </c>
      <c r="F45" s="2991" t="s">
        <v>3157</v>
      </c>
      <c r="G45" s="2991" t="s">
        <v>3104</v>
      </c>
      <c r="H45" s="2991" t="s">
        <v>3214</v>
      </c>
      <c r="I45" s="2991">
        <v>1820</v>
      </c>
      <c r="J45" s="2991">
        <v>1840</v>
      </c>
      <c r="K45" s="2991">
        <v>657.65</v>
      </c>
      <c r="L45" s="2991">
        <v>1.1000000000000001</v>
      </c>
      <c r="M45" s="2991" t="s">
        <v>3221</v>
      </c>
      <c r="N45" s="2991" t="s">
        <v>3107</v>
      </c>
    </row>
    <row r="46" spans="1:15">
      <c r="A46" s="2991" t="s">
        <v>3222</v>
      </c>
      <c r="B46" s="2991" t="s">
        <v>3101</v>
      </c>
      <c r="C46" s="2991" t="s">
        <v>3102</v>
      </c>
      <c r="D46" s="2991">
        <v>19340</v>
      </c>
      <c r="E46" s="2991">
        <v>42548</v>
      </c>
      <c r="F46" s="2991" t="s">
        <v>3223</v>
      </c>
      <c r="G46" s="2991" t="s">
        <v>3104</v>
      </c>
      <c r="H46" s="2991" t="s">
        <v>3214</v>
      </c>
      <c r="I46" s="2991">
        <v>2596</v>
      </c>
      <c r="J46" s="2991">
        <v>2616</v>
      </c>
      <c r="K46" s="2991">
        <v>614.84</v>
      </c>
      <c r="L46" s="2991">
        <v>0.77</v>
      </c>
      <c r="M46" s="2991" t="s">
        <v>3123</v>
      </c>
      <c r="N46" s="2991" t="s">
        <v>3107</v>
      </c>
    </row>
    <row r="47" spans="1:15">
      <c r="A47" s="2991" t="s">
        <v>3224</v>
      </c>
      <c r="B47" s="2991" t="s">
        <v>3101</v>
      </c>
      <c r="C47" s="2991" t="s">
        <v>3102</v>
      </c>
      <c r="D47" s="2991">
        <v>16434</v>
      </c>
      <c r="E47" s="2991">
        <v>32868</v>
      </c>
      <c r="F47" s="2991" t="s">
        <v>3177</v>
      </c>
      <c r="G47" s="2991" t="s">
        <v>3104</v>
      </c>
      <c r="H47" s="2991" t="s">
        <v>3225</v>
      </c>
      <c r="I47" s="2991">
        <v>2578</v>
      </c>
      <c r="J47" s="2991">
        <v>2628</v>
      </c>
      <c r="K47" s="2991">
        <v>799.55</v>
      </c>
      <c r="L47" s="2991">
        <v>1.94</v>
      </c>
      <c r="M47" s="2991" t="s">
        <v>3226</v>
      </c>
      <c r="N47" s="2991" t="s">
        <v>3107</v>
      </c>
    </row>
    <row r="48" spans="1:15">
      <c r="A48" s="2991" t="s">
        <v>3227</v>
      </c>
      <c r="B48" s="2991" t="s">
        <v>3101</v>
      </c>
      <c r="C48" s="2991" t="s">
        <v>3102</v>
      </c>
      <c r="D48" s="2991">
        <v>2069</v>
      </c>
      <c r="E48" s="2991">
        <v>4138</v>
      </c>
      <c r="F48" s="2991" t="s">
        <v>3164</v>
      </c>
      <c r="G48" s="2991" t="s">
        <v>3104</v>
      </c>
      <c r="H48" s="2991" t="s">
        <v>3225</v>
      </c>
      <c r="I48" s="2991">
        <v>180</v>
      </c>
      <c r="J48" s="2991">
        <v>190</v>
      </c>
      <c r="K48" s="2991">
        <v>459.16</v>
      </c>
      <c r="L48" s="2991">
        <v>5.56</v>
      </c>
      <c r="M48" s="2991" t="s">
        <v>3228</v>
      </c>
      <c r="N48" s="2991" t="s">
        <v>3107</v>
      </c>
    </row>
    <row r="49" spans="1:14">
      <c r="A49" s="2991" t="s">
        <v>3229</v>
      </c>
      <c r="B49" s="2991" t="s">
        <v>3101</v>
      </c>
      <c r="C49" s="2991" t="s">
        <v>3102</v>
      </c>
      <c r="D49" s="2991">
        <v>71989</v>
      </c>
      <c r="E49" s="2991">
        <v>107983.5</v>
      </c>
      <c r="F49" s="2991" t="s">
        <v>3230</v>
      </c>
      <c r="G49" s="2991" t="s">
        <v>3104</v>
      </c>
      <c r="H49" s="2991" t="s">
        <v>3231</v>
      </c>
      <c r="I49" s="2991">
        <v>3780</v>
      </c>
      <c r="J49" s="2991">
        <v>4230</v>
      </c>
      <c r="K49" s="2991">
        <v>391.73</v>
      </c>
      <c r="L49" s="2991">
        <v>11.9</v>
      </c>
      <c r="M49" s="2991" t="s">
        <v>3232</v>
      </c>
      <c r="N49" s="2991" t="s">
        <v>3107</v>
      </c>
    </row>
    <row r="50" spans="1:14">
      <c r="A50" s="2991" t="s">
        <v>3233</v>
      </c>
      <c r="B50" s="2991" t="s">
        <v>3101</v>
      </c>
      <c r="C50" s="2991" t="s">
        <v>3102</v>
      </c>
      <c r="D50" s="2991">
        <v>5352</v>
      </c>
      <c r="E50" s="2991">
        <v>2676</v>
      </c>
      <c r="F50" s="2991" t="s">
        <v>3234</v>
      </c>
      <c r="G50" s="2991" t="s">
        <v>3104</v>
      </c>
      <c r="H50" s="2991" t="s">
        <v>3235</v>
      </c>
      <c r="I50" s="2991">
        <v>354</v>
      </c>
      <c r="J50" s="2991">
        <v>355</v>
      </c>
      <c r="K50" s="2991">
        <v>1326.6</v>
      </c>
      <c r="L50" s="2991">
        <v>0.28000000000000003</v>
      </c>
      <c r="M50" s="2991" t="s">
        <v>3236</v>
      </c>
      <c r="N50" s="2991" t="s">
        <v>3107</v>
      </c>
    </row>
    <row r="51" spans="1:14">
      <c r="A51" s="2991" t="s">
        <v>3237</v>
      </c>
      <c r="B51" s="2991" t="s">
        <v>3101</v>
      </c>
      <c r="C51" s="2991" t="s">
        <v>3102</v>
      </c>
      <c r="D51" s="2991">
        <v>70</v>
      </c>
      <c r="E51" s="2991">
        <v>140</v>
      </c>
      <c r="F51" s="2991" t="s">
        <v>3164</v>
      </c>
      <c r="G51" s="2991" t="s">
        <v>3104</v>
      </c>
      <c r="H51" s="2991" t="s">
        <v>3238</v>
      </c>
      <c r="I51" s="2991">
        <v>91.7</v>
      </c>
      <c r="J51" s="2991">
        <v>91.79</v>
      </c>
      <c r="K51" s="2991">
        <v>6557.14</v>
      </c>
      <c r="L51" s="2991">
        <v>0.11</v>
      </c>
      <c r="M51" s="2991" t="s">
        <v>3239</v>
      </c>
      <c r="N51" s="2991" t="s">
        <v>3107</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135</vt:i4>
      </vt:variant>
    </vt:vector>
  </HeadingPairs>
  <TitlesOfParts>
    <vt:vector size="18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 (2)</vt:lpstr>
      <vt:lpstr>结果表</vt:lpstr>
      <vt:lpstr>结果表 (3)</vt:lpstr>
      <vt:lpstr>成本法</vt:lpstr>
      <vt:lpstr>土地比较法-住宅、综合</vt:lpstr>
      <vt:lpstr>成本法 (元)</vt:lpstr>
      <vt:lpstr>假设开发法</vt:lpstr>
      <vt:lpstr>收益法</vt:lpstr>
      <vt:lpstr>收益法 (元)</vt:lpstr>
      <vt:lpstr>收益法 (2)</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抵押物清单</vt:lpstr>
      <vt:lpstr>土地案例</vt:lpstr>
      <vt:lpstr>估价师及机构信息!Print_Area</vt:lpstr>
      <vt:lpstr>收益法!Print_Area</vt:lpstr>
      <vt:lpstr>'收益法 (2)'!Print_Area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2019-09-09T01:28:13Z</dcterms:modified>
</cp:coreProperties>
</file>